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alesitem export" sheetId="1" state="visible" r:id="rId3"/>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<sst xmlns="http://schemas.openxmlformats.org/spreadsheetml/2006/main" count="25156" uniqueCount="8422">
  <si>
    <t xml:space="preserve">URL</t>
  </si>
  <si>
    <t xml:space="preserve">SDI ID</t>
  </si>
  <si>
    <t xml:space="preserve">Manufacturer</t>
  </si>
  <si>
    <t xml:space="preserve">Model</t>
  </si>
  <si>
    <t xml:space="preserve">Description</t>
  </si>
  <si>
    <t xml:space="preserve">Quantity</t>
  </si>
  <si>
    <t xml:space="preserve">Version</t>
  </si>
  <si>
    <t xml:space="preserve">Condition</t>
  </si>
  <si>
    <t xml:space="preserve">Vintage</t>
  </si>
  <si>
    <t xml:space="preserve">Sales conditions</t>
  </si>
  <si>
    <t xml:space="preserve">Lead Time</t>
  </si>
  <si>
    <t xml:space="preserve">Comments</t>
  </si>
  <si>
    <t xml:space="preserve">80264</t>
  </si>
  <si>
    <t xml:space="preserve">ACOPIAN</t>
  </si>
  <si>
    <t xml:space="preserve">B24G210</t>
  </si>
  <si>
    <t xml:space="preserve">POWER SUPPLY</t>
  </si>
  <si>
    <t xml:space="preserve">1</t>
  </si>
  <si>
    <t xml:space="preserve">spares</t>
  </si>
  <si>
    <t xml:space="preserve">new in box</t>
  </si>
  <si>
    <t xml:space="preserve">as is where is</t>
  </si>
  <si>
    <t xml:space="preserve">immediately</t>
  </si>
  <si>
    <t xml:space="preserve">power supply 2.1 A 24 VDC</t>
  </si>
  <si>
    <t xml:space="preserve">4247</t>
  </si>
  <si>
    <t xml:space="preserve">ADE</t>
  </si>
  <si>
    <t xml:space="preserve">020986-10</t>
  </si>
  <si>
    <t xml:space="preserve">259.82 uM thickness standard</t>
  </si>
  <si>
    <t xml:space="preserve">Spares</t>
  </si>
  <si>
    <t xml:space="preserve">excellent</t>
  </si>
  <si>
    <t xml:space="preserve">4249</t>
  </si>
  <si>
    <t xml:space="preserve">020986-14</t>
  </si>
  <si>
    <t xml:space="preserve">360.01 uM thickness standard</t>
  </si>
  <si>
    <t xml:space="preserve">111589</t>
  </si>
  <si>
    <t xml:space="preserve">Adixen Alcatel</t>
  </si>
  <si>
    <t xml:space="preserve">ADS 602H (Spare parts)</t>
  </si>
  <si>
    <t xml:space="preserve">Vacuum and Water/Gas fittings for facilitizing Dry Vacuum pump combo</t>
  </si>
  <si>
    <t xml:space="preserve">good</t>
  </si>
  <si>
    <t xml:space="preserve">The vacuum fittings , wafer and gas fittings needed for connecting an 
Alcatel pump.
The size of the inlet flange is 10 cm ID, and this is converted down to 68 
mm ID, with a 90 degree bend. see attached photos.
SHIPPING WEIGHT 4.5 KG
DIMS IN BOX 33 CM X 24 CM X 14 CM (H)
Ships from Avezzano (AQ) 67051 Italy.</t>
  </si>
  <si>
    <t xml:space="preserve">109623</t>
  </si>
  <si>
    <t xml:space="preserve">Adtec</t>
  </si>
  <si>
    <t xml:space="preserve">AMV Controller</t>
  </si>
  <si>
    <t xml:space="preserve">Miscellaneous</t>
  </si>
  <si>
    <t xml:space="preserve">SPARES</t>
  </si>
  <si>
    <t xml:space="preserve">inquire</t>
  </si>
  <si>
    <t xml:space="preserve">Sold Ex-Works, UK Office , Part Number:AMV-RCH1</t>
  </si>
  <si>
    <t xml:space="preserve">109622</t>
  </si>
  <si>
    <t xml:space="preserve">109627</t>
  </si>
  <si>
    <t xml:space="preserve">AX-100 MF</t>
  </si>
  <si>
    <t xml:space="preserve">Generator</t>
  </si>
  <si>
    <t xml:space="preserve">Sold Ex-Works, UK Office , Part Number:AX-100MF-P</t>
  </si>
  <si>
    <t xml:space="preserve">109626</t>
  </si>
  <si>
    <t xml:space="preserve">109625</t>
  </si>
  <si>
    <t xml:space="preserve">109624</t>
  </si>
  <si>
    <t xml:space="preserve">Sold Ex-Works, UK Office , Part Number:AX-100MF-D</t>
  </si>
  <si>
    <t xml:space="preserve">109628</t>
  </si>
  <si>
    <t xml:space="preserve">AX-3000 MF</t>
  </si>
  <si>
    <t xml:space="preserve">Sold Ex-Works, UK Office , Part Number:AX-3000MF III-2M</t>
  </si>
  <si>
    <t xml:space="preserve">109629</t>
  </si>
  <si>
    <t xml:space="preserve">AX-3000 P</t>
  </si>
  <si>
    <t xml:space="preserve">Sold Ex-Works, UK Office , Part Number:AX-30000PE1</t>
  </si>
  <si>
    <t xml:space="preserve">115338</t>
  </si>
  <si>
    <t xml:space="preserve">ADVANCED ENERGY</t>
  </si>
  <si>
    <t xml:space="preserve">2052-000-C</t>
  </si>
  <si>
    <t xml:space="preserve">MDX-052 REMOTE [USED]</t>
  </si>
  <si>
    <t xml:space="preserve">De-installed and warehoused. Can be inspected by appointment</t>
  </si>
  <si>
    <t xml:space="preserve">115339</t>
  </si>
  <si>
    <t xml:space="preserve">3152012-041AB</t>
  </si>
  <si>
    <t xml:space="preserve">MASTER USED</t>
  </si>
  <si>
    <t xml:space="preserve">115340</t>
  </si>
  <si>
    <t xml:space="preserve">3152052-000C</t>
  </si>
  <si>
    <t xml:space="preserve">3</t>
  </si>
  <si>
    <t xml:space="preserve">115341</t>
  </si>
  <si>
    <t xml:space="preserve">3152412-115D</t>
  </si>
  <si>
    <t xml:space="preserve">PINNACLE USED</t>
  </si>
  <si>
    <t xml:space="preserve">115342</t>
  </si>
  <si>
    <t xml:space="preserve">3152436-102V</t>
  </si>
  <si>
    <t xml:space="preserve">115343</t>
  </si>
  <si>
    <t xml:space="preserve">3152436-355G</t>
  </si>
  <si>
    <t xml:space="preserve">2</t>
  </si>
  <si>
    <t xml:space="preserve">115344</t>
  </si>
  <si>
    <t xml:space="preserve">3155069-003B</t>
  </si>
  <si>
    <t xml:space="preserve">MFM USED</t>
  </si>
  <si>
    <t xml:space="preserve">115353</t>
  </si>
  <si>
    <t xml:space="preserve">Advanced Energy</t>
  </si>
  <si>
    <t xml:space="preserve">3155126-020 </t>
  </si>
  <si>
    <t xml:space="preserve">AMAT P/N 0190-23905  1013 RF MATCH NAVIGATOR [USED]</t>
  </si>
  <si>
    <t xml:space="preserve">114702</t>
  </si>
  <si>
    <t xml:space="preserve">3155126-026</t>
  </si>
  <si>
    <t xml:space="preserve">NAVIGATOR 2013 L70Z [ASIS] Novellus P/N 27-303386-00</t>
  </si>
  <si>
    <t xml:space="preserve">114821</t>
  </si>
  <si>
    <t xml:space="preserve">NAVIGATOR 2013 L70Z [NOT] Novellus P/N 27-303386-00</t>
  </si>
  <si>
    <t xml:space="preserve">114769</t>
  </si>
  <si>
    <t xml:space="preserve">3155126-045</t>
  </si>
  <si>
    <t xml:space="preserve">NAVIGATOR-1013 ASIS AMAT P/N 0190-38823-05</t>
  </si>
  <si>
    <t xml:space="preserve">114841</t>
  </si>
  <si>
    <t xml:space="preserve">3155132-008</t>
  </si>
  <si>
    <t xml:space="preserve">NAVIGATOR-3013 ADVANCED ASIS AMAT P/N 0190-34238-001</t>
  </si>
  <si>
    <t xml:space="preserve">114842</t>
  </si>
  <si>
    <t xml:space="preserve">NAVIGATOR-3013 ADVANCED RF ASIS AMAT P/N 0190-34238W</t>
  </si>
  <si>
    <t xml:space="preserve">114845</t>
  </si>
  <si>
    <t xml:space="preserve">3155132-013</t>
  </si>
  <si>
    <t xml:space="preserve">NAVIGATOR-3013 ADVANCED ASIS  AMAT P/N 0190-41508-001</t>
  </si>
  <si>
    <t xml:space="preserve">4</t>
  </si>
  <si>
    <t xml:space="preserve">114844</t>
  </si>
  <si>
    <t xml:space="preserve">NAVIGATOR-3013 ADVANCED ASIS AMAT P/N 0190-41508-001</t>
  </si>
  <si>
    <t xml:space="preserve">5</t>
  </si>
  <si>
    <t xml:space="preserve">114846</t>
  </si>
  <si>
    <t xml:space="preserve">NAVIGATOR-3013 ADVANCED RF ASIS  AMAT P/N 0190-41508W</t>
  </si>
  <si>
    <t xml:space="preserve">114843</t>
  </si>
  <si>
    <t xml:space="preserve">NAVIGATOR-3013 ADVANCED RF ASIS AMAT P/N 0190-41508</t>
  </si>
  <si>
    <t xml:space="preserve">115345</t>
  </si>
  <si>
    <t xml:space="preserve">3156024-030E</t>
  </si>
  <si>
    <t xml:space="preserve">PDX 900-2V GENERATOR [USED]</t>
  </si>
  <si>
    <t xml:space="preserve">115346</t>
  </si>
  <si>
    <t xml:space="preserve">7500000010</t>
  </si>
  <si>
    <t xml:space="preserve">RF-20H RFPP RF20H RF POWER [ASIS]</t>
  </si>
  <si>
    <t xml:space="preserve">115347</t>
  </si>
  <si>
    <t xml:space="preserve">7521403010</t>
  </si>
  <si>
    <t xml:space="preserve">033471600 RFPP RF20M RF POWER [ASIS]</t>
  </si>
  <si>
    <t xml:space="preserve">115348</t>
  </si>
  <si>
    <t xml:space="preserve">7521403014</t>
  </si>
  <si>
    <t xml:space="preserve">0334-719-00 RFPP RF20M RF POWER [ASIS]</t>
  </si>
  <si>
    <t xml:space="preserve">115349</t>
  </si>
  <si>
    <t xml:space="preserve">7521403051</t>
  </si>
  <si>
    <t xml:space="preserve">0334-716-02 RFPP RF20M RF POWER [ASIS]</t>
  </si>
  <si>
    <t xml:space="preserve">115350</t>
  </si>
  <si>
    <t xml:space="preserve">7521648091</t>
  </si>
  <si>
    <t xml:space="preserve">RF20SHWC RFPP RF20H RF POWER [ASIS]</t>
  </si>
  <si>
    <t xml:space="preserve">109637</t>
  </si>
  <si>
    <t xml:space="preserve">Apex 1513</t>
  </si>
  <si>
    <t xml:space="preserve">missing parts</t>
  </si>
  <si>
    <t xml:space="preserve">Sold Ex-Works, UK Office , Part Number:3156111-003 D
Requires Power FETS</t>
  </si>
  <si>
    <t xml:space="preserve">109655</t>
  </si>
  <si>
    <t xml:space="preserve">AZX 10</t>
  </si>
  <si>
    <t xml:space="preserve">Match</t>
  </si>
  <si>
    <t xml:space="preserve">Sold Ex-Works, UK Office , Part Number:3155036-006 A
Missing phase mag part</t>
  </si>
  <si>
    <t xml:space="preserve">109703</t>
  </si>
  <si>
    <t xml:space="preserve">Hilight 136</t>
  </si>
  <si>
    <t xml:space="preserve">RF Generator</t>
  </si>
  <si>
    <t xml:space="preserve">refurbished</t>
  </si>
  <si>
    <t xml:space="preserve">as is all rebuilt</t>
  </si>
  <si>
    <t xml:space="preserve">Sold fully refurbished ex-works, SDI Fabsurplus UK Office</t>
  </si>
  <si>
    <t xml:space="preserve">109771</t>
  </si>
  <si>
    <t xml:space="preserve">PDX 2500</t>
  </si>
  <si>
    <t xml:space="preserve">Sold Ex-Works, UK Office , Part Number:3156012-201 D , Secondary 
P/N:27-293721-00</t>
  </si>
  <si>
    <t xml:space="preserve">109770</t>
  </si>
  <si>
    <t xml:space="preserve">109777</t>
  </si>
  <si>
    <t xml:space="preserve">PE-2500</t>
  </si>
  <si>
    <t xml:space="preserve">Sold Ex-Works, UK Office , Part Number:3157504-012 F</t>
  </si>
  <si>
    <t xml:space="preserve">109818</t>
  </si>
  <si>
    <t xml:space="preserve">Pinnacle Plus 10k</t>
  </si>
  <si>
    <t xml:space="preserve">Sold Ex-Works, UK Office , Part Number:3152436-359 E
Three month warranty</t>
  </si>
  <si>
    <t xml:space="preserve">115351</t>
  </si>
  <si>
    <t xml:space="preserve">RF-30S</t>
  </si>
  <si>
    <t xml:space="preserve">RFPP RF-20H RFPP RF20H RF POWER [ASIS]</t>
  </si>
  <si>
    <t xml:space="preserve">109846</t>
  </si>
  <si>
    <t xml:space="preserve">RFG 3000</t>
  </si>
  <si>
    <t xml:space="preserve">Sold Ex-Works, UK Office , Part Number: 3155038-001 C</t>
  </si>
  <si>
    <t xml:space="preserve">109876</t>
  </si>
  <si>
    <t xml:space="preserve">RFX II 3000</t>
  </si>
  <si>
    <t xml:space="preserve">Sold Ex-Works, UK Office , Part Number: 3155047-000 D</t>
  </si>
  <si>
    <t xml:space="preserve">77167</t>
  </si>
  <si>
    <t xml:space="preserve">Advantech</t>
  </si>
  <si>
    <t xml:space="preserve">HK-6323</t>
  </si>
  <si>
    <t xml:space="preserve">data acquisition card ISA</t>
  </si>
  <si>
    <t xml:space="preserve">Advantech  hkipc
ISA Data Acquisition card
Marked HK-6323 LLZ 0812
Ships in used condition from our AVEZZANO 67051 ITALY warehouse</t>
  </si>
  <si>
    <t xml:space="preserve">77166</t>
  </si>
  <si>
    <t xml:space="preserve">IPC-5475</t>
  </si>
  <si>
    <t xml:space="preserve">data acquisition card</t>
  </si>
  <si>
    <t xml:space="preserve">Advantech  hkipc
ISA Data Acquisition card
010-62967773
010-62963650</t>
  </si>
  <si>
    <t xml:space="preserve">77207</t>
  </si>
  <si>
    <t xml:space="preserve">PCL-730</t>
  </si>
  <si>
    <t xml:space="preserve">data acquisition card 32ch TTL DIO</t>
  </si>
  <si>
    <t xml:space="preserve">Advantech
ISA Data Acquisition card
PCL-730-B
Ships from Boerne, TX warehouse
 </t>
  </si>
  <si>
    <t xml:space="preserve">77206</t>
  </si>
  <si>
    <t xml:space="preserve">PCL-745B</t>
  </si>
  <si>
    <t xml:space="preserve">data acquisition card 2-port  RS422/485 Rev B1</t>
  </si>
  <si>
    <t xml:space="preserve">Advantech
ISA Data Acquisition card
PCL-745B-B
Ships from Boerne, TX warehouse
 </t>
  </si>
  <si>
    <t xml:space="preserve">83504</t>
  </si>
  <si>
    <t xml:space="preserve">Advantest</t>
  </si>
  <si>
    <t xml:space="preserve">BGK-011702</t>
  </si>
  <si>
    <t xml:space="preserve">ADVANTEST T5335P PC Board</t>
  </si>
  <si>
    <t xml:space="preserve">Advantest T5335P
P.C.B.for immediate sale.
De-installed from a working system. Located at our Avezzano 67051 Italy 
warehouse.
Marked BCD. qty 2 available.</t>
  </si>
  <si>
    <t xml:space="preserve">83503</t>
  </si>
  <si>
    <t xml:space="preserve">BGK-017719</t>
  </si>
  <si>
    <t xml:space="preserve">Advantest T5335P
P.C.B.for immediate sale.
De-installed from a working system. Located at our Avezzano 67051 Italy 
warehouse.
qty 2 available.</t>
  </si>
  <si>
    <t xml:space="preserve">80210</t>
  </si>
  <si>
    <t xml:space="preserve">BGR-016793</t>
  </si>
  <si>
    <t xml:space="preserve">Advantest T5335P P.C.B.for immediate sale.
De-installed from a working system. Located at our Avezzano 67051 Italy 
warehouse.</t>
  </si>
  <si>
    <t xml:space="preserve">80209</t>
  </si>
  <si>
    <t xml:space="preserve">BGR-016794</t>
  </si>
  <si>
    <t xml:space="preserve">PGR-816794CC3 PC Board</t>
  </si>
  <si>
    <t xml:space="preserve">De-installed from a working system. Located at our Avezzano 67051 Italy 
warehouse.</t>
  </si>
  <si>
    <t xml:space="preserve">83499</t>
  </si>
  <si>
    <t xml:space="preserve">BGR-016796</t>
  </si>
  <si>
    <t xml:space="preserve">Advantest T5335P P.C.B. for immediate sale.
De-installed from a working system. Located at our Avezzano 67051 Italy 
warehouse.
B9807B-CFB</t>
  </si>
  <si>
    <t xml:space="preserve">92006</t>
  </si>
  <si>
    <t xml:space="preserve">Removed from working system, in warehouse
B1931B-CFB</t>
  </si>
  <si>
    <t xml:space="preserve">80207</t>
  </si>
  <si>
    <t xml:space="preserve">ADVANTEST T5335P PC Board PGR-816796CC3</t>
  </si>
  <si>
    <t xml:space="preserve">6</t>
  </si>
  <si>
    <t xml:space="preserve">83498</t>
  </si>
  <si>
    <t xml:space="preserve">BGR-016797</t>
  </si>
  <si>
    <t xml:space="preserve">ADVANTEST T5335P PC Board (was 80207)</t>
  </si>
  <si>
    <t xml:space="preserve">Removed from working system</t>
  </si>
  <si>
    <t xml:space="preserve">80296</t>
  </si>
  <si>
    <t xml:space="preserve">BGR-017417</t>
  </si>
  <si>
    <t xml:space="preserve">Advantest T5335P
P.C.B.for immediate sale.
De-installed from a working system. Located at our Avezzano 67051 Italy 
warehouse.</t>
  </si>
  <si>
    <t xml:space="preserve">92008</t>
  </si>
  <si>
    <t xml:space="preserve">BGR-017418</t>
  </si>
  <si>
    <t xml:space="preserve">Removed from working system, in warehouse
A9733B-ACA</t>
  </si>
  <si>
    <t xml:space="preserve">83502</t>
  </si>
  <si>
    <t xml:space="preserve">ADVANTEST T5335P PC Board HV PPS</t>
  </si>
  <si>
    <t xml:space="preserve">Advantest T5335P
P.C.B.for immediate sale.
De-installed from a working system. Located at our Avezzano 67051 Italy 
warehouse. QTY 2 AVAILABLE.</t>
  </si>
  <si>
    <t xml:space="preserve">80202</t>
  </si>
  <si>
    <t xml:space="preserve">BGR-017577</t>
  </si>
  <si>
    <t xml:space="preserve">ADVANTEST T5335P PC Board BGR-017575</t>
  </si>
  <si>
    <t xml:space="preserve">Advantest T5335P P.C.B. for immediate sale. qty 2 available.
De-installed from a working system. Located at our Avezzano 67051 Italy 
warehouse.</t>
  </si>
  <si>
    <t xml:space="preserve">80205</t>
  </si>
  <si>
    <t xml:space="preserve">BGR-017578</t>
  </si>
  <si>
    <t xml:space="preserve">Advantest T5335P P.C.B. for immediate sale.
De-installed from a working system. Located at our Avezzano 67051 Italy 
warehouse. QTY 2 AVAILABLE</t>
  </si>
  <si>
    <t xml:space="preserve">80206</t>
  </si>
  <si>
    <t xml:space="preserve">BGR-017579</t>
  </si>
  <si>
    <t xml:space="preserve">Advantest T5335P P.C.B. for immediate sale.
De-installed from a working system. Located at our Avezzano 67051 Italy 
warehouse.</t>
  </si>
  <si>
    <t xml:space="preserve">80300</t>
  </si>
  <si>
    <t xml:space="preserve">BGR-018125</t>
  </si>
  <si>
    <t xml:space="preserve">92007</t>
  </si>
  <si>
    <t xml:space="preserve">BGR-018822</t>
  </si>
  <si>
    <t xml:space="preserve">Removed from working system, in warehouse
A9615B-BFB</t>
  </si>
  <si>
    <t xml:space="preserve">80299</t>
  </si>
  <si>
    <t xml:space="preserve">ADVANTEST T5335P PC Board  PGR-818822BB2</t>
  </si>
  <si>
    <t xml:space="preserve">Advantest T5335P P.C.B. for immediate sale.
De-installed from a working system. Located at our Avezzano 67051 Italy 
warehouse. Total qty 4 available.</t>
  </si>
  <si>
    <t xml:space="preserve">80298</t>
  </si>
  <si>
    <t xml:space="preserve">BGR-018823</t>
  </si>
  <si>
    <t xml:space="preserve">80297</t>
  </si>
  <si>
    <t xml:space="preserve">BGR-018824 Rev X03</t>
  </si>
  <si>
    <t xml:space="preserve">8</t>
  </si>
  <si>
    <t xml:space="preserve">Advantest T5335P P.C.B. for immediate sale.
Total qty 8 available.
De-installed from a working system. Located at our Avezzano 67051 Italy 
warehouse.</t>
  </si>
  <si>
    <t xml:space="preserve">80208</t>
  </si>
  <si>
    <t xml:space="preserve">BGR-018931</t>
  </si>
  <si>
    <t xml:space="preserve">80295</t>
  </si>
  <si>
    <t xml:space="preserve">BGR-019266</t>
  </si>
  <si>
    <t xml:space="preserve">ADVANTEST T5335P MRA I/F  PC Board</t>
  </si>
  <si>
    <t xml:space="preserve">Removed from a working system, in avezzano 67051 italy warehouse.
T5335P MRA I/F board P/N: BGR-019266</t>
  </si>
  <si>
    <t xml:space="preserve">80293</t>
  </si>
  <si>
    <t xml:space="preserve">BGR-019267</t>
  </si>
  <si>
    <t xml:space="preserve">80203</t>
  </si>
  <si>
    <t xml:space="preserve">BGR-019486</t>
  </si>
  <si>
    <t xml:space="preserve">11</t>
  </si>
  <si>
    <t xml:space="preserve">Advantest T5335P P.C.B. for immediate sale.
De-installed from a working system. Located at our Avezzano 67051 Italy 
warehouse. Total qty available qty 11</t>
  </si>
  <si>
    <t xml:space="preserve">80200</t>
  </si>
  <si>
    <t xml:space="preserve">BGR-020509</t>
  </si>
  <si>
    <t xml:space="preserve">Removed from working system, in AVEZZANO 67051 ITALY warehouse</t>
  </si>
  <si>
    <t xml:space="preserve">83501</t>
  </si>
  <si>
    <t xml:space="preserve">BGR-020765</t>
  </si>
  <si>
    <t xml:space="preserve">80199</t>
  </si>
  <si>
    <t xml:space="preserve">BGR-020771</t>
  </si>
  <si>
    <t xml:space="preserve">Removed from working system, in Italy warehouse</t>
  </si>
  <si>
    <t xml:space="preserve">80201</t>
  </si>
  <si>
    <t xml:space="preserve">BGR-020772</t>
  </si>
  <si>
    <t xml:space="preserve">Removed from working system, iIN AVEZZANO 67051 ITALY</t>
  </si>
  <si>
    <t xml:space="preserve">80194</t>
  </si>
  <si>
    <t xml:space="preserve">BGR-020773</t>
  </si>
  <si>
    <t xml:space="preserve">7</t>
  </si>
  <si>
    <t xml:space="preserve">Advantest T5335P P.C.B. for immediate sale. QTY 3 AVAILABLE.
De-installed from a working system. Located at our Avezzano 67051 Italy 
warehouse.</t>
  </si>
  <si>
    <t xml:space="preserve">80197</t>
  </si>
  <si>
    <t xml:space="preserve">BGR-020774 rev x2</t>
  </si>
  <si>
    <t xml:space="preserve">80198</t>
  </si>
  <si>
    <t xml:space="preserve">BGR-020814</t>
  </si>
  <si>
    <t xml:space="preserve">80301</t>
  </si>
  <si>
    <t xml:space="preserve">BGR-020815</t>
  </si>
  <si>
    <t xml:space="preserve">Advantest T5335P
P.C.B.for immediate sale.
De-installed from a working system. Located at our Avezzano 67051 Italy 
warehouse. QTY 3 AVAILABLE.</t>
  </si>
  <si>
    <t xml:space="preserve">80196</t>
  </si>
  <si>
    <t xml:space="preserve">BGR-020816X02</t>
  </si>
  <si>
    <t xml:space="preserve">Removed from working system; Populated with 12 banks of RAM
Revision B
Wrapped in anti-static bubble wrap, and ready to ship.
</t>
  </si>
  <si>
    <t xml:space="preserve">80204</t>
  </si>
  <si>
    <t xml:space="preserve">BGR-020851</t>
  </si>
  <si>
    <t xml:space="preserve">80195</t>
  </si>
  <si>
    <t xml:space="preserve">BGR-020853</t>
  </si>
  <si>
    <t xml:space="preserve">80294</t>
  </si>
  <si>
    <t xml:space="preserve">BGR-020900</t>
  </si>
  <si>
    <t xml:space="preserve">Advantest T5335P P.C.B. for immediate sale. qty 4 available in total.
De-installed from a working system. Located at our Avezzano 67051 Italy 
warehouse.</t>
  </si>
  <si>
    <t xml:space="preserve">83500</t>
  </si>
  <si>
    <t xml:space="preserve">BGR-021096</t>
  </si>
  <si>
    <t xml:space="preserve">80302</t>
  </si>
  <si>
    <t xml:space="preserve">BIR-021807</t>
  </si>
  <si>
    <t xml:space="preserve">Advantest BIR-021807 T5335P tester PC board for immediate sale.
De-installed from a working system. Located at our Avezzano 67051 Italy 
warehouse.
</t>
  </si>
  <si>
    <t xml:space="preserve">89909</t>
  </si>
  <si>
    <t xml:space="preserve">Hifix for PQFP80 (14 x 20)</t>
  </si>
  <si>
    <t xml:space="preserve">Hi-fix for Advantest T5371 package type PQFP80 (14 x 20)</t>
  </si>
  <si>
    <t xml:space="preserve">Hifix for Advantest T5371 with M6741A handler.
See attached photos for details.
Hifix serial number: STCA-5371-MH03-01
Hifix reference number: 113.00344.00
Package: PQFP80 (14x20)
Device: 16 M (512K32) Flash memory
SB Type: Unshared
Test socket: Advantest IC Socket
DUT in parallel: 16
Tester:  T5371
Handler: M6741A</t>
  </si>
  <si>
    <t xml:space="preserve">92009</t>
  </si>
  <si>
    <t xml:space="preserve">T5335P</t>
  </si>
  <si>
    <t xml:space="preserve">Boards from an Advantest T5335P Test system</t>
  </si>
  <si>
    <t xml:space="preserve">18</t>
  </si>
  <si>
    <t xml:space="preserve">Removed from working system, in Italy warehouse
Includes the following boards:-
BGR016796 QTY 1
BGR018822 QTY 3
BGR018823X03 QTY 4
BGR018824X03 QTY 8
BGR020814 QTY 1
BGR020851 QTY 1
SEE ATTACHED PHOTOS FOR DETAILS</t>
  </si>
  <si>
    <t xml:space="preserve">78639</t>
  </si>
  <si>
    <t xml:space="preserve">T5335P (Spares)</t>
  </si>
  <si>
    <t xml:space="preserve">Spare Boards from test system (See attached list for details)</t>
  </si>
  <si>
    <t xml:space="preserve">TEST</t>
  </si>
  <si>
    <t xml:space="preserve">for spares use</t>
  </si>
  <si>
    <t xml:space="preserve">-Boards from the test system have been removed and are available for sale.
FOR SPARES USE.
S/N DA638766R
WAREHOUSED AT AVEZZANO, 67051 ITALY.
SEE ATTACHED PHOTOS FOR DETAILS.
CAN BE INSPECTED BY APPOINTMENT.
Includes: 2 x Advantest Control box
Advantest Digital multimeter R6551
Power supplies:
Nemic-Lambda  CKS-36-21A
Nemic-Lambda  CDK- 65/65
Nemic-Lambda  CKS-26-29A
Ref. Id 	Manufacturer 	Model 	Description 	Quantity 	Sales Price(Each) 	
Sales Price (Total) 	Comments 	WEB LINK
80194 	Advantest 	BGR-020773 	ADVANTEST T5335P PC Board 	3 	$1,500.00 	
$4,500.00 	Removed from working system, in Texas warehouse 	
&lt;https://www.fabsurplus.com/sdi_catalog/salesItemDetails.do?id=80194&gt;
80195 	Advantest 	BGR-020853 	ADVANTEST T5335P PC Board 	1 	$1,000.00 	
$1,000.00 	Removed from working system, in Texas warehouse 	
&lt;https://www.fabsurplus.com/sdi_catalog/salesItemDetails.do?id=80195&gt;
80196 	Advantest 	BGR-020816X02 	ADVANTEST T5335P PC Board 	2 	$1,200.00 	
$2,400.00 	Removed from working system; Populated with 12 banks of RAM
Revision B
Wrapped in anti-static bubble wrap, and ready to ship.
Will ship from our Boerne, TX warehouse via FEDEX ground or the carrier of
your choice.
&lt;https://www.fabsurplus.com/sdi_catalog/salesItemDetails.do?id=80196&gt;
80197 	Advantest 	BGR-020774 	ADVANTEST T5335P PC Board 	1 	$1,000.00 	
$1,000.00 	Removed from working system, in Texas warehouse 	
&lt;https://www.fabsurplus.com/sdi_catalog/salesItemDetails.do?id=80197&gt;
80198 	Advantest 	BGR-020814 	ADVANTEST T5335P PC Board 	1 	$1,000.00 	
$1,000.00 	Removed from working system, in Texas warehouse 	
&lt;https://www.fabsurplus.com/sdi_catalog/salesItemDetails.do?id=80198&gt;
80199 	Advantest 	BGR-020771 	ADVANTEST T5335P PC Board 	1 	$1,500.00 	
$1,500.00 	Removed from working system, in Texas warehouse 	
&lt;https://www.fabsurplus.com/sdi_catalog/salesItemDetails.do?id=80199&gt;
80200 	Advantest 	BGR-020509 	ADVANTEST T5335P PC Board 	1 	$1,000.00 	
$1,000.00 	Removed from working system, in Texas warehouse 	
&lt;https://www.fabsurplus.com/sdi_catalog/salesItemDetails.do?id=80200&gt;
80201 	Advantest 	BGR-020772 	ADVANTEST T5335P PC Board 	1 	$1,000.00 	
$1,000.00 	Removed from working system, in Texas warehouse 	
&lt;https://www.fabsurplus.com/sdi_catalog/salesItemDetails.do?id=80201&gt;
80202 	Advantest 	BGR-017577 	ADVANTEST T5335P PC Board BGR-017575 	2 	
$2,000.00 	$4,000.00 	Removed from working system, in Texas warehouse 	
&lt;https://www.fabsurplus.com/sdi_catalog/salesItemDetails.do?id=80202&gt;
80203 	Advantest 	BGR-019486 	ADVANTEST T5335P PC Board 	11 	$500.00 	
$5,500.00 	power card, removed from working system and stored in Texas 
warehouse 	
&lt;https://www.fabsurplus.com/sdi_catalog/salesItemDetails.do?id=80203&gt;
80204 	Advantest 	BGR-020851 	ADVANTEST T5335P PC Board 	1 	$1,000.00 	
$1,000.00 	Removed from working system, in Texas warehouse 	
&lt;https://www.fabsurplus.com/sdi_catalog/salesItemDetails.do?id=80204&gt;
80205 	Advantest 	BGR-017578 	ADVANTEST T5335P PC Board 	2 	$750.00 	
$1,500.00 	Removed from working system, in Texas warehouse 	
&lt;https://www.fabsurplus.com/sdi_catalog/salesItemDetails.do?id=80205&gt;
80206 	Advantest 	BGR-017579 	ADVANTEST T5335P PC Board 	2 	$750.00 	
$1,500.00 	Removed from working system, in Texas warehouse 	
&lt;https://www.fabsurplus.com/sdi_catalog/salesItemDetails.do?id=80206&gt;
80208 	Advantest 	BGR-018931 	ADVANTEST T5335P PC Board 	2 	$1,000.00 	
$2,000.00 	Removed from working system, in Texas warehouse 	
&lt;https://www.fabsurplus.com/sdi_catalog/salesItemDetails.do?id=80208&gt;
80209 	Advantest 	BGR-016794 	ADVANTEST T5335P PC Board 	2 	$1,000.00 	
$2,000.00 	Removed from working system, in Texas warehouse 	
&lt;https://www.fabsurplus.com/sdi_catalog/salesItemDetails.do?id=80209&gt;
80210 	Advantest 	BGR-016793 	ADVANTEST T5335P PC Board 	2 	$1,000.00 	
$2,000.00 	Removed from working system, in Texas warehouse 	
&lt;https://www.fabsurplus.com/sdi_catalog/salesItemDetails.do?id=80210&gt;
80293 	Advantest 	BGR-019267 	ADVANTEST T5335P PC Board 	2 	$1,500.00 	
$3,000.00 	Removed from working system, in Texas warehouse 	
&lt;https://www.fabsurplus.com/sdi_catalog/salesItemDetails.do?id=80293&gt;
80294 	Advantest 	BGR-020900 	ADVANTEST T5335P PC Board 	4 	$1,000.00 	
$4,000.00 	Removed from working system, in Texas warehouse 	
&lt;https://www.fabsurplus.com/sdi_catalog/salesItemDetails.do?id=80294&gt;
80295 	Advantest 	BGR-019266 	ADVANTEST T5335P PC Board 	1 	$1,500.00 	
$1,500.00 	Removed from working system, in Texas warehouse
T5335P MRA I/F board P/N: BGR-019266 	
&lt;https://www.fabsurplus.com/sdi_catalog/salesItemDetails.do?id=80295&gt;
80296 	Advantest 	BGR-017417 	ADVANTEST T5335P PC Board 	2 	$1,000.00 	
$2,000.00 	Removed from working system, in Texas warehouse 	
&lt;https://www.fabsurplus.com/sdi_catalog/salesItemDetails.do?id=80296&gt;
80297 	Advantest 	BGR-018824 	ADVANTEST T5335P PC Board 	7 	$1,000.00 	
$7,000.00 	Removed from working system, in Texas warehouse 	
&lt;https://www.fabsurplus.com/sdi_catalog/salesItemDetails.do?id=80297&gt;
80298 	Advantest 	BGR-018823 	ADVANTEST T5335P PC Board 	4 	$1,000.00 	
$4,000.00 	Removed from working system, in Texas warehouse 	
&lt;https://www.fabsurplus.com/sdi_catalog/salesItemDetails.do?id=80298&gt;
80299 	Advantest 	BGR-018822 	ADVANTEST T5335P PC Board 	4 	$1,000.00 	
$4,000.00 	Removed from working system, in Texas warehouse 	
&lt;https://www.fabsurplus.com/sdi_catalog/salesItemDetails.do?id=80299&gt;
80300 	Advantest 	BGR-018125 	ADVANTEST T5335P PC Board 	1 	$1,000.00 	
$1,000.00 	Removed from working system, in Texas warehouse 	
&lt;https://www.fabsurplus.com/sdi_catalog/salesItemDetails.do?id=80300&gt;
80301 	Advantest 	BGR-020815 	ADVANTEST T5335P PC Board 	1 	$15,000.00 	
$15,000.00 	Removed from working system, in Texas warehouse 	
&lt;https://www.fabsurplus.com/sdi_catalog/salesItemDetails.do?id=80301&gt;
80302 	Advantest 	Bir-021807 	ADVANTEST T5335P PC Board 	1 	$3,000.00 	
$3,000.00 	Advantest BIR-021807 T5335P tester board, removed from working 
system.
Will Ship FEDEX from our Boerne, TX 78006 warehouse
&lt;https://www.fabsurplus.com/sdi_catalog/salesItemDetails.do?id=80302&gt;
82926 	Advantest 	WUN-H90554AIR 	ADVANTEST air control unit 	1 	$500.00 	
$500.00 	Removed from working system, in Texas warehouse
Removed from Advantest T5335P tester, in good condition, located in our
Texas warehouse. Includes guage, and air control with 6 air inputs
5Kgf/cm2
&lt;https://www.fabsurplus.com/sdi_catalog/salesItemDetails.do?id=82926&gt;
83498 	Advantest 	BGR-016797 	ADVANTEST T5335P PC Board (was 80207) 	6 	
$750.00 	$4,500.00 	Removed from working system, in Texas warehouse 	
&lt;https://www.fabsurplus.com/sdi_catalog/salesItemDetails.do?id=83498&gt;
83499 	Advantest 	BGR-016796 	ADVANTEST T5335P PC Board 	3 	$1,000.00 	
$3,000.00 	Removed from working system, in Texas warehouse
B9807B-CFB 	
&lt;https://www.fabsurplus.com/sdi_catalog/salesItemDetails.do?id=83499&gt;
83500 	Advantest 	BGR-021096 	ADVANTEST T5335P PC Board 	2 	$1,000.00 	
$2,000.00 	Removed from working system, in Texas warehouse 	
&lt;https://www.fabsurplus.com/sdi_catalog/salesItemDetails.do?id=83500&gt;
83501 	Advantest 	BGR-020765 	ADVANTEST T5335P PC Board 	2 	$750.00 	
$1,500.00 	Removed from working system, in Texas warehouse 	
&lt;https://www.fabsurplus.com/sdi_catalog/salesItemDetails.do?id=83501&gt;
83502 	Advantest 	BGR-017418 	ADVANTEST T5335P PC Board 	2 	$750.00 	
$1,500.00 	Removed from working system, in Texas warehouse 	
&lt;https://www.fabsurplus.com/sdi_catalog/salesItemDetails.do?id=83502&gt;
83503 	Advantest 	BGK-017719 	ADVANTEST T5335P PC Board 	1 	$350.00 	
$350.00 	Removed from working system, in Texas warehouse 	
&lt;https://www.fabsurplus.com/sdi_catalog/salesItemDetails.do?id=83503&gt;
83504 	Advantest 	BGK-011702 	ADVANTEST T5335P PC Board 	1 	$350.00 	
$350.00 	Removed from working system, in Texas warehouse
Marked BCD 	
&lt;https://www.fabsurplus.com/sdi_catalog/salesItemDetails.do?id=83504&gt;
83550 	Advantest 	WUN-MONITORBOX 	ADVANTEST poiwer supply monitoring box, 
T5335P 	2 	$500.00 	$1,000.00 	Removed from working system, in Texas 
warehouse
Removed from Advantest T5335P tester, in good condition.
01536135 9728
WUN-MONITORBOX
40012806 A9728B
&lt;https://www.fabsurplus.com/sdi_catalog/salesItemDetails.do?id=83550&gt;
92006 	Advantest 	BGR-016796 	ADVANTEST T5335P PC Board 	1 	$1,000.00 	
$1,000.00 	Removed from working system, in Texas warehouse
B1931B-CFB 	
&lt;https://www.fabsurplus.com/sdi_catalog/salesItemDetails.do?id=92006&gt;
92007 	Advantest 	BGR-018822 	ADVANTEST T5335P PC Board 	1 	$1,000.00 	
$1,000.00 	Removed from working system, in Texas warehouse
A9615B-BFB 	
&lt;https://www.fabsurplus.com/sdi_catalog/salesItemDetails.do?id=92007&gt;
92008 	Advantest 	BGR-017418 	ADVANTEST T5335P PC Board 	1 	$1,000.00 	
$1,000.00 	Removed from working system, in Texas warehouse
A9733B-ACA 	
&lt;https://www.fabsurplus.com/sdi_catalog/salesItemDetails.do?id=92008&gt;
92009 	Advantest 	T5335P 	Boards from an Advantest T5335P Test system 	18 	
$1,000.00 	$18,000.00 	Removed from working system, in Texas warehouse
Includes the following boards:-
BGR016796 QTY 1
BGR018822 QTY 3
BGR018823X03 QTY 4
BGR018824X03 QTY 8
BGR020814 QTY 1
BGR020851 QTY 1
SEE ATTACHED PHOTOS FOR DETAILS 	
&lt;https://www.fabsurplus.com/sdi_catalog/salesItemDetails.do?id=92009&gt;
53031 	HP 	  	GPIB IEEE488 Cable 	1 	$100.00 	$100.00 	Data cable IEEE488 	
&lt;https://www.fabsurplus.com/sdi_catalog/salesItemDetails.do?id=53031&gt;
83579 	HP HEWLETT PACKARD 	9145A 	PC HP HEWLETT PACHARD 9145 	1 	$100.00 	
$100.00 	AC LINE
115/230 V
1.6/1.0 A MAX
50/60 Hz
32 TRACK
FUSE: F3A-250 V USA
T3 15A-250 V
EUROPE
SELF TEST
DISPLAY RESULT
&lt;https://www.fabsurplus.com/sdi_catalog/salesItemDetails.do?id=83579&gt;
13044 	Lambda 	CA1000 	Alpha 1000W CA1000 Power Supply 	1 	$3,000.00 	
$3,000.00 	ch1 ch2 output volts (v)- 5 12 output current (A)- 60 33 off 
load volts
(v)- 4.990 11.925 load regulation(%)- 0.100 0.000 line regulation (%)-
0.000 0.000 PARD (vpp)- 0.027 0.068 current limit- pass pass short circuit
(a)- 71.100 39.725 overvoltage- pass pass 	
&lt;https://www.fabsurplus.com/sdi_catalog/salesItemDetails.do?id=13044&gt;
83902 	LAMBDA 	LFS-47-48 	REGULATED POWER SUPPLY 	1 	$300.00 	$300.00 	
IMPUT 95-132 VAC
47-63 HZ
(USE O AND 110 TERMINALS)
OR 187-250 VAC OR 260-350 VDC
(USE O AND 220 TERMINALS)
MAX 1071 W
PWR FACTOR 0.6
OUTPUT: 48-5% VDC
MAX RATINGS 17.0A@ 40°C
16.0A@ 50°C
14.5A@ 60°C
WEIGHT: KG.4
DIMENSION:30 CM. X 13 CM. X 13 CM.(H)
&lt;https://www.fabsurplus.com/sdi_catalog/salesItemDetails.do?id=83902&gt;
  	  	  	  	  	TOTAL 	$116,600.00 	  	 
 </t>
  </si>
  <si>
    <t xml:space="preserve">76604</t>
  </si>
  <si>
    <t xml:space="preserve">TR6846</t>
  </si>
  <si>
    <t xml:space="preserve">Digital Multimeter</t>
  </si>
  <si>
    <t xml:space="preserve">Electronics test and measurement</t>
  </si>
  <si>
    <t xml:space="preserve">De-installed ,warehoused.
Location: Avezzano (AQ) 67051 Italy .
TESTED, OPERATIONAL.
max voltage:1000Vmax current:10A
Spec.
Average value measurement,
run value display,
sine wave Vp
-
p measurable,
high
-
speed sampling function,
DC
-
V: 1µV ~ 1kV, AC
-
V: 10µV ~ 750V/20Hz ~
100kHz, DC / AC
-
A: 10nA ~ 10A,
Resistance: 1mO ~ 300MO,
temperature measurement,
W190 x H76 x D260 mm, about 2.1kg,</t>
  </si>
  <si>
    <t xml:space="preserve">82926</t>
  </si>
  <si>
    <t xml:space="preserve">WUN-H90554AIR</t>
  </si>
  <si>
    <t xml:space="preserve">ADVANTEST air control unit</t>
  </si>
  <si>
    <t xml:space="preserve">Removed from working system,
Removed from Advantest T5335P tester, in good condition, located in our 
AVEZZANO 67051 ITALY warehouse. Includes guage, and air control with 6 air 
inputs
5Kgf/cm2
</t>
  </si>
  <si>
    <t xml:space="preserve">83550</t>
  </si>
  <si>
    <t xml:space="preserve">WUN-MONITORBOX</t>
  </si>
  <si>
    <t xml:space="preserve">ADVANTEST power supply monitoring box, T5335P</t>
  </si>
  <si>
    <t xml:space="preserve">Removed from working system, in  warehouse
Removed from Advantest T5335P tester, in good condition.
01536135     9728
WUN-MONITORBOX
40012806 A9728B
</t>
  </si>
  <si>
    <t xml:space="preserve">108993</t>
  </si>
  <si>
    <r>
      <rPr>
        <sz val="8"/>
        <rFont val="Arial"/>
        <family val="0"/>
      </rPr>
      <t xml:space="preserve">Advantest / </t>
    </r>
    <r>
      <rPr>
        <sz val="8"/>
        <rFont val="Noto Sans CJK SC"/>
        <family val="2"/>
      </rPr>
      <t xml:space="preserve">アドバンテスト</t>
    </r>
  </si>
  <si>
    <t xml:space="preserve">BGR-018823 REV X03</t>
  </si>
  <si>
    <t xml:space="preserve">PC BOARD FOR ADVANTEST T5335P</t>
  </si>
  <si>
    <t xml:space="preserve">PCB REMOVED FROM A WORKING T5335P TESTER SYSTEM
SEE PHOTOS FOR DETAILS</t>
  </si>
  <si>
    <t xml:space="preserve">109630</t>
  </si>
  <si>
    <t xml:space="preserve">AE (Advanced Energy)</t>
  </si>
  <si>
    <t xml:space="preserve">AM-20</t>
  </si>
  <si>
    <t xml:space="preserve">Sold Ex-Works, UK Office , Part Number:3150171-000</t>
  </si>
  <si>
    <t xml:space="preserve">109632</t>
  </si>
  <si>
    <t xml:space="preserve">AMNPS-2A Controller</t>
  </si>
  <si>
    <t xml:space="preserve">Sold Ex-Works, UK Office , Part Number:3150302-000 A</t>
  </si>
  <si>
    <t xml:space="preserve">109631</t>
  </si>
  <si>
    <t xml:space="preserve">109636</t>
  </si>
  <si>
    <t xml:space="preserve">Analog Control Fixture</t>
  </si>
  <si>
    <t xml:space="preserve">Sold Ex-Works, UK Office , Part Number:3155061-001 A</t>
  </si>
  <si>
    <t xml:space="preserve">109635</t>
  </si>
  <si>
    <t xml:space="preserve">109634</t>
  </si>
  <si>
    <t xml:space="preserve">109633</t>
  </si>
  <si>
    <t xml:space="preserve">109640</t>
  </si>
  <si>
    <t xml:space="preserve">Sold Ex-Works, UK Office , Part Number:A3L5L000BA140D111A</t>
  </si>
  <si>
    <t xml:space="preserve">109639</t>
  </si>
  <si>
    <t xml:space="preserve">Sold Ex-Works, UK Office , Part Number:A3B2A000BA150D011A</t>
  </si>
  <si>
    <t xml:space="preserve">109638</t>
  </si>
  <si>
    <t xml:space="preserve">Sold Ex-Works, UK Office , Part Number:3156111-004 C</t>
  </si>
  <si>
    <t xml:space="preserve">109642</t>
  </si>
  <si>
    <t xml:space="preserve">Apex 3013</t>
  </si>
  <si>
    <t xml:space="preserve">Sold Ex-Works, UK Office , Part Number:3156113-007 , Secondary 
P/N:27-278933-00</t>
  </si>
  <si>
    <t xml:space="preserve">109641</t>
  </si>
  <si>
    <t xml:space="preserve">109645</t>
  </si>
  <si>
    <t xml:space="preserve">Aspect 2513</t>
  </si>
  <si>
    <t xml:space="preserve">Sold Ex-Works, UK Office , Part Number:Aspect 2513</t>
  </si>
  <si>
    <t xml:space="preserve">109644</t>
  </si>
  <si>
    <t xml:space="preserve">109646</t>
  </si>
  <si>
    <t xml:space="preserve">Aspect 5013</t>
  </si>
  <si>
    <t xml:space="preserve">Sold Ex-Works, UK Office , Part Number:</t>
  </si>
  <si>
    <t xml:space="preserve">109647</t>
  </si>
  <si>
    <t xml:space="preserve">ATN Match</t>
  </si>
  <si>
    <t xml:space="preserve">Sold Ex-Works, UK Office , Part Number:5026-001 B</t>
  </si>
  <si>
    <t xml:space="preserve">109651</t>
  </si>
  <si>
    <t xml:space="preserve">ATX 600</t>
  </si>
  <si>
    <t xml:space="preserve">Sold Ex-Works, UK Office , Part Number:3155017-014 F</t>
  </si>
  <si>
    <t xml:space="preserve">109650</t>
  </si>
  <si>
    <t xml:space="preserve">109649</t>
  </si>
  <si>
    <t xml:space="preserve">109648</t>
  </si>
  <si>
    <t xml:space="preserve">Sold Ex-Works, UK Office , Part Number:3155017-000 L</t>
  </si>
  <si>
    <t xml:space="preserve">109652</t>
  </si>
  <si>
    <t xml:space="preserve">ATX 600 Controller</t>
  </si>
  <si>
    <t xml:space="preserve">Sold Ex-Works, UK Office , Part Number:3155022-000 E</t>
  </si>
  <si>
    <t xml:space="preserve">109654</t>
  </si>
  <si>
    <t xml:space="preserve">Sold Ex-Works, UK Office , Part Number:3155036-000 E</t>
  </si>
  <si>
    <t xml:space="preserve">109653</t>
  </si>
  <si>
    <t xml:space="preserve">109656</t>
  </si>
  <si>
    <t xml:space="preserve">AZX 10 Controller</t>
  </si>
  <si>
    <t xml:space="preserve">Sold Ex-Works, UK Office , Part Number:3155050-000</t>
  </si>
  <si>
    <t xml:space="preserve">109658</t>
  </si>
  <si>
    <t xml:space="preserve">AZX 63 Bias</t>
  </si>
  <si>
    <t xml:space="preserve">Sold Ex-Works, UK Office , Part Number:3155031-014 D</t>
  </si>
  <si>
    <t xml:space="preserve">109657</t>
  </si>
  <si>
    <t xml:space="preserve">Sold Ex-Works, UK Office , Part Number:3155031-000 G</t>
  </si>
  <si>
    <t xml:space="preserve">109660</t>
  </si>
  <si>
    <t xml:space="preserve">AZX 63 Controller HTCM</t>
  </si>
  <si>
    <t xml:space="preserve">Sold Ex-Works, UK Office , Part Number:1345193 D</t>
  </si>
  <si>
    <t xml:space="preserve">109659</t>
  </si>
  <si>
    <t xml:space="preserve">109661</t>
  </si>
  <si>
    <t xml:space="preserve">AZX Box Module</t>
  </si>
  <si>
    <t xml:space="preserve">Sold Ex-Works, UK Office , Part Number:3155037-000 C</t>
  </si>
  <si>
    <t xml:space="preserve">109665</t>
  </si>
  <si>
    <t xml:space="preserve">AZX Controller</t>
  </si>
  <si>
    <t xml:space="preserve">Sold Ex-Works, UK Office , Part Number:3155050-003 A</t>
  </si>
  <si>
    <t xml:space="preserve">109664</t>
  </si>
  <si>
    <t xml:space="preserve">Sold Ex-Works, UK Office , Part Number:3155050-000 C</t>
  </si>
  <si>
    <t xml:space="preserve">109663</t>
  </si>
  <si>
    <t xml:space="preserve">109662</t>
  </si>
  <si>
    <t xml:space="preserve">Sold Ex-Works, UK Office , Part Number:3155039-001 A</t>
  </si>
  <si>
    <t xml:space="preserve">109666</t>
  </si>
  <si>
    <t xml:space="preserve">Cesar </t>
  </si>
  <si>
    <t xml:space="preserve">Sold Ex-Works, UK Office , Part Number:61300057</t>
  </si>
  <si>
    <t xml:space="preserve">109672</t>
  </si>
  <si>
    <t xml:space="preserve">Cesar 136</t>
  </si>
  <si>
    <t xml:space="preserve">Sold Ex-Works, UK Office , Part Number:61300048</t>
  </si>
  <si>
    <t xml:space="preserve">109671</t>
  </si>
  <si>
    <t xml:space="preserve">109667</t>
  </si>
  <si>
    <t xml:space="preserve">Cesar 0230</t>
  </si>
  <si>
    <t xml:space="preserve">Sold Ex-Works, UK Office , Part Number:60200061</t>
  </si>
  <si>
    <t xml:space="preserve">109668</t>
  </si>
  <si>
    <t xml:space="preserve">Cesar 1310</t>
  </si>
  <si>
    <t xml:space="preserve">Sold Ex-Works, UK Office , Part Number:61300050</t>
  </si>
  <si>
    <t xml:space="preserve">109670</t>
  </si>
  <si>
    <t xml:space="preserve">Cesar 1312</t>
  </si>
  <si>
    <t xml:space="preserve">109669</t>
  </si>
  <si>
    <t xml:space="preserve">109673</t>
  </si>
  <si>
    <t xml:space="preserve">Cesar 2710</t>
  </si>
  <si>
    <t xml:space="preserve">Sold Ex-Works, UK Office , Part Number:61400022</t>
  </si>
  <si>
    <t xml:space="preserve">109676</t>
  </si>
  <si>
    <t xml:space="preserve">Cesar 2720</t>
  </si>
  <si>
    <t xml:space="preserve">Sold Ex-Works, UK Office , Part Number:61400034</t>
  </si>
  <si>
    <t xml:space="preserve">109675</t>
  </si>
  <si>
    <t xml:space="preserve">109674</t>
  </si>
  <si>
    <t xml:space="preserve">109677</t>
  </si>
  <si>
    <t xml:space="preserve">Controller</t>
  </si>
  <si>
    <t xml:space="preserve">Sold Ex-Works, UK Office , Part Number:3150301-000</t>
  </si>
  <si>
    <t xml:space="preserve">109678</t>
  </si>
  <si>
    <t xml:space="preserve">Counter/Display</t>
  </si>
  <si>
    <t xml:space="preserve">Sold Ex-Works, UK Office , Part Number:3152328-000 B</t>
  </si>
  <si>
    <t xml:space="preserve">109680</t>
  </si>
  <si>
    <t xml:space="preserve">Dome Match</t>
  </si>
  <si>
    <t xml:space="preserve">Sold Ex-Works, UK Office , Part Number:3155086-102 , Secondary 
P/N:1110-0106-102</t>
  </si>
  <si>
    <t xml:space="preserve">109679</t>
  </si>
  <si>
    <t xml:space="preserve">Sold Ex-Works, UK Office , Part Number:3155086-102 , Secondary 
P/N:1110-01063W</t>
  </si>
  <si>
    <t xml:space="preserve">109682</t>
  </si>
  <si>
    <t xml:space="preserve">Dome Match </t>
  </si>
  <si>
    <t xml:space="preserve">Sold Ex-Works, UK Office , Part Number:3155086-604 , Secondary 
P/N:1110-00157</t>
  </si>
  <si>
    <t xml:space="preserve">109681</t>
  </si>
  <si>
    <t xml:space="preserve">109684</t>
  </si>
  <si>
    <t xml:space="preserve">Fixed Match</t>
  </si>
  <si>
    <t xml:space="preserve">Sold Ex-Works, UK Office , Part Number:WATER COOLED 3155077-001A, Secondary 
P/N:20-J28</t>
  </si>
  <si>
    <t xml:space="preserve">109683</t>
  </si>
  <si>
    <t xml:space="preserve">Sold Ex-Works, UK Office , Part Number:EX1 / FP2241R1</t>
  </si>
  <si>
    <t xml:space="preserve">109690</t>
  </si>
  <si>
    <t xml:space="preserve">Gencal Power Meter</t>
  </si>
  <si>
    <t xml:space="preserve">Sold Ex-Works, UK Office , Part Number:3152288-001 B</t>
  </si>
  <si>
    <t xml:space="preserve">109689</t>
  </si>
  <si>
    <t xml:space="preserve">Sold Ex-Works, UK Office , Part Number:3152288-000 E</t>
  </si>
  <si>
    <t xml:space="preserve">109688</t>
  </si>
  <si>
    <t xml:space="preserve">109687</t>
  </si>
  <si>
    <t xml:space="preserve">109686</t>
  </si>
  <si>
    <t xml:space="preserve">109685</t>
  </si>
  <si>
    <t xml:space="preserve">Sold Ex-Works, UK Office , Part Number:3152288-000 D</t>
  </si>
  <si>
    <t xml:space="preserve">109693</t>
  </si>
  <si>
    <t xml:space="preserve">GenCal Power Sensor</t>
  </si>
  <si>
    <t xml:space="preserve">Sold Ex-Works, UK Office , Part Number:3152289-000 C</t>
  </si>
  <si>
    <t xml:space="preserve">109692</t>
  </si>
  <si>
    <t xml:space="preserve">109691</t>
  </si>
  <si>
    <t xml:space="preserve">109694</t>
  </si>
  <si>
    <t xml:space="preserve">HFG 5000</t>
  </si>
  <si>
    <t xml:space="preserve">Sold Ex-Works, UK Office , Part Number:3155095-001 A</t>
  </si>
  <si>
    <t xml:space="preserve">109698</t>
  </si>
  <si>
    <t xml:space="preserve">HFV 8000</t>
  </si>
  <si>
    <t xml:space="preserve">Sold Ex-Works, UK Office , Part Number:3155083-192 A</t>
  </si>
  <si>
    <t xml:space="preserve">109697</t>
  </si>
  <si>
    <t xml:space="preserve">Sold Ex-Works, UK Office , Part Number:3155083-192 A , Secondary 
P/N:0190-15553-002</t>
  </si>
  <si>
    <t xml:space="preserve">109696</t>
  </si>
  <si>
    <t xml:space="preserve">109695</t>
  </si>
  <si>
    <t xml:space="preserve">Sold Ex-Works, UK Office , Part Number:3155083-180 A</t>
  </si>
  <si>
    <t xml:space="preserve">109702</t>
  </si>
  <si>
    <t xml:space="preserve">Hilight 133</t>
  </si>
  <si>
    <t xml:space="preserve">Sold Ex-Works, UK Office , Part Number:61300025</t>
  </si>
  <si>
    <t xml:space="preserve">109701</t>
  </si>
  <si>
    <t xml:space="preserve">109700</t>
  </si>
  <si>
    <t xml:space="preserve">109699</t>
  </si>
  <si>
    <t xml:space="preserve">109704</t>
  </si>
  <si>
    <t xml:space="preserve">Sold Ex-Works, UK Office , Part Number:61300027L</t>
  </si>
  <si>
    <t xml:space="preserve">109705</t>
  </si>
  <si>
    <t xml:space="preserve">ION Source Supply</t>
  </si>
  <si>
    <t xml:space="preserve">Sold Ex-Works, UK Office , Part Number:1101001 D</t>
  </si>
  <si>
    <t xml:space="preserve">109710</t>
  </si>
  <si>
    <t xml:space="preserve">LF-5</t>
  </si>
  <si>
    <t xml:space="preserve">Sold Ex-Works, UK Office , Part Number:3150012-000</t>
  </si>
  <si>
    <t xml:space="preserve">109709</t>
  </si>
  <si>
    <t xml:space="preserve">Sold Ex-Works, UK Office , Part Number:3150011-002</t>
  </si>
  <si>
    <t xml:space="preserve">109708</t>
  </si>
  <si>
    <t xml:space="preserve">Sold Ex-Works, UK Office , Part Number:3150011-000</t>
  </si>
  <si>
    <t xml:space="preserve">109707</t>
  </si>
  <si>
    <t xml:space="preserve">109706</t>
  </si>
  <si>
    <t xml:space="preserve">109711</t>
  </si>
  <si>
    <t xml:space="preserve">MDX 1.5</t>
  </si>
  <si>
    <t xml:space="preserve">Sold Ex-Works, UK Office , Part Number:3152240-007 C</t>
  </si>
  <si>
    <t xml:space="preserve">109712</t>
  </si>
  <si>
    <t xml:space="preserve">MDX 1.5K</t>
  </si>
  <si>
    <t xml:space="preserve">Sold Ex-Works, UK Office , Part Number:2164-000-A</t>
  </si>
  <si>
    <t xml:space="preserve">109713</t>
  </si>
  <si>
    <t xml:space="preserve">MDX 1.5K </t>
  </si>
  <si>
    <t xml:space="preserve">Sold Ex-Works, UK Office , Part Number:3152164-009 E</t>
  </si>
  <si>
    <t xml:space="preserve">109714</t>
  </si>
  <si>
    <t xml:space="preserve">MDX 10K</t>
  </si>
  <si>
    <t xml:space="preserve">109718</t>
  </si>
  <si>
    <t xml:space="preserve">MDX 20K Master</t>
  </si>
  <si>
    <t xml:space="preserve">Sold Ex-Works, UK Office , Part Number:3152223-044 A</t>
  </si>
  <si>
    <t xml:space="preserve">109717</t>
  </si>
  <si>
    <t xml:space="preserve">Sold Ex-Works, UK Office , Part Number:3152223-041 B</t>
  </si>
  <si>
    <t xml:space="preserve">109716</t>
  </si>
  <si>
    <t xml:space="preserve">109715</t>
  </si>
  <si>
    <t xml:space="preserve">Sold Ex-Works, UK Office , Part Number:3152223-032 B</t>
  </si>
  <si>
    <t xml:space="preserve">109719</t>
  </si>
  <si>
    <t xml:space="preserve">MDX Controller</t>
  </si>
  <si>
    <t xml:space="preserve">Sold Ex-Works, UK Office , Part Number:3152334-000 B</t>
  </si>
  <si>
    <t xml:space="preserve">109720</t>
  </si>
  <si>
    <t xml:space="preserve">MDX DELTA SLAVE </t>
  </si>
  <si>
    <t xml:space="preserve">Sold Ex-Works, UK Office , Part Number:3152194-008 Y</t>
  </si>
  <si>
    <t xml:space="preserve">109721</t>
  </si>
  <si>
    <t xml:space="preserve">MDX II Calibration Box</t>
  </si>
  <si>
    <t xml:space="preserve">Sold Ex-Works, UK Office , Part Number:2285 000 A</t>
  </si>
  <si>
    <t xml:space="preserve">109722</t>
  </si>
  <si>
    <t xml:space="preserve">MDX Magnetron</t>
  </si>
  <si>
    <t xml:space="preserve">Sold Ex-Works, UK Office , Part Number:3152011-011 C</t>
  </si>
  <si>
    <t xml:space="preserve">109723</t>
  </si>
  <si>
    <t xml:space="preserve">MDX Magnetron Drive</t>
  </si>
  <si>
    <t xml:space="preserve">Sold Ex-Works, UK Office , Part Number:3152194-016 W</t>
  </si>
  <si>
    <t xml:space="preserve">109724</t>
  </si>
  <si>
    <t xml:space="preserve">MDX Master</t>
  </si>
  <si>
    <t xml:space="preserve">Sold Ex-Works, UK Office , Part Number:2194-013 W</t>
  </si>
  <si>
    <t xml:space="preserve">109725</t>
  </si>
  <si>
    <t xml:space="preserve">MDX Slave</t>
  </si>
  <si>
    <t xml:space="preserve">Sold Ex-Works, UK Office , Part Number:2169-005-01</t>
  </si>
  <si>
    <t xml:space="preserve">109735</t>
  </si>
  <si>
    <t xml:space="preserve">MDX-5K</t>
  </si>
  <si>
    <t xml:space="preserve">Sold Ex-Works, UK Office , Part Number:3152011-029 Y</t>
  </si>
  <si>
    <t xml:space="preserve">109734</t>
  </si>
  <si>
    <t xml:space="preserve">Sold Ex-Works, UK Office , Part Number:2011-029 G</t>
  </si>
  <si>
    <t xml:space="preserve">109733</t>
  </si>
  <si>
    <t xml:space="preserve">Sold Ex-Works, UK Office , Part Number:2011-029 C</t>
  </si>
  <si>
    <t xml:space="preserve">109727</t>
  </si>
  <si>
    <t xml:space="preserve">MDX-10K Master</t>
  </si>
  <si>
    <t xml:space="preserve">Sold Ex-Works, UK Office , Part Number:2223-032 B</t>
  </si>
  <si>
    <t xml:space="preserve">109726</t>
  </si>
  <si>
    <t xml:space="preserve">109728</t>
  </si>
  <si>
    <t xml:space="preserve">MDX-10K Slave</t>
  </si>
  <si>
    <t xml:space="preserve">Sold Ex-Works, UK Office , Part Number:3152012–137 B</t>
  </si>
  <si>
    <t xml:space="preserve">109732</t>
  </si>
  <si>
    <t xml:space="preserve">MDX-20K Slave</t>
  </si>
  <si>
    <t xml:space="preserve">Sold Ex-Works, UK Office , Part Number:3152012-114 B</t>
  </si>
  <si>
    <t xml:space="preserve">109731</t>
  </si>
  <si>
    <t xml:space="preserve">Sold Ex-Works, UK Office , Part Number:3152012-101 C</t>
  </si>
  <si>
    <t xml:space="preserve">109730</t>
  </si>
  <si>
    <t xml:space="preserve">109729</t>
  </si>
  <si>
    <t xml:space="preserve">109738</t>
  </si>
  <si>
    <t xml:space="preserve">MDX-L Diagnostic Controller</t>
  </si>
  <si>
    <t xml:space="preserve">Sold Ex-Works, UK Office , Part Number:3152292-000 B</t>
  </si>
  <si>
    <t xml:space="preserve">109737</t>
  </si>
  <si>
    <t xml:space="preserve">109736</t>
  </si>
  <si>
    <t xml:space="preserve">109742</t>
  </si>
  <si>
    <t xml:space="preserve">Mercury 10013</t>
  </si>
  <si>
    <t xml:space="preserve">Sold Ex-Works, UK Office , Part Number:3150273-005 A , Secondary 
P/N:27-256558-00</t>
  </si>
  <si>
    <t xml:space="preserve">109741</t>
  </si>
  <si>
    <t xml:space="preserve">Sold Ex-Works, UK Office , Part Number:3150273-004 B , Secondary 
P/N:27-256558-00</t>
  </si>
  <si>
    <t xml:space="preserve">109740</t>
  </si>
  <si>
    <t xml:space="preserve">Sold Ex-Works, UK Office , Part Number:3150273-004 , Secondary 
P/N:R27-256558-00</t>
  </si>
  <si>
    <t xml:space="preserve">109739</t>
  </si>
  <si>
    <t xml:space="preserve">Sold Ex-Works, UK Office , Part Number:3150273-004 , Secondary 
P/N:27-256558-00</t>
  </si>
  <si>
    <t xml:space="preserve">109743</t>
  </si>
  <si>
    <t xml:space="preserve">Mercury d2</t>
  </si>
  <si>
    <t xml:space="preserve">Sold Ex-Works, UK Office , Part Number:3150272-006 , Secondary 
P/N:R1912078700</t>
  </si>
  <si>
    <t xml:space="preserve">109745</t>
  </si>
  <si>
    <t xml:space="preserve">Mini-Panel</t>
  </si>
  <si>
    <t xml:space="preserve">Sold Ex-Works, UK Office , Part Number:31522327-100 A</t>
  </si>
  <si>
    <t xml:space="preserve">109744</t>
  </si>
  <si>
    <t xml:space="preserve">109746</t>
  </si>
  <si>
    <t xml:space="preserve">Navigator </t>
  </si>
  <si>
    <t xml:space="preserve">Sold Ex-Works, UK Office , Part Number:3155162-002C</t>
  </si>
  <si>
    <t xml:space="preserve">109747</t>
  </si>
  <si>
    <t xml:space="preserve">Navigator 10013-L80</t>
  </si>
  <si>
    <t xml:space="preserve">Sold Ex-Works, UK Office , Part Number:3155162-002 E , Secondary 
P/N:27-279938-00</t>
  </si>
  <si>
    <t xml:space="preserve">109749</t>
  </si>
  <si>
    <t xml:space="preserve">Navigator Match</t>
  </si>
  <si>
    <t xml:space="preserve">Sold Ex-Works, UK Office , Part Number:3155162-037 B , Secondary 
P/N:27-368450-00</t>
  </si>
  <si>
    <t xml:space="preserve">109748</t>
  </si>
  <si>
    <t xml:space="preserve">Sold Ex-Works, UK Office , Part Number:3155162-002 F , Secondary 
P/N:27-279938-00</t>
  </si>
  <si>
    <t xml:space="preserve">109750</t>
  </si>
  <si>
    <t xml:space="preserve">Ovation 2060</t>
  </si>
  <si>
    <t xml:space="preserve">Sold Ex-Works, UK Office , Part Number:3150852-005</t>
  </si>
  <si>
    <t xml:space="preserve">109754</t>
  </si>
  <si>
    <t xml:space="preserve">Ovation 35162</t>
  </si>
  <si>
    <t xml:space="preserve">Sold Ex-Works, UK Office , Part Number:3150861-002 D , Secondary 
P/N:0190-27049-003</t>
  </si>
  <si>
    <t xml:space="preserve">109753</t>
  </si>
  <si>
    <t xml:space="preserve">109752</t>
  </si>
  <si>
    <t xml:space="preserve">109756</t>
  </si>
  <si>
    <t xml:space="preserve">Paramount 3013</t>
  </si>
  <si>
    <t xml:space="preserve">Sold Ex-Works, UK Office , Part Number:3156330-025 B</t>
  </si>
  <si>
    <t xml:space="preserve">109755</t>
  </si>
  <si>
    <t xml:space="preserve">Sold Ex-Works, UK Office , Part Number:3156330-000 A</t>
  </si>
  <si>
    <t xml:space="preserve">109759</t>
  </si>
  <si>
    <t xml:space="preserve">PDW 600</t>
  </si>
  <si>
    <t xml:space="preserve">Sold Ex-Works, UK Office , Part Number:6014-000 B</t>
  </si>
  <si>
    <t xml:space="preserve">109758</t>
  </si>
  <si>
    <t xml:space="preserve">Sold Ex-Works, UK Office , Part Number:3156014-000 B , Secondary 
P/N:853-015516-003</t>
  </si>
  <si>
    <t xml:space="preserve">109757</t>
  </si>
  <si>
    <t xml:space="preserve">PDW 2200</t>
  </si>
  <si>
    <t xml:space="preserve">Sold Ex-Works, UK Office , Part Number:3156011-002 A , Secondary 
P/N:853-015516-004</t>
  </si>
  <si>
    <t xml:space="preserve">109762</t>
  </si>
  <si>
    <t xml:space="preserve">PDW Controller</t>
  </si>
  <si>
    <t xml:space="preserve">Sold Ex-Works, UK Office , Part Number:6029-000-B</t>
  </si>
  <si>
    <t xml:space="preserve">109761</t>
  </si>
  <si>
    <t xml:space="preserve">Sold Ex-Works, UK Office , Part Number:6029-000-A</t>
  </si>
  <si>
    <t xml:space="preserve">109760</t>
  </si>
  <si>
    <t xml:space="preserve">109769</t>
  </si>
  <si>
    <t xml:space="preserve">109768</t>
  </si>
  <si>
    <t xml:space="preserve">Sold Ex-Works, UK Office , Part Number:3156012-201 C , Secondary 
P/N:27-155909-00</t>
  </si>
  <si>
    <t xml:space="preserve">109767</t>
  </si>
  <si>
    <t xml:space="preserve">Sold Ex-Works, UK Office , Part Number:3156012-201 C , Secondary 
P/N:27-293721-00</t>
  </si>
  <si>
    <t xml:space="preserve">109766</t>
  </si>
  <si>
    <t xml:space="preserve">109765</t>
  </si>
  <si>
    <t xml:space="preserve">109764</t>
  </si>
  <si>
    <t xml:space="preserve">Sold Ex-Works, UK Office , Part Number:3156012-201 B , Secondary 
P/N:27-155909-00</t>
  </si>
  <si>
    <t xml:space="preserve">109763</t>
  </si>
  <si>
    <t xml:space="preserve">109772</t>
  </si>
  <si>
    <t xml:space="preserve">PDX II PLASMA DRIVE 2000</t>
  </si>
  <si>
    <t xml:space="preserve">Sold Ex-Works, UK Office , Part Number:3150310-100 A , Secondary 
P/N:660-078400-002</t>
  </si>
  <si>
    <t xml:space="preserve">109773</t>
  </si>
  <si>
    <t xml:space="preserve">PE-1000</t>
  </si>
  <si>
    <t xml:space="preserve">Sold Ex-Works, UK Office , Part Number:PE 1000</t>
  </si>
  <si>
    <t xml:space="preserve">109776</t>
  </si>
  <si>
    <t xml:space="preserve">Sold Ex-Works, UK Office , Part Number:3157504-012</t>
  </si>
  <si>
    <t xml:space="preserve">109775</t>
  </si>
  <si>
    <t xml:space="preserve">109774</t>
  </si>
  <si>
    <t xml:space="preserve">109778</t>
  </si>
  <si>
    <t xml:space="preserve">PEII 5K</t>
  </si>
  <si>
    <t xml:space="preserve">Sold Ex-Works, UK Office , Part Number:3157601-100 G</t>
  </si>
  <si>
    <t xml:space="preserve">109809</t>
  </si>
  <si>
    <t xml:space="preserve">Pinnacle 6k</t>
  </si>
  <si>
    <t xml:space="preserve">Sold Ex-Works, UK Office , Part Number:3152429-129 K</t>
  </si>
  <si>
    <t xml:space="preserve">109808</t>
  </si>
  <si>
    <t xml:space="preserve">Sold Ex-Works, UK Office , Part Number:3152411-219 A , Secondary 
P/N:0190-34931-000</t>
  </si>
  <si>
    <t xml:space="preserve">109807</t>
  </si>
  <si>
    <t xml:space="preserve">Sold Ex-Works, UK Office , Part Number:3152338-019 A</t>
  </si>
  <si>
    <t xml:space="preserve">109806</t>
  </si>
  <si>
    <t xml:space="preserve">Sold Ex-Works, UK Office , Part Number:3152338-001 B</t>
  </si>
  <si>
    <t xml:space="preserve">109805</t>
  </si>
  <si>
    <t xml:space="preserve">Sold Ex-Works, UK Office , Part Number:3152326-100 B</t>
  </si>
  <si>
    <t xml:space="preserve">109804</t>
  </si>
  <si>
    <t xml:space="preserve">109803</t>
  </si>
  <si>
    <t xml:space="preserve">109802</t>
  </si>
  <si>
    <t xml:space="preserve">Sold Ex-Works, UK Office , Part Number:3152326-100 A</t>
  </si>
  <si>
    <t xml:space="preserve">109790</t>
  </si>
  <si>
    <t xml:space="preserve">Pinnacle 10K</t>
  </si>
  <si>
    <t xml:space="preserve">Sold Ex-Works, UK Office , Part Number:3152414-222 A</t>
  </si>
  <si>
    <t xml:space="preserve">109789</t>
  </si>
  <si>
    <t xml:space="preserve">109788</t>
  </si>
  <si>
    <t xml:space="preserve">109787</t>
  </si>
  <si>
    <t xml:space="preserve">Sold Ex-Works, UK Office , Part Number:3152414-145 E</t>
  </si>
  <si>
    <t xml:space="preserve">109786</t>
  </si>
  <si>
    <t xml:space="preserve">109785</t>
  </si>
  <si>
    <t xml:space="preserve">109784</t>
  </si>
  <si>
    <t xml:space="preserve">109783</t>
  </si>
  <si>
    <t xml:space="preserve">Pinnacle 10k</t>
  </si>
  <si>
    <t xml:space="preserve">Sold Ex-Works, UK Office , Part Number:3152414-145 C</t>
  </si>
  <si>
    <t xml:space="preserve">109782</t>
  </si>
  <si>
    <t xml:space="preserve">Sold Ex-Works, UK Office , Part Number:3152414-122 Q</t>
  </si>
  <si>
    <t xml:space="preserve">109781</t>
  </si>
  <si>
    <t xml:space="preserve">Sold Ex-Works, UK Office , Part Number:3152414-122 M</t>
  </si>
  <si>
    <t xml:space="preserve">109780</t>
  </si>
  <si>
    <t xml:space="preserve">Sold Ex-Works, UK Office , Part Number:3152414-122 L</t>
  </si>
  <si>
    <t xml:space="preserve">109779</t>
  </si>
  <si>
    <t xml:space="preserve">Sold Ex-Works, UK Office , Part Number:3152414-122 J</t>
  </si>
  <si>
    <t xml:space="preserve">109793</t>
  </si>
  <si>
    <t xml:space="preserve">Pinnacle 12k</t>
  </si>
  <si>
    <t xml:space="preserve">Sold Ex-Works, UK Office , Part Number:3152363-031 C</t>
  </si>
  <si>
    <t xml:space="preserve">109792</t>
  </si>
  <si>
    <t xml:space="preserve">Sold Ex-Works, UK Office , Part Number:3152363-015 A</t>
  </si>
  <si>
    <t xml:space="preserve">109791</t>
  </si>
  <si>
    <t xml:space="preserve">109795</t>
  </si>
  <si>
    <t xml:space="preserve">Pinnacle 15k</t>
  </si>
  <si>
    <t xml:space="preserve">Sold Ex-Works, UK Office , Part Number:3152353-120 B</t>
  </si>
  <si>
    <t xml:space="preserve">109794</t>
  </si>
  <si>
    <t xml:space="preserve">Sold Ex-Works, UK Office , Part Number:3152353-120 B , Secondary 
P/N:B5181854DG</t>
  </si>
  <si>
    <t xml:space="preserve">109801</t>
  </si>
  <si>
    <t xml:space="preserve">Pinnacle 20k</t>
  </si>
  <si>
    <t xml:space="preserve">Sold Ex-Works, UK Office , Part Number:3152391-205 A</t>
  </si>
  <si>
    <t xml:space="preserve">109800</t>
  </si>
  <si>
    <t xml:space="preserve">109799</t>
  </si>
  <si>
    <t xml:space="preserve">109798</t>
  </si>
  <si>
    <t xml:space="preserve">109797</t>
  </si>
  <si>
    <t xml:space="preserve">109796</t>
  </si>
  <si>
    <t xml:space="preserve">109816</t>
  </si>
  <si>
    <t xml:space="preserve">Pinnacle Controller</t>
  </si>
  <si>
    <t xml:space="preserve">Sold Ex-Works, UK Office , Part Number:3152388-003 A</t>
  </si>
  <si>
    <t xml:space="preserve">109815</t>
  </si>
  <si>
    <t xml:space="preserve">Sold Ex-Works, UK Office , Part Number:3152327-000 C</t>
  </si>
  <si>
    <t xml:space="preserve">109814</t>
  </si>
  <si>
    <t xml:space="preserve">109813</t>
  </si>
  <si>
    <t xml:space="preserve">Sold Ex-Works, UK Office , Part Number:3152327-000 B</t>
  </si>
  <si>
    <t xml:space="preserve">109812</t>
  </si>
  <si>
    <t xml:space="preserve">109811</t>
  </si>
  <si>
    <t xml:space="preserve">109810</t>
  </si>
  <si>
    <t xml:space="preserve">Sold Ex-Works, UK Office , Part Number:3152327-000</t>
  </si>
  <si>
    <t xml:space="preserve">109817</t>
  </si>
  <si>
    <t xml:space="preserve">Pinnacle Dual 6k</t>
  </si>
  <si>
    <t xml:space="preserve">Sold Ex-Works, UK Office , Part Number:3152427-114 A</t>
  </si>
  <si>
    <t xml:space="preserve">109822</t>
  </si>
  <si>
    <t xml:space="preserve">Pinnacle Plus 5k</t>
  </si>
  <si>
    <t xml:space="preserve">Sold Ex-Works, UK Office , Part Number:3152437-355 A</t>
  </si>
  <si>
    <t xml:space="preserve">109821</t>
  </si>
  <si>
    <t xml:space="preserve">Sold Ex-Works, UK Office , Part Number:3152436-359 N</t>
  </si>
  <si>
    <t xml:space="preserve">109820</t>
  </si>
  <si>
    <t xml:space="preserve">Sold Ex-Works, UK Office , Part Number:3152436-359 L</t>
  </si>
  <si>
    <t xml:space="preserve">109819</t>
  </si>
  <si>
    <t xml:space="preserve">Sold Ex-Works, UK Office , Part Number:3152436-359 J</t>
  </si>
  <si>
    <t xml:space="preserve">109835</t>
  </si>
  <si>
    <t xml:space="preserve">PMH13/3000</t>
  </si>
  <si>
    <t xml:space="preserve">Sold Ex-Works, UK Office , Part Number:3152290-000 C , Secondary P/N:Power 
Sensor</t>
  </si>
  <si>
    <t xml:space="preserve">109834</t>
  </si>
  <si>
    <t xml:space="preserve">109833</t>
  </si>
  <si>
    <t xml:space="preserve">109823</t>
  </si>
  <si>
    <t xml:space="preserve">PMH 13/3000</t>
  </si>
  <si>
    <t xml:space="preserve">Sold Ex-Works, UK Office , Part Number:3152290-000 D , Secondary P/N:Power 
Sensor</t>
  </si>
  <si>
    <t xml:space="preserve">109832</t>
  </si>
  <si>
    <t xml:space="preserve">PMH 400/2200</t>
  </si>
  <si>
    <t xml:space="preserve">Sold Ex-Works, UK Office , Part Number:3152291-000 , Secondary P/N:Power 
Sensor</t>
  </si>
  <si>
    <t xml:space="preserve">109831</t>
  </si>
  <si>
    <t xml:space="preserve">109830</t>
  </si>
  <si>
    <t xml:space="preserve">109829</t>
  </si>
  <si>
    <t xml:space="preserve">109828</t>
  </si>
  <si>
    <t xml:space="preserve">109827</t>
  </si>
  <si>
    <t xml:space="preserve">109826</t>
  </si>
  <si>
    <t xml:space="preserve">109825</t>
  </si>
  <si>
    <t xml:space="preserve">109824</t>
  </si>
  <si>
    <t xml:space="preserve">109836</t>
  </si>
  <si>
    <t xml:space="preserve">Power Sensor</t>
  </si>
  <si>
    <t xml:space="preserve">Sold Ex-Works, UK Office , Part Number:2290-000C</t>
  </si>
  <si>
    <t xml:space="preserve">109844</t>
  </si>
  <si>
    <t xml:space="preserve">RF-5S</t>
  </si>
  <si>
    <t xml:space="preserve">Sold Ex-Works, UK Office , Part Number:7510313017</t>
  </si>
  <si>
    <t xml:space="preserve">109843</t>
  </si>
  <si>
    <t xml:space="preserve">Sold Ex-Works, UK Office , Part Number:3150853-000</t>
  </si>
  <si>
    <t xml:space="preserve">109842</t>
  </si>
  <si>
    <t xml:space="preserve">Sold Ex-Works, UK Office , Part Number:3150004-020</t>
  </si>
  <si>
    <t xml:space="preserve">109841</t>
  </si>
  <si>
    <t xml:space="preserve">Sold Ex-Works, UK Office , Part Number:3150004-012 G</t>
  </si>
  <si>
    <t xml:space="preserve">109837</t>
  </si>
  <si>
    <t xml:space="preserve">RF-20</t>
  </si>
  <si>
    <t xml:space="preserve">Sold Ex-Works, UK Office , Part Number:3150073-000</t>
  </si>
  <si>
    <t xml:space="preserve">109838</t>
  </si>
  <si>
    <t xml:space="preserve">RF-30P</t>
  </si>
  <si>
    <t xml:space="preserve">Sold Ex-Works, UK Office , Part Number:3150281-000</t>
  </si>
  <si>
    <t xml:space="preserve">109840</t>
  </si>
  <si>
    <t xml:space="preserve">Sold Ex-Works, UK Office , Part Number:3150077-000</t>
  </si>
  <si>
    <t xml:space="preserve">109839</t>
  </si>
  <si>
    <t xml:space="preserve">Sold Ex-Works, UK Office , Part Number:3150017-028</t>
  </si>
  <si>
    <t xml:space="preserve">109847</t>
  </si>
  <si>
    <t xml:space="preserve">RFG 3002</t>
  </si>
  <si>
    <t xml:space="preserve">Sold Ex-Works, UK Office , Part Number:3155089-010 B</t>
  </si>
  <si>
    <t xml:space="preserve">109861</t>
  </si>
  <si>
    <t xml:space="preserve">RFX 600</t>
  </si>
  <si>
    <t xml:space="preserve">Sold Ex-Works, UK Office , Part Number:5002-021 C</t>
  </si>
  <si>
    <t xml:space="preserve">109860</t>
  </si>
  <si>
    <t xml:space="preserve">Sold Ex-Works, UK Office , Part Number:5002-000 K</t>
  </si>
  <si>
    <t xml:space="preserve">109859</t>
  </si>
  <si>
    <t xml:space="preserve">Sold Ex-Works, UK Office , Part Number:3155002-032 D</t>
  </si>
  <si>
    <t xml:space="preserve">109858</t>
  </si>
  <si>
    <t xml:space="preserve">109857</t>
  </si>
  <si>
    <t xml:space="preserve">109856</t>
  </si>
  <si>
    <t xml:space="preserve">109855</t>
  </si>
  <si>
    <t xml:space="preserve">Sold Ex-Works, UK Office , Part Number:3155002-032 C</t>
  </si>
  <si>
    <t xml:space="preserve">109854</t>
  </si>
  <si>
    <t xml:space="preserve">109853</t>
  </si>
  <si>
    <t xml:space="preserve">Sold Ex-Works, UK Office , Part Number:3155002-032 B</t>
  </si>
  <si>
    <t xml:space="preserve">109852</t>
  </si>
  <si>
    <t xml:space="preserve">109851</t>
  </si>
  <si>
    <t xml:space="preserve">109850</t>
  </si>
  <si>
    <t xml:space="preserve">109849</t>
  </si>
  <si>
    <t xml:space="preserve">Sold Ex-Works, UK Office , Part Number:3155002-032</t>
  </si>
  <si>
    <t xml:space="preserve">109848</t>
  </si>
  <si>
    <t xml:space="preserve">Sold Ex-Works, UK Office , Part Number:3155002-000 D</t>
  </si>
  <si>
    <t xml:space="preserve">109873</t>
  </si>
  <si>
    <t xml:space="preserve">RFX 600A</t>
  </si>
  <si>
    <t xml:space="preserve">Sold Ex-Works, UK Office , Part Number:3155082-331 D</t>
  </si>
  <si>
    <t xml:space="preserve">109872</t>
  </si>
  <si>
    <t xml:space="preserve">109871</t>
  </si>
  <si>
    <t xml:space="preserve">109870</t>
  </si>
  <si>
    <t xml:space="preserve">109869</t>
  </si>
  <si>
    <t xml:space="preserve">109868</t>
  </si>
  <si>
    <t xml:space="preserve">Sold Ex-Works, UK Office , Part Number:3155082-231 A</t>
  </si>
  <si>
    <t xml:space="preserve">109867</t>
  </si>
  <si>
    <t xml:space="preserve">Sold Ex-Works, UK Office , Part Number:3155082-220</t>
  </si>
  <si>
    <t xml:space="preserve">109866</t>
  </si>
  <si>
    <t xml:space="preserve">Sold Ex-Works, UK Office , Part Number:3155082-212 A</t>
  </si>
  <si>
    <t xml:space="preserve">109865</t>
  </si>
  <si>
    <t xml:space="preserve">109864</t>
  </si>
  <si>
    <t xml:space="preserve">Sold Ex-Works, UK Office , Part Number:3155082-200 F</t>
  </si>
  <si>
    <t xml:space="preserve">109863</t>
  </si>
  <si>
    <t xml:space="preserve">Sold Ex-Works, UK Office , Part Number:3155082-002 H</t>
  </si>
  <si>
    <t xml:space="preserve">109862</t>
  </si>
  <si>
    <t xml:space="preserve">Sold Ex-Works, UK Office , Part Number:3155082-000 J</t>
  </si>
  <si>
    <t xml:space="preserve">109874</t>
  </si>
  <si>
    <t xml:space="preserve">RFX II 1250</t>
  </si>
  <si>
    <t xml:space="preserve">Sold Ex-Works, UK Office , Part Number:5035-000 K</t>
  </si>
  <si>
    <t xml:space="preserve">109879</t>
  </si>
  <si>
    <t xml:space="preserve">Sold Ex-Works, UK Office , Part Number:3155047-005 C</t>
  </si>
  <si>
    <t xml:space="preserve">109878</t>
  </si>
  <si>
    <t xml:space="preserve">109877</t>
  </si>
  <si>
    <t xml:space="preserve">Sold Ex-Works, UK Office , Part Number:3155047-000 D</t>
  </si>
  <si>
    <t xml:space="preserve">109875</t>
  </si>
  <si>
    <t xml:space="preserve">Sold Ex-Works, UK Office , Part Number:3155047-000 B</t>
  </si>
  <si>
    <t xml:space="preserve">109880</t>
  </si>
  <si>
    <t xml:space="preserve">RFX II Controller</t>
  </si>
  <si>
    <t xml:space="preserve">Sold Ex-Works, UK Office , Part Number:3155043-001A</t>
  </si>
  <si>
    <t xml:space="preserve">109881</t>
  </si>
  <si>
    <t xml:space="preserve">Sparc-le 20</t>
  </si>
  <si>
    <t xml:space="preserve">Power Supply</t>
  </si>
  <si>
    <t xml:space="preserve">Sold Ex-Works, UK Office , Part Number:3152244-000B</t>
  </si>
  <si>
    <t xml:space="preserve">109882</t>
  </si>
  <si>
    <t xml:space="preserve">Sparc-le V</t>
  </si>
  <si>
    <t xml:space="preserve">Sold Ex-Works, UK Office , Part Number:3152330-003 B</t>
  </si>
  <si>
    <t xml:space="preserve">109883</t>
  </si>
  <si>
    <t xml:space="preserve">Sparc-le V </t>
  </si>
  <si>
    <t xml:space="preserve">Sold Ex-Works, UK Office , Part Number:3152330-203 E</t>
  </si>
  <si>
    <t xml:space="preserve">109884</t>
  </si>
  <si>
    <t xml:space="preserve">Sparc-le-V </t>
  </si>
  <si>
    <t xml:space="preserve">109885</t>
  </si>
  <si>
    <t xml:space="preserve">TCM Controller</t>
  </si>
  <si>
    <t xml:space="preserve">Sold Ex-Works, UK Office , Part Number:3155039-002 A , Secondary 
P/N:2106614-00</t>
  </si>
  <si>
    <t xml:space="preserve">109888</t>
  </si>
  <si>
    <t xml:space="preserve">Verteq</t>
  </si>
  <si>
    <t xml:space="preserve">Sold Ex-Works, UK Office , Part Number:3156023-000 C , Secondary 
P/N:ST800-CC50-M2-QTZ</t>
  </si>
  <si>
    <t xml:space="preserve">109887</t>
  </si>
  <si>
    <t xml:space="preserve">109886</t>
  </si>
  <si>
    <t xml:space="preserve">109891</t>
  </si>
  <si>
    <t xml:space="preserve">VHF2060</t>
  </si>
  <si>
    <t xml:space="preserve">Sold Ex-Works, UK Office , Part Number:3150852-004</t>
  </si>
  <si>
    <t xml:space="preserve">109890</t>
  </si>
  <si>
    <t xml:space="preserve">109889</t>
  </si>
  <si>
    <t xml:space="preserve">109892</t>
  </si>
  <si>
    <t xml:space="preserve">VM 1000 A</t>
  </si>
  <si>
    <t xml:space="preserve">Sold Ex-Works, UK Office , Part Number:69000114</t>
  </si>
  <si>
    <t xml:space="preserve">109893</t>
  </si>
  <si>
    <t xml:space="preserve">Z Scan</t>
  </si>
  <si>
    <t xml:space="preserve">109751</t>
  </si>
  <si>
    <t xml:space="preserve">AE Advanced Engineering</t>
  </si>
  <si>
    <t xml:space="preserve">Ovation 2760</t>
  </si>
  <si>
    <t xml:space="preserve">Sold Ex-Works, UK Office , Part Number:3150292-007 F , Secondary 
P/N:0190-17779-004</t>
  </si>
  <si>
    <t xml:space="preserve">81826</t>
  </si>
  <si>
    <t xml:space="preserve">AEG</t>
  </si>
  <si>
    <t xml:space="preserve">2A 400-100 H</t>
  </si>
  <si>
    <t xml:space="preserve">Power Driver Controller 2A</t>
  </si>
  <si>
    <t xml:space="preserve">  Used, removed in working condition
 </t>
  </si>
  <si>
    <t xml:space="preserve">18870</t>
  </si>
  <si>
    <t xml:space="preserve">AGILENT</t>
  </si>
  <si>
    <t xml:space="preserve">03577-90212</t>
  </si>
  <si>
    <t xml:space="preserve">AGILENT 3571A network analyzer service manual</t>
  </si>
  <si>
    <t xml:space="preserve">109896</t>
  </si>
  <si>
    <t xml:space="preserve">Agilent</t>
  </si>
  <si>
    <t xml:space="preserve">Multimeter</t>
  </si>
  <si>
    <t xml:space="preserve">Sold Ex-Works, UK Office , Part Number:34401A</t>
  </si>
  <si>
    <t xml:space="preserve">109895</t>
  </si>
  <si>
    <t xml:space="preserve">109894</t>
  </si>
  <si>
    <t xml:space="preserve">53031</t>
  </si>
  <si>
    <t xml:space="preserve">Agilent / HP / Verigy</t>
  </si>
  <si>
    <t xml:space="preserve">GPIB IEEE488 Cable</t>
  </si>
  <si>
    <t xml:space="preserve">Data cable IEEE488</t>
  </si>
  <si>
    <t xml:space="preserve">79588</t>
  </si>
  <si>
    <t xml:space="preserve">Agilent / Verigy / Keysight</t>
  </si>
  <si>
    <t xml:space="preserve">1671G</t>
  </si>
  <si>
    <t xml:space="preserve">Logic Analyzer</t>
  </si>
  <si>
    <t xml:space="preserve">test</t>
  </si>
  <si>
    <t xml:space="preserve">-In Avezzano 67051 (AQ) Italy
-CE marked
-In operational condition
-see photos for details including photos of the tool passing it's boot up 
sequence.
-options: 002, 003
-installed software version is 167xG V03.02
-made in USA
-Deep memory options let you capture more data and save you from having to 
set up complex triggers. The integrated oscilloscope option lets you view 
analog and digital signals simultaneously. The integrated pattern generator 
option lets you stimulate a device under test while you capture its 
response with the logic analyzer. Features 102 channels of logic analysis 
Solid performance: 150 MHz state speed, 500 MHz timing speed, 64K standard 
acquisition memory, 256K memory with Option 001, 2M memory with Option 002 
Option 003 Oscilloscope: 2 channel, 500 MHz, 2 GSa/s, 32K memory Option 004 
Pattern Generator: 32 channel, 100M vector/sec, 256K vector deep 2 GB hard 
drive and 1.44 MB DOS floppy drive VGA resolution, color, flat-panel 
display helps you to find information quickly Navigating through the 
well-designed user interface is made simple via your choice of either mouse 
or front-panel operation Optional PC-style keyboard supported File formats 
for ASCII data and PCX/TIFF/EPS screen shots Centronics printer port, GPIB 
and RS-232 programmability LAN for remote operation via X-Windows and data 
transfers via FTP/NFS 23 predefined trigger functions with graphical 
representations and plain language descriptions for easy setup of powerful 
measurements
nstrument Type Benchtop
Max. Channels Number 102
Max. State Speed 150 MHz
Max. Timing Speed 500 MHz
Memory Depth 64/128 KB
opt.2 - 2/4 MB
Status Discontinued
Supported until Aug-2009</t>
  </si>
  <si>
    <t xml:space="preserve">79589</t>
  </si>
  <si>
    <t xml:space="preserve">-In Avezzano (AQ) 67051 Italy
-CE marked
-In working condition
-see photo for details</t>
  </si>
  <si>
    <t xml:space="preserve">10544</t>
  </si>
  <si>
    <t xml:space="preserve">4261A</t>
  </si>
  <si>
    <t xml:space="preserve">LCR METER</t>
  </si>
  <si>
    <t xml:space="preserve">serial number 2830J10531 dimensions 47cm x 22cm x 15 cm Weight 6 kg
WAREHOUSED IN AVEZZANO 67051 iTALY
IN WORKING CONDITION</t>
  </si>
  <si>
    <t xml:space="preserve">18868</t>
  </si>
  <si>
    <t xml:space="preserve">5335A</t>
  </si>
  <si>
    <t xml:space="preserve">Universal Frequency Counter</t>
  </si>
  <si>
    <t xml:space="preserve">Electronics Test and Measurement</t>
  </si>
  <si>
    <t xml:space="preserve">The Agilent Part Number of this item is 05335-90021.
This item is in working condition, is in stock and located at our warehouse 
in Avezzano (AQ) 67051 Italy.
It includes the manual.</t>
  </si>
  <si>
    <t xml:space="preserve">18869</t>
  </si>
  <si>
    <t xml:space="preserve">E4915A</t>
  </si>
  <si>
    <t xml:space="preserve">Crystal impedance LCR meter</t>
  </si>
  <si>
    <t xml:space="preserve">Agilent Part Number E4915-90030</t>
  </si>
  <si>
    <t xml:space="preserve">109897</t>
  </si>
  <si>
    <t xml:space="preserve">AGL Inc</t>
  </si>
  <si>
    <t xml:space="preserve">Microwave Generator</t>
  </si>
  <si>
    <t xml:space="preserve">Sold Ex-Works, UK Office , Part Number:C12932-2</t>
  </si>
  <si>
    <t xml:space="preserve">83904</t>
  </si>
  <si>
    <t xml:space="preserve">AIR PRODUCTS</t>
  </si>
  <si>
    <t xml:space="preserve">F-074-VCR</t>
  </si>
  <si>
    <t xml:space="preserve">PRESSURE REGULATOR 10-50L MIN HCL</t>
  </si>
  <si>
    <t xml:space="preserve">P/N: 101203-2</t>
  </si>
  <si>
    <t xml:space="preserve">new</t>
  </si>
  <si>
    <t xml:space="preserve">INLET CONNECTION:1/4 VCRF
OUTLET CONNECTION:1/4 VCRF
MAX.INLET PRESSURE 210 BAR
MAX.OUTLET PRESSURE 210 BAR
10-50 L/M
HCL 888
FUNCTIONAL TEST: OK
TESTED BY: E. VERHASSELT ON 10/02/89
WEIGHT: GR.700
DIMENSION: 14 CM. X 5 CM. X 5 CM.(H)</t>
  </si>
  <si>
    <t xml:space="preserve">80267</t>
  </si>
  <si>
    <t xml:space="preserve">Air Products</t>
  </si>
  <si>
    <t xml:space="preserve">Precision Tool</t>
  </si>
  <si>
    <t xml:space="preserve">Manometer 1.5 Bar</t>
  </si>
  <si>
    <t xml:space="preserve">9</t>
  </si>
  <si>
    <t xml:space="preserve">Precision Tool Gives More Control On The Air Pressure for operation More efficient air tool .
Place Between Power Source and Air AIR tool for the ' ADJUST the pressure moment .
Essential for MANY paint sprayers , nails and staple guns .
Large easy to read dial, knurled knob For a Better grip .
1/4 " NPT , die-cast zinc construction chrome 
THE PRICE IS FOR 9 ARTICLES</t>
  </si>
  <si>
    <t xml:space="preserve">80268</t>
  </si>
  <si>
    <t xml:space="preserve">R-704-VCR</t>
  </si>
  <si>
    <t xml:space="preserve">PRESSURE REGULATORS TEST</t>
  </si>
  <si>
    <t xml:space="preserve">APSA46/2250</t>
  </si>
  <si>
    <t xml:space="preserve">77087</t>
  </si>
  <si>
    <t xml:space="preserve">Alcatel</t>
  </si>
  <si>
    <t xml:space="preserve">flange</t>
  </si>
  <si>
    <t xml:space="preserve">Alcatel pump flange 4" ID 5 1/4" OD, SST</t>
  </si>
  <si>
    <t xml:space="preserve">77093</t>
  </si>
  <si>
    <t xml:space="preserve">Allen Bradley</t>
  </si>
  <si>
    <t xml:space="preserve">800F-PN3GX11</t>
  </si>
  <si>
    <t xml:space="preserve">Contact module 24V, AMI S3320-15-1, pk of 3</t>
  </si>
  <si>
    <t xml:space="preserve">83595</t>
  </si>
  <si>
    <t xml:space="preserve">1762-IF4</t>
  </si>
  <si>
    <t xml:space="preserve">PLC 4-ch input module</t>
  </si>
  <si>
    <t xml:space="preserve">Used 1762-IF4 4-ch input module</t>
  </si>
  <si>
    <t xml:space="preserve">83593</t>
  </si>
  <si>
    <t xml:space="preserve">Micro-Logix 1200</t>
  </si>
  <si>
    <t xml:space="preserve">PLC Module</t>
  </si>
  <si>
    <t xml:space="preserve">Allen-Bradley Micro-Logix 1200 1762-L24BWAR, Used </t>
  </si>
  <si>
    <t xml:space="preserve">83564</t>
  </si>
  <si>
    <t xml:space="preserve">PanelView Plus 400</t>
  </si>
  <si>
    <t xml:space="preserve">Operator Panel, Serial</t>
  </si>
  <si>
    <t xml:space="preserve">Used, good condition</t>
  </si>
  <si>
    <t xml:space="preserve">109907</t>
  </si>
  <si>
    <t xml:space="preserve">ALTRONIC</t>
  </si>
  <si>
    <t xml:space="preserve">Dummy Load</t>
  </si>
  <si>
    <t xml:space="preserve">Sold Ex-Works, UK Office , Part Number:6405N</t>
  </si>
  <si>
    <t xml:space="preserve">109906</t>
  </si>
  <si>
    <t xml:space="preserve">109905</t>
  </si>
  <si>
    <t xml:space="preserve">109904</t>
  </si>
  <si>
    <t xml:space="preserve">109903</t>
  </si>
  <si>
    <t xml:space="preserve">109902</t>
  </si>
  <si>
    <t xml:space="preserve">109901</t>
  </si>
  <si>
    <t xml:space="preserve">109900</t>
  </si>
  <si>
    <t xml:space="preserve">109899</t>
  </si>
  <si>
    <t xml:space="preserve">109898</t>
  </si>
  <si>
    <t xml:space="preserve">Sold Ex-Works, UK Office , Part Number:6401LN</t>
  </si>
  <si>
    <t xml:space="preserve">109908</t>
  </si>
  <si>
    <t xml:space="preserve">AMAT</t>
  </si>
  <si>
    <t xml:space="preserve">2MHZ Ice Match </t>
  </si>
  <si>
    <t xml:space="preserve">Sold Ex-Works, UK Office , Part Number:0010-40991</t>
  </si>
  <si>
    <t xml:space="preserve">86305</t>
  </si>
  <si>
    <t xml:space="preserve">0010-20422</t>
  </si>
  <si>
    <t xml:space="preserve">Endura 5500 PVD 8" Shield treatment and cover assembly</t>
  </si>
  <si>
    <t xml:space="preserve">PVD Endura 8 inch shield Treatment, G12 LID 
Specifications:
    * Manufacturer: Applied Materials
    * AMAT P/N: 0010-20422
    * 8 in shield treatment PVD
    * Part of 5500 system
    * Subassembly part numbers:
    * 0150-20095 cable assy, HV input
    * 0140-20109 harness assy, power interlock lid
    * 0140-20131 harness assy 
    * 0020-21015 enclosure, interlock/connector, shield T
    * 0020-22189 Plastic cover
    * 0150-20124 cable assy, ground stand lid</t>
  </si>
  <si>
    <t xml:space="preserve">83588</t>
  </si>
  <si>
    <t xml:space="preserve">0040-77544</t>
  </si>
  <si>
    <t xml:space="preserve">Rorze Ergo Loader Turn Plate Mirra CMP FABS-202 AMAT 0040-77544 </t>
  </si>
  <si>
    <t xml:space="preserve">Rorze Ergo Loader Turn Plate Mirra CMP FABS-202 AMAT 0040-77544 
Used good condition, see photos
will ship from our Italy warehouse    </t>
  </si>
  <si>
    <t xml:space="preserve">84551</t>
  </si>
  <si>
    <t xml:space="preserve">0041-61611</t>
  </si>
  <si>
    <t xml:space="preserve">Retaining ring, Titan II, 8" *NEW*</t>
  </si>
  <si>
    <t xml:space="preserve">as new</t>
  </si>
  <si>
    <t xml:space="preserve">*NEW, sealed *
AMAT Titan II retaining ring, 8"
Still sealed in original AMAT Packaging</t>
  </si>
  <si>
    <t xml:space="preserve">83669</t>
  </si>
  <si>
    <t xml:space="preserve">0190-24834-002</t>
  </si>
  <si>
    <t xml:space="preserve">MFC Celerity ufc-8165 1L H2</t>
  </si>
  <si>
    <t xml:space="preserve">   Used Celerity MFC UFC-8165
1L H2
n2 REF
DeviceNET capable
DNet FW:3.03
Version: 0001
Qty 3 available in Texas warehouse
</t>
  </si>
  <si>
    <t xml:space="preserve">109910</t>
  </si>
  <si>
    <t xml:space="preserve">8300</t>
  </si>
  <si>
    <t xml:space="preserve">Sold Ex-Works, UK Office , Part Number:0010-00298 , Secondary P/N:8300N</t>
  </si>
  <si>
    <t xml:space="preserve">109909</t>
  </si>
  <si>
    <t xml:space="preserve">109911</t>
  </si>
  <si>
    <t xml:space="preserve">8300 </t>
  </si>
  <si>
    <t xml:space="preserve">Sold Ex-Works, UK Office , Part Number:0010-00800R</t>
  </si>
  <si>
    <t xml:space="preserve">109912</t>
  </si>
  <si>
    <t xml:space="preserve">DC Power Supply</t>
  </si>
  <si>
    <t xml:space="preserve">Sold Ex-Works, UK Office , Part Number:0010-09181</t>
  </si>
  <si>
    <t xml:space="preserve">109915</t>
  </si>
  <si>
    <t xml:space="preserve">Manual Controller</t>
  </si>
  <si>
    <t xml:space="preserve">Sold Ex-Works, UK Office , Part Number:0270-09062</t>
  </si>
  <si>
    <t xml:space="preserve">109914</t>
  </si>
  <si>
    <t xml:space="preserve">109913</t>
  </si>
  <si>
    <t xml:space="preserve">Tested and working.
Sold Ex-Works, UK Office , Part Number: 0270-09062</t>
  </si>
  <si>
    <t xml:space="preserve">109916</t>
  </si>
  <si>
    <t xml:space="preserve">Micro Match</t>
  </si>
  <si>
    <t xml:space="preserve">Sold Ex-Works, UK Office , Part Number:0010-00799R</t>
  </si>
  <si>
    <t xml:space="preserve">109927</t>
  </si>
  <si>
    <t xml:space="preserve">P5000</t>
  </si>
  <si>
    <t xml:space="preserve">Sold Ex-Works, UK Office , Part Number:0010-52033 , Secondary P/N:HE</t>
  </si>
  <si>
    <t xml:space="preserve">109926</t>
  </si>
  <si>
    <t xml:space="preserve">Sold Ex-Works, UK Office , Part Number:0010-30686 , Secondary P/N:HE</t>
  </si>
  <si>
    <t xml:space="preserve">109925</t>
  </si>
  <si>
    <t xml:space="preserve">Sold Ex-Works, UK Office , Part Number:0010-09750W , Secondary P/N:CVD</t>
  </si>
  <si>
    <t xml:space="preserve">109924</t>
  </si>
  <si>
    <t xml:space="preserve">109923</t>
  </si>
  <si>
    <t xml:space="preserve">109922</t>
  </si>
  <si>
    <t xml:space="preserve">Sold Ex-Works, UK Office , Part Number:0010-09750 , Secondary P/N:CVD</t>
  </si>
  <si>
    <t xml:space="preserve">109921</t>
  </si>
  <si>
    <t xml:space="preserve">109920</t>
  </si>
  <si>
    <t xml:space="preserve">Sold Ex-Works, UK Office , Part Number:0010-09416W , Secondary P/N:Etch</t>
  </si>
  <si>
    <t xml:space="preserve">109919</t>
  </si>
  <si>
    <t xml:space="preserve">109918</t>
  </si>
  <si>
    <t xml:space="preserve">Sold Ex-Works, UK Office , Part Number:0010-09416</t>
  </si>
  <si>
    <t xml:space="preserve">109917</t>
  </si>
  <si>
    <t xml:space="preserve">109930</t>
  </si>
  <si>
    <t xml:space="preserve">P5000 Controller</t>
  </si>
  <si>
    <t xml:space="preserve">Sold Ex-Works, UK Office , Part Number:0010-21817</t>
  </si>
  <si>
    <t xml:space="preserve">109929</t>
  </si>
  <si>
    <t xml:space="preserve">109928</t>
  </si>
  <si>
    <t xml:space="preserve">109933</t>
  </si>
  <si>
    <t xml:space="preserve">Phase Mag Detector</t>
  </si>
  <si>
    <t xml:space="preserve">Sold Ex-Works, UK Office , Part Number:0010-00215W</t>
  </si>
  <si>
    <t xml:space="preserve">109931</t>
  </si>
  <si>
    <t xml:space="preserve">Sold Ex-Works, UK Office , Part Number:0010-00215</t>
  </si>
  <si>
    <t xml:space="preserve">109932</t>
  </si>
  <si>
    <t xml:space="preserve">Phase Mag Detector </t>
  </si>
  <si>
    <t xml:space="preserve">Sold Ex-Works, UK Office , Part Number:0010-00215R</t>
  </si>
  <si>
    <t xml:space="preserve">109934</t>
  </si>
  <si>
    <t xml:space="preserve">RF Match</t>
  </si>
  <si>
    <t xml:space="preserve">Sold Ex-Works, UK Office , Part Number:10008421 , Secondary P/N:0190-31270</t>
  </si>
  <si>
    <t xml:space="preserve">109939</t>
  </si>
  <si>
    <t xml:space="preserve">RF Match Controller</t>
  </si>
  <si>
    <t xml:space="preserve">Sold Ex-Works, UK Office , Part Number:100006469-170</t>
  </si>
  <si>
    <t xml:space="preserve">109938</t>
  </si>
  <si>
    <t xml:space="preserve">109937</t>
  </si>
  <si>
    <t xml:space="preserve">109936</t>
  </si>
  <si>
    <t xml:space="preserve">109935</t>
  </si>
  <si>
    <t xml:space="preserve">109940</t>
  </si>
  <si>
    <t xml:space="preserve">RF Match, VOR</t>
  </si>
  <si>
    <t xml:space="preserve">Sold Ex-Works, UK Office , Part Number:0010-31277</t>
  </si>
  <si>
    <t xml:space="preserve">109941</t>
  </si>
  <si>
    <t xml:space="preserve">Vectra IMP</t>
  </si>
  <si>
    <t xml:space="preserve">Sold Ex-Works, UK Office , Part Number:0010-27719</t>
  </si>
  <si>
    <t xml:space="preserve">77153</t>
  </si>
  <si>
    <t xml:space="preserve">AMI</t>
  </si>
  <si>
    <t xml:space="preserve">885</t>
  </si>
  <si>
    <t xml:space="preserve">Screen printer Squeegee box lot</t>
  </si>
  <si>
    <t xml:space="preserve">SMT</t>
  </si>
  <si>
    <t xml:space="preserve">Brand new in the box;
1. Black Hardness squeegee 26" in length 18 pcs
2. White Hardness squeegee 26" length 64 pcs
For AMI PRESCO CP-885 screen printer, and others</t>
  </si>
  <si>
    <t xml:space="preserve">77090</t>
  </si>
  <si>
    <t xml:space="preserve">B390.05</t>
  </si>
  <si>
    <t xml:space="preserve">belt</t>
  </si>
  <si>
    <t xml:space="preserve">77188</t>
  </si>
  <si>
    <t xml:space="preserve">AMI Presco</t>
  </si>
  <si>
    <t xml:space="preserve">USP206-2E</t>
  </si>
  <si>
    <t xml:space="preserve">Solar wafer conveyor, 156mm for use with screen printers, etc.</t>
  </si>
  <si>
    <t xml:space="preserve">156mm</t>
  </si>
  <si>
    <t xml:space="preserve">Part of our 10MW Solar line is this conveyor that works with AMI Equipment 
to move solar wafers to pick and place or screen printer.  </t>
  </si>
  <si>
    <t xml:space="preserve">77162</t>
  </si>
  <si>
    <t xml:space="preserve">Anaheim Automation</t>
  </si>
  <si>
    <t xml:space="preserve">23D306S</t>
  </si>
  <si>
    <t xml:space="preserve">Stepper motor 3.4VDC 2.9A </t>
  </si>
  <si>
    <t xml:space="preserve">New in the box     
Will  Ship from our Boerne, TX Warehouse  </t>
  </si>
  <si>
    <t xml:space="preserve">84241</t>
  </si>
  <si>
    <t xml:space="preserve">TM4500 AA4520</t>
  </si>
  <si>
    <t xml:space="preserve">Stepper controller/driver board</t>
  </si>
  <si>
    <t xml:space="preserve">Used   
Will  Ship from our Boerne, TX Warehouse  </t>
  </si>
  <si>
    <t xml:space="preserve">84221</t>
  </si>
  <si>
    <t xml:space="preserve">ANELVA</t>
  </si>
  <si>
    <t xml:space="preserve">954-7700</t>
  </si>
  <si>
    <t xml:space="preserve">Vacuum Feedthrough</t>
  </si>
  <si>
    <t xml:space="preserve">ANELVA 954-7700
WEIGHT: 1 KG.
DIMENSION: 8 X 8 X 13 (H)</t>
  </si>
  <si>
    <t xml:space="preserve">115380</t>
  </si>
  <si>
    <t xml:space="preserve">ANRITSU</t>
  </si>
  <si>
    <t xml:space="preserve">MP1763B </t>
  </si>
  <si>
    <t xml:space="preserve">PULSE PATTERN GENERATOR [USED]</t>
  </si>
  <si>
    <t xml:space="preserve">115192</t>
  </si>
  <si>
    <t xml:space="preserve">Applied Materials</t>
  </si>
  <si>
    <t xml:space="preserve">0010-00138W</t>
  </si>
  <si>
    <t xml:space="preserve">UPPER FRAME AC DIST ASY USED</t>
  </si>
  <si>
    <t xml:space="preserve">114969</t>
  </si>
  <si>
    <t xml:space="preserve">0010-00174W</t>
  </si>
  <si>
    <t xml:space="preserve"> ASSY, REDUCER BOX [USED]</t>
  </si>
  <si>
    <t xml:space="preserve">114794</t>
  </si>
  <si>
    <t xml:space="preserve">0010-00510</t>
  </si>
  <si>
    <t xml:space="preserve">(#3) ASSEMBLY BEARING [USED]</t>
  </si>
  <si>
    <t xml:space="preserve">101768</t>
  </si>
  <si>
    <t xml:space="preserve">0010-00557 REV A</t>
  </si>
  <si>
    <t xml:space="preserve">Heat Exchanger</t>
  </si>
  <si>
    <t xml:space="preserve">FACILITIES</t>
  </si>
  <si>
    <t xml:space="preserve">Type: 0010-00557 rev A
UNIT DIMENSIONS: 51 CM X 73 CM X 70 CM (H)
ESTIMATED CRATE DIMENSIONS: 61 CM X 83 CM X 100 CM (H)
ESTIMATED CRATED WEIGHT: 200 KGS</t>
  </si>
  <si>
    <t xml:space="preserve">114715</t>
  </si>
  <si>
    <t xml:space="preserve">0010-00744</t>
  </si>
  <si>
    <t xml:space="preserve">20SCCM NEW</t>
  </si>
  <si>
    <t xml:space="preserve">114873</t>
  </si>
  <si>
    <t xml:space="preserve">(#1) 20SCCM 122A-11063 USED</t>
  </si>
  <si>
    <t xml:space="preserve">114874</t>
  </si>
  <si>
    <t xml:space="preserve">(#2) 20SCCM 1159B-00020RV-SPCAL USED</t>
  </si>
  <si>
    <t xml:space="preserve">114875</t>
  </si>
  <si>
    <t xml:space="preserve">(#3) 20SCCM 122AA-00010-B-S USED</t>
  </si>
  <si>
    <t xml:space="preserve">114876</t>
  </si>
  <si>
    <t xml:space="preserve">(#4) 20SCCM 1159B-13197---S USED</t>
  </si>
  <si>
    <t xml:space="preserve">114877</t>
  </si>
  <si>
    <t xml:space="preserve">(#5) 20SCCM RANGE 20 GAS HE USED</t>
  </si>
  <si>
    <t xml:space="preserve">114773</t>
  </si>
  <si>
    <t xml:space="preserve">0010-00957</t>
  </si>
  <si>
    <t xml:space="preserve">ASSY, ORIENTER LASER OPTICS [REFURBISHED]</t>
  </si>
  <si>
    <t xml:space="preserve">114804</t>
  </si>
  <si>
    <t xml:space="preserve">ASSY, ORIENTER LASER OPTICS [USED]</t>
  </si>
  <si>
    <t xml:space="preserve">114664</t>
  </si>
  <si>
    <t xml:space="preserve">0010-01198</t>
  </si>
  <si>
    <t xml:space="preserve">ASSEMBLY MINI LP-3 MAGNET USED</t>
  </si>
  <si>
    <t xml:space="preserve">114663</t>
  </si>
  <si>
    <t xml:space="preserve">114805</t>
  </si>
  <si>
    <t xml:space="preserve">0010-01296</t>
  </si>
  <si>
    <t xml:space="preserve">ASSEMBLY,PVD LIFTER ORIENTER GIMBAL [USED]</t>
  </si>
  <si>
    <t xml:space="preserve">115114</t>
  </si>
  <si>
    <t xml:space="preserve">0010-01322</t>
  </si>
  <si>
    <t xml:space="preserve">SLIT DOOR ASSY [NEW]</t>
  </si>
  <si>
    <t xml:space="preserve">114714</t>
  </si>
  <si>
    <t xml:space="preserve">0010-01388</t>
  </si>
  <si>
    <t xml:space="preserve">0100-00496 LTESC CONTROL BOX ASSY [USED]</t>
  </si>
  <si>
    <t xml:space="preserve">114634</t>
  </si>
  <si>
    <t xml:space="preserve">0010-01926</t>
  </si>
  <si>
    <t xml:space="preserve">HEATER ASSY, 8" JMF BIASED ELECTRODE BES [ASIS]</t>
  </si>
  <si>
    <t xml:space="preserve">115193</t>
  </si>
  <si>
    <t xml:space="preserve">0010-02170</t>
  </si>
  <si>
    <t xml:space="preserve">(#1) ASSY, LEFT, PIVOT &amp; BEARING REFURBISHED</t>
  </si>
  <si>
    <t xml:space="preserve">115194</t>
  </si>
  <si>
    <t xml:space="preserve">0010-02171</t>
  </si>
  <si>
    <t xml:space="preserve">(#1) ASSY, RIGHT PIVOT &amp; BEARING REFURBISHED</t>
  </si>
  <si>
    <t xml:space="preserve">114976</t>
  </si>
  <si>
    <t xml:space="preserve">0010-02258</t>
  </si>
  <si>
    <t xml:space="preserve">ASSY HALOGEN LAMP, LOW TEMP ESC / BESC [USED]</t>
  </si>
  <si>
    <t xml:space="preserve">114665</t>
  </si>
  <si>
    <t xml:space="preserve">0010-02562</t>
  </si>
  <si>
    <t xml:space="preserve">ASSY, SIP-CU, LP1.2 MAGNET [USED]</t>
  </si>
  <si>
    <t xml:space="preserve">114774</t>
  </si>
  <si>
    <t xml:space="preserve">0010-02631</t>
  </si>
  <si>
    <t xml:space="preserve">ASSY AC BOX AMAT 0 W/O NEUTRAL USED</t>
  </si>
  <si>
    <t xml:space="preserve">114806</t>
  </si>
  <si>
    <t xml:space="preserve">0010-03406</t>
  </si>
  <si>
    <t xml:space="preserve">ASSY APPLICATOR 1.5KW UWAVE WXZ VER 2.5 USED</t>
  </si>
  <si>
    <t xml:space="preserve">114593</t>
  </si>
  <si>
    <t xml:space="preserve">0010-03485</t>
  </si>
  <si>
    <t xml:space="preserve">MAGNET ASSY, WP AL 300MM PVD [ASIS]</t>
  </si>
  <si>
    <t xml:space="preserve">114635</t>
  </si>
  <si>
    <t xml:space="preserve">0010-03486</t>
  </si>
  <si>
    <t xml:space="preserve">0020-01999 0020-01996 APPLIED MATRIALS [ASIS]</t>
  </si>
  <si>
    <t xml:space="preserve">114594</t>
  </si>
  <si>
    <t xml:space="preserve">0010-03487</t>
  </si>
  <si>
    <t xml:space="preserve">0020-01997 2AGNET, TIN/TTN ASSY 300MM PVD ASIS</t>
  </si>
  <si>
    <t xml:space="preserve">114637</t>
  </si>
  <si>
    <t xml:space="preserve">0010-05940</t>
  </si>
  <si>
    <t xml:space="preserve">ASSY, RH-3 MAGNET RP USED</t>
  </si>
  <si>
    <t xml:space="preserve">114636</t>
  </si>
  <si>
    <t xml:space="preserve">114775</t>
  </si>
  <si>
    <t xml:space="preserve">0010-05965</t>
  </si>
  <si>
    <t xml:space="preserve">0040-00876 0040-05592  ASIS</t>
  </si>
  <si>
    <t xml:space="preserve">114716</t>
  </si>
  <si>
    <t xml:space="preserve">0010-06464</t>
  </si>
  <si>
    <t xml:space="preserve">VALVE PNEU 1.50 OD PORT KALREZ USED</t>
  </si>
  <si>
    <t xml:space="preserve">115171</t>
  </si>
  <si>
    <t xml:space="preserve">0010-07322</t>
  </si>
  <si>
    <t xml:space="preserve">MANIFOLD ASSEMBLY, 4ZA SLIT VA [NEW]</t>
  </si>
  <si>
    <t xml:space="preserve">114717</t>
  </si>
  <si>
    <t xml:space="preserve">0010-07563</t>
  </si>
  <si>
    <t xml:space="preserve">ASSY, MAGNET,300MM, LP 3.5, NON-ENCAPSUL [ASIS]</t>
  </si>
  <si>
    <t xml:space="preserve">114776</t>
  </si>
  <si>
    <t xml:space="preserve">0010-07946</t>
  </si>
  <si>
    <t xml:space="preserve">APPLIED MATRIALS COMPONENTS ASIS</t>
  </si>
  <si>
    <t xml:space="preserve">114756</t>
  </si>
  <si>
    <t xml:space="preserve">0010-08185</t>
  </si>
  <si>
    <t xml:space="preserve">ASSY, ORIENTER 650NM LASER OPTICS [NEW]</t>
  </si>
  <si>
    <t xml:space="preserve">114807</t>
  </si>
  <si>
    <t xml:space="preserve">ASSY, ORIENTER 650NM LASER OPTICS [USED]</t>
  </si>
  <si>
    <t xml:space="preserve">114746</t>
  </si>
  <si>
    <t xml:space="preserve">0010-08217</t>
  </si>
  <si>
    <t xml:space="preserve">(#1) APPLIED MATRIALS COMPONENTS [ASIS]</t>
  </si>
  <si>
    <t xml:space="preserve">114747</t>
  </si>
  <si>
    <t xml:space="preserve">(#2) APPLIED MATRIALS COMPONENTS [ASIS]</t>
  </si>
  <si>
    <t xml:space="preserve">114692</t>
  </si>
  <si>
    <t xml:space="preserve">0010-08322</t>
  </si>
  <si>
    <t xml:space="preserve">ASSEMBLY, LOCAL MATCH, TOP, 300MM [USED}</t>
  </si>
  <si>
    <t xml:space="preserve">114718</t>
  </si>
  <si>
    <t xml:space="preserve">0010-08322-</t>
  </si>
  <si>
    <t xml:space="preserve">10 (#1) ASSEMBLY, LOCAL MATCH, TOP,  [ASIS]</t>
  </si>
  <si>
    <t xml:space="preserve">114719</t>
  </si>
  <si>
    <t xml:space="preserve">10 (#2) ASSEMBLY, LOCAL MATCH, TOP, [ASIS]</t>
  </si>
  <si>
    <t xml:space="preserve">114693</t>
  </si>
  <si>
    <t xml:space="preserve">0010-09001</t>
  </si>
  <si>
    <t xml:space="preserve">(#1) SYSTEMS ELECTRONICS ASSY [ASIS]</t>
  </si>
  <si>
    <t xml:space="preserve">114694</t>
  </si>
  <si>
    <t xml:space="preserve">(#2) SYSTEMS ELECTRONICS ASSY [ASIS]</t>
  </si>
  <si>
    <t xml:space="preserve">114638</t>
  </si>
  <si>
    <t xml:space="preserve">SYSTEMS ELECTRONICS ASSY [ASIS]</t>
  </si>
  <si>
    <t xml:space="preserve">115195</t>
  </si>
  <si>
    <t xml:space="preserve">0010-09143</t>
  </si>
  <si>
    <t xml:space="preserve">SYS CONTROLLER POWER SUPPLY ASSY USED</t>
  </si>
  <si>
    <t xml:space="preserve">115027</t>
  </si>
  <si>
    <t xml:space="preserve">0010-09256</t>
  </si>
  <si>
    <t xml:space="preserve">CVD GAS BOX USED</t>
  </si>
  <si>
    <t xml:space="preserve">115133</t>
  </si>
  <si>
    <t xml:space="preserve">0010-09265</t>
  </si>
  <si>
    <t xml:space="preserve">125MM CASSETTE HANDLER HEAD [USED]</t>
  </si>
  <si>
    <t xml:space="preserve">114808</t>
  </si>
  <si>
    <t xml:space="preserve">0010-09297</t>
  </si>
  <si>
    <t xml:space="preserve">ASSY 15 VOLT POWER SUPPLY [USED]</t>
  </si>
  <si>
    <t xml:space="preserve">114777</t>
  </si>
  <si>
    <t xml:space="preserve">0010-09331</t>
  </si>
  <si>
    <t xml:space="preserve">(#1) AMPULE/CHAMBER ASSY, TEOS [ASIS]</t>
  </si>
  <si>
    <t xml:space="preserve">114809</t>
  </si>
  <si>
    <t xml:space="preserve">(#2) AMPULE/CHAMBER ASSY, TEOS [ASIS]</t>
  </si>
  <si>
    <t xml:space="preserve">114810</t>
  </si>
  <si>
    <t xml:space="preserve">(#3) AMPULE/CHAMBER ASSY, TEOS [ASIS]</t>
  </si>
  <si>
    <t xml:space="preserve">115028</t>
  </si>
  <si>
    <t xml:space="preserve">0010-09341</t>
  </si>
  <si>
    <t xml:space="preserve">(#1) WAFER LIFT ASSY [ASIS]</t>
  </si>
  <si>
    <t xml:space="preserve">115029</t>
  </si>
  <si>
    <t xml:space="preserve">(#2) WAFER LIFT ASSY [ASIS]</t>
  </si>
  <si>
    <t xml:space="preserve">115196</t>
  </si>
  <si>
    <t xml:space="preserve">0010-09487</t>
  </si>
  <si>
    <t xml:space="preserve">SENSOR ASSY DETECTOR ENDPOINT USED</t>
  </si>
  <si>
    <t xml:space="preserve">114811</t>
  </si>
  <si>
    <t xml:space="preserve">0010-09539</t>
  </si>
  <si>
    <t xml:space="preserve">0040-09136 0020-10187 CHAMBER 200MM BW USED</t>
  </si>
  <si>
    <t xml:space="preserve">115030</t>
  </si>
  <si>
    <t xml:space="preserve">0010-09549</t>
  </si>
  <si>
    <t xml:space="preserve">WAFER LIFT ASSY [ASIS]</t>
  </si>
  <si>
    <t xml:space="preserve">114929</t>
  </si>
  <si>
    <t xml:space="preserve">0010-09574</t>
  </si>
  <si>
    <t xml:space="preserve">PEDESTAL ASSY OX/MLR/NIT 125MM NEW</t>
  </si>
  <si>
    <t xml:space="preserve">114930</t>
  </si>
  <si>
    <t xml:space="preserve">0010-09803,</t>
  </si>
  <si>
    <t xml:space="preserve"> 0010-09802 TEMP CONTROL PWR DIST. [USED]</t>
  </si>
  <si>
    <t xml:space="preserve">115023</t>
  </si>
  <si>
    <t xml:space="preserve">0010-09843</t>
  </si>
  <si>
    <t xml:space="preserve">MANIFOLD, INSULATION ASY H2O VDSII [ASIS]</t>
  </si>
  <si>
    <t xml:space="preserve">115095</t>
  </si>
  <si>
    <t xml:space="preserve">0010-09875</t>
  </si>
  <si>
    <t xml:space="preserve">ASSY, MANIFOLD INSULATION, H20 VDSII [ASIS]</t>
  </si>
  <si>
    <t xml:space="preserve">114666</t>
  </si>
  <si>
    <t xml:space="preserve">0010-09933</t>
  </si>
  <si>
    <t xml:space="preserve">HV MODULE ASSY, ESC [USED]</t>
  </si>
  <si>
    <t xml:space="preserve">115134</t>
  </si>
  <si>
    <t xml:space="preserve">0010-09967</t>
  </si>
  <si>
    <t xml:space="preserve">ASSY 8-SLOT WAFER POSITION SENSOR MOUNT USED</t>
  </si>
  <si>
    <t xml:space="preserve">114720</t>
  </si>
  <si>
    <t xml:space="preserve">0010-09978</t>
  </si>
  <si>
    <t xml:space="preserve">APPLIED MATRIALS COMPONENTS [ASIS]</t>
  </si>
  <si>
    <t xml:space="preserve">115135</t>
  </si>
  <si>
    <t xml:space="preserve">0010-10141</t>
  </si>
  <si>
    <t xml:space="preserve">ASSY 8-SLOT WAFER POSITION SENSOR RETROR USED</t>
  </si>
  <si>
    <t xml:space="preserve">115197</t>
  </si>
  <si>
    <t xml:space="preserve">0010-10328</t>
  </si>
  <si>
    <t xml:space="preserve">0020-34017 SHELL ASSY,200MM,FLAT(1S 5MIC ASIS</t>
  </si>
  <si>
    <t xml:space="preserve">114778</t>
  </si>
  <si>
    <t xml:space="preserve">0010-10420</t>
  </si>
  <si>
    <t xml:space="preserve">(#2) 5000 PLATFORM VERSION IV UFM-9150 USED</t>
  </si>
  <si>
    <t xml:space="preserve">114931</t>
  </si>
  <si>
    <t xml:space="preserve">0010-10436</t>
  </si>
  <si>
    <t xml:space="preserve">ASSY,AC DISTRIBUTION,120 VAC,R USED</t>
  </si>
  <si>
    <t xml:space="preserve">115031</t>
  </si>
  <si>
    <t xml:space="preserve">0010-10528</t>
  </si>
  <si>
    <t xml:space="preserve">0040-09957 0040-09961 0020-32963 SHELL ASIS</t>
  </si>
  <si>
    <t xml:space="preserve">114878</t>
  </si>
  <si>
    <t xml:space="preserve">0010-10953</t>
  </si>
  <si>
    <t xml:space="preserve">ASSY BLADE 8 NOTCH SST [ASIS]</t>
  </si>
  <si>
    <t xml:space="preserve">114721</t>
  </si>
  <si>
    <t xml:space="preserve">0010-11228</t>
  </si>
  <si>
    <t xml:space="preserve">0020-01999 APPLIED MATRIALS COMPONENTS [ASIS]</t>
  </si>
  <si>
    <t xml:space="preserve">114639</t>
  </si>
  <si>
    <t xml:space="preserve">0010-11239</t>
  </si>
  <si>
    <t xml:space="preserve">HV MODULE 5KV ASSY., 200MM CESC [USED]</t>
  </si>
  <si>
    <t xml:space="preserve">114757</t>
  </si>
  <si>
    <t xml:space="preserve">0010-11997</t>
  </si>
  <si>
    <t xml:space="preserve">0040-36180 CLEANED HEATER,TxZ,200MM,SNNF USED</t>
  </si>
  <si>
    <t xml:space="preserve">115032</t>
  </si>
  <si>
    <t xml:space="preserve">0010-12483</t>
  </si>
  <si>
    <t xml:space="preserve">SW CNTOR 3P 650A ENCL NON REV 24VDC C NEW</t>
  </si>
  <si>
    <t xml:space="preserve">114597</t>
  </si>
  <si>
    <t xml:space="preserve">0010-13034</t>
  </si>
  <si>
    <t xml:space="preserve">0020-01999 0020-31587 0020-75640 [ASIS]</t>
  </si>
  <si>
    <t xml:space="preserve">115099</t>
  </si>
  <si>
    <t xml:space="preserve">0010-13143</t>
  </si>
  <si>
    <t xml:space="preserve">ASSY, UNIVERSAL WBLL CASSETTE [REFURBISHED]</t>
  </si>
  <si>
    <t xml:space="preserve">115198</t>
  </si>
  <si>
    <t xml:space="preserve">0010-13294</t>
  </si>
  <si>
    <t xml:space="preserve">0100-09058 ASSY, BEZEL MAINFRAME, MARK II USED</t>
  </si>
  <si>
    <t xml:space="preserve">114812</t>
  </si>
  <si>
    <t xml:space="preserve">0010-13439</t>
  </si>
  <si>
    <t xml:space="preserve">MCA 2 TC AMP BOX [ASIS]</t>
  </si>
  <si>
    <t xml:space="preserve">114779</t>
  </si>
  <si>
    <t xml:space="preserve">MCA 2 TC AMP BOX [USED]</t>
  </si>
  <si>
    <t xml:space="preserve">114667</t>
  </si>
  <si>
    <t xml:space="preserve">0010-13495</t>
  </si>
  <si>
    <t xml:space="preserve">ASSY PRESSURE CONTROL PRODUCER ETCH NEW</t>
  </si>
  <si>
    <t xml:space="preserve">115033</t>
  </si>
  <si>
    <t xml:space="preserve">0010-13967</t>
  </si>
  <si>
    <t xml:space="preserve">ASSY, OTF CENTERFINDER RECEIVER, 300MM [NEW]</t>
  </si>
  <si>
    <t xml:space="preserve">114932</t>
  </si>
  <si>
    <t xml:space="preserve">0010-14240</t>
  </si>
  <si>
    <t xml:space="preserve">APPLIED MATRIALS COMPONENTS [USED]</t>
  </si>
  <si>
    <t xml:space="preserve">114591</t>
  </si>
  <si>
    <t xml:space="preserve">0010-14528</t>
  </si>
  <si>
    <t xml:space="preserve">114879</t>
  </si>
  <si>
    <t xml:space="preserve">0010-14862</t>
  </si>
  <si>
    <t xml:space="preserve">ASSEMBLY, THROTTLE VALVE, 300MM DUAL FLA USED</t>
  </si>
  <si>
    <t xml:space="preserve">114978</t>
  </si>
  <si>
    <t xml:space="preserve">0010-19199</t>
  </si>
  <si>
    <t xml:space="preserve">ASSY, BOSCH PVD/PC WAFER LIFT AND MTR AS [ASIS]</t>
  </si>
  <si>
    <t xml:space="preserve">114640</t>
  </si>
  <si>
    <t xml:space="preserve">0010-19899</t>
  </si>
  <si>
    <t xml:space="preserve">ASSEMBLY WAIST, FIXED WING UPPER [USED]</t>
  </si>
  <si>
    <t xml:space="preserve">114722</t>
  </si>
  <si>
    <t xml:space="preserve">0010-19913</t>
  </si>
  <si>
    <t xml:space="preserve">0040-76895  APPLIED MATRIALS COMPONENTS USED</t>
  </si>
  <si>
    <t xml:space="preserve">115199</t>
  </si>
  <si>
    <t xml:space="preserve">0010-20098</t>
  </si>
  <si>
    <t xml:space="preserve">CHASSIS ASSY, SHIELD TREATMENT USED</t>
  </si>
  <si>
    <t xml:space="preserve">114758</t>
  </si>
  <si>
    <t xml:space="preserve">0010-20222</t>
  </si>
  <si>
    <t xml:space="preserve">0040-20100 TIW MAGNET REM 11.3" SOURCE [ASIS]</t>
  </si>
  <si>
    <t xml:space="preserve">114695</t>
  </si>
  <si>
    <t xml:space="preserve">MAGNET,REM 11.3 TIW [USED]</t>
  </si>
  <si>
    <t xml:space="preserve">114696</t>
  </si>
  <si>
    <t xml:space="preserve">0010-20223</t>
  </si>
  <si>
    <t xml:space="preserve">(#1) wMAGNET REM 11.3"TIN ASY USED</t>
  </si>
  <si>
    <t xml:space="preserve">114668</t>
  </si>
  <si>
    <t xml:space="preserve">0010-20224</t>
  </si>
  <si>
    <t xml:space="preserve">MAGNET -A- 11.3 AL ASSY [USED]</t>
  </si>
  <si>
    <t xml:space="preserve">115200</t>
  </si>
  <si>
    <t xml:space="preserve">0010-20236</t>
  </si>
  <si>
    <t xml:space="preserve">ASSY, BASE USED</t>
  </si>
  <si>
    <t xml:space="preserve">115034</t>
  </si>
  <si>
    <t xml:space="preserve">0010-20252</t>
  </si>
  <si>
    <t xml:space="preserve">ASSY ORIENTER ROTATION [REFURBISHED]</t>
  </si>
  <si>
    <t xml:space="preserve">114813</t>
  </si>
  <si>
    <t xml:space="preserve">0010-20295</t>
  </si>
  <si>
    <t xml:space="preserve">APPLIED MATRIALS COMPONENTS USED</t>
  </si>
  <si>
    <t xml:space="preserve">114780</t>
  </si>
  <si>
    <t xml:space="preserve">0010-20300</t>
  </si>
  <si>
    <t xml:space="preserve">ASSY LIFT PVD [REFURBISHED]</t>
  </si>
  <si>
    <t xml:space="preserve">114683</t>
  </si>
  <si>
    <t xml:space="preserve">0010-20317</t>
  </si>
  <si>
    <t xml:space="preserve">ASSY 8" DEGAS LAMP 350C [REFURBISHED]</t>
  </si>
  <si>
    <t xml:space="preserve">114697</t>
  </si>
  <si>
    <t xml:space="preserve">0010-20328</t>
  </si>
  <si>
    <t xml:space="preserve">OPTIONAL 8"AL MAGNET ASY USED</t>
  </si>
  <si>
    <t xml:space="preserve">114933</t>
  </si>
  <si>
    <t xml:space="preserve">0010-20441</t>
  </si>
  <si>
    <t xml:space="preserve">ASSY, 6" RF MATCH USED</t>
  </si>
  <si>
    <t xml:space="preserve">115115</t>
  </si>
  <si>
    <t xml:space="preserve">0010-20452</t>
  </si>
  <si>
    <t xml:space="preserve">ASSY 150MM CASSETEE CLAMPING [REFURBISHED]</t>
  </si>
  <si>
    <t xml:space="preserve">114628</t>
  </si>
  <si>
    <t xml:space="preserve">0010-20524</t>
  </si>
  <si>
    <t xml:space="preserve">(DELIVERY 28 DAYS) RF MATCH [REFURBISHED]</t>
  </si>
  <si>
    <t xml:space="preserve">114629</t>
  </si>
  <si>
    <t xml:space="preserve">0010-20525</t>
  </si>
  <si>
    <t xml:space="preserve">114723</t>
  </si>
  <si>
    <t xml:space="preserve">0010-20768</t>
  </si>
  <si>
    <t xml:space="preserve">(#3) APPLIED MATRIALS COMPONENTS USED</t>
  </si>
  <si>
    <t xml:space="preserve">114641</t>
  </si>
  <si>
    <t xml:space="preserve">0010-20819</t>
  </si>
  <si>
    <t xml:space="preserve">114669</t>
  </si>
  <si>
    <t xml:space="preserve">0010-21206</t>
  </si>
  <si>
    <t xml:space="preserve">MAGNET ASSY DURASOURCE 13 JMW1 USED</t>
  </si>
  <si>
    <t xml:space="preserve">114934</t>
  </si>
  <si>
    <t xml:space="preserve">0010-21264</t>
  </si>
  <si>
    <t xml:space="preserve">ASSEMBLY SHUTTER LINKAGE USED</t>
  </si>
  <si>
    <t xml:space="preserve">115035</t>
  </si>
  <si>
    <t xml:space="preserve">0010-21345</t>
  </si>
  <si>
    <t xml:space="preserve">0020-25631 ASSY, CLEAR LID FOR A OR B [ASIS]</t>
  </si>
  <si>
    <t xml:space="preserve">115201</t>
  </si>
  <si>
    <t xml:space="preserve">0020-25631 ASSY, CLEAR LID FOR NOT WORKING</t>
  </si>
  <si>
    <t xml:space="preserve">114935</t>
  </si>
  <si>
    <t xml:space="preserve">0010-21578</t>
  </si>
  <si>
    <t xml:space="preserve">ASSY SHUTTER ENCLOSURE  USED</t>
  </si>
  <si>
    <t xml:space="preserve">114928</t>
  </si>
  <si>
    <t xml:space="preserve">0010-21631</t>
  </si>
  <si>
    <t xml:space="preserve">ASSY, CH A OR B LID with VIEWPORTS [ASIS]</t>
  </si>
  <si>
    <t xml:space="preserve">114698</t>
  </si>
  <si>
    <t xml:space="preserve">0010-21679</t>
  </si>
  <si>
    <t xml:space="preserve">ASSY 8in SHIELD VECTRA IMP TI CLAMPED NEW</t>
  </si>
  <si>
    <t xml:space="preserve">114642</t>
  </si>
  <si>
    <t xml:space="preserve">0010-21810</t>
  </si>
  <si>
    <t xml:space="preserve">MAGNET ASSY G-12+ ENCAPSULATED DURASOURC USED</t>
  </si>
  <si>
    <t xml:space="preserve">114710</t>
  </si>
  <si>
    <t xml:space="preserve">0010-22012</t>
  </si>
  <si>
    <t xml:space="preserve">CLEANED 8" HI-TEMP HTR W/ WELDED LUGS USED</t>
  </si>
  <si>
    <t xml:space="preserve">114643</t>
  </si>
  <si>
    <t xml:space="preserve">0010-22043</t>
  </si>
  <si>
    <t xml:space="preserve">ASSY PH-3 MAGNET USED</t>
  </si>
  <si>
    <t xml:space="preserve">114644</t>
  </si>
  <si>
    <t xml:space="preserve">0010-22156</t>
  </si>
  <si>
    <t xml:space="preserve">(#2) APPLIED MATRIALS USED</t>
  </si>
  <si>
    <t xml:space="preserve">115355</t>
  </si>
  <si>
    <t xml:space="preserve">MATERIALS  (#1) ASSY, BESC MOTORIZED LIFT USED</t>
  </si>
  <si>
    <t xml:space="preserve">114979</t>
  </si>
  <si>
    <t xml:space="preserve">0010-22162</t>
  </si>
  <si>
    <t xml:space="preserve">(#2) ASSY, WATER BOX, BESC USED</t>
  </si>
  <si>
    <t xml:space="preserve">114598</t>
  </si>
  <si>
    <t xml:space="preserve">0010-22567</t>
  </si>
  <si>
    <t xml:space="preserve">(#1) ALPS CENTER WATER SOURCE, 300MM [ASIS]</t>
  </si>
  <si>
    <t xml:space="preserve">114595</t>
  </si>
  <si>
    <t xml:space="preserve">(#2) 0010-26093  SOURCE [ASIS]</t>
  </si>
  <si>
    <t xml:space="preserve">114599</t>
  </si>
  <si>
    <t xml:space="preserve">(#3) ALPS CENTER WATER FEEDTHRU SOURCE [ASIS]</t>
  </si>
  <si>
    <t xml:space="preserve">114600</t>
  </si>
  <si>
    <t xml:space="preserve">0010-22568</t>
  </si>
  <si>
    <t xml:space="preserve">114584</t>
  </si>
  <si>
    <t xml:space="preserve">(#2) 0010-03485 SOURCE [ASIS]</t>
  </si>
  <si>
    <t xml:space="preserve">114601</t>
  </si>
  <si>
    <t xml:space="preserve">(#3) RF SHIELDED SOURCE, 300MM PVD [ASIS]</t>
  </si>
  <si>
    <t xml:space="preserve">114585</t>
  </si>
  <si>
    <t xml:space="preserve">0010-22569</t>
  </si>
  <si>
    <t xml:space="preserve">(#1) 0010-13034 CENTER SOURCE ASIS</t>
  </si>
  <si>
    <t xml:space="preserve">114602</t>
  </si>
  <si>
    <t xml:space="preserve">(#4) CENTER WATER FEEDTHRU SOURCE, 300MM [ASIS]</t>
  </si>
  <si>
    <t xml:space="preserve">114586</t>
  </si>
  <si>
    <t xml:space="preserve">(#5) 0010-13034 FEEDTHRU SOURCE [ASIS]</t>
  </si>
  <si>
    <t xml:space="preserve">114645</t>
  </si>
  <si>
    <t xml:space="preserve">(#6) CENTER WATER FEEDTHRU SOURCE [ASIS]</t>
  </si>
  <si>
    <t xml:space="preserve">115354</t>
  </si>
  <si>
    <t xml:space="preserve">CENTER WATER FEEDTHRU SOURCE, 300MM [ASIS]</t>
  </si>
  <si>
    <t xml:space="preserve">114759</t>
  </si>
  <si>
    <t xml:space="preserve">0010-22911</t>
  </si>
  <si>
    <t xml:space="preserve">CHAMBER POWER DRAWER ASSEMBLY, PVD [ASIS]</t>
  </si>
  <si>
    <t xml:space="preserve">114699</t>
  </si>
  <si>
    <t xml:space="preserve">0010-22930</t>
  </si>
  <si>
    <t xml:space="preserve">FACILITY PLATE, POSITION 2, WI NEW</t>
  </si>
  <si>
    <t xml:space="preserve">114583</t>
  </si>
  <si>
    <t xml:space="preserve">0010-23334+</t>
  </si>
  <si>
    <t xml:space="preserve">0010-03485 0040-82892 0040-64040 APPLIED COMPONENT ASIS</t>
  </si>
  <si>
    <t xml:space="preserve">114912</t>
  </si>
  <si>
    <t xml:space="preserve">0010-23425</t>
  </si>
  <si>
    <t xml:space="preserve">(#1) WATER MANIFOLD ASSY, SUPPLY [ASIS]</t>
  </si>
  <si>
    <t xml:space="preserve">114863</t>
  </si>
  <si>
    <t xml:space="preserve">(#2) WATER MANIFOLD ASSY, SUPPLY, RPG [ASIS]</t>
  </si>
  <si>
    <t xml:space="preserve">114864</t>
  </si>
  <si>
    <t xml:space="preserve">0010-23660</t>
  </si>
  <si>
    <t xml:space="preserve">(#1) 3030-13109 CONFIGURABLE GAS-STICK [ASIS]</t>
  </si>
  <si>
    <t xml:space="preserve">114865</t>
  </si>
  <si>
    <t xml:space="preserve">(#2) 3030-13114 CONFIGURABLE GAS-STICK [ASIS]</t>
  </si>
  <si>
    <t xml:space="preserve">114646</t>
  </si>
  <si>
    <t xml:space="preserve">0010-24405</t>
  </si>
  <si>
    <t xml:space="preserve">0021-27122 0021-26854 0021-26855 [ASIS]</t>
  </si>
  <si>
    <t xml:space="preserve">114647</t>
  </si>
  <si>
    <t xml:space="preserve">(#1) 0021-26854 0021-26855 0021-26857 [ASIS]</t>
  </si>
  <si>
    <t xml:space="preserve">114603</t>
  </si>
  <si>
    <t xml:space="preserve">0010-24794</t>
  </si>
  <si>
    <t xml:space="preserve">114604</t>
  </si>
  <si>
    <t xml:space="preserve">0010-25068</t>
  </si>
  <si>
    <t xml:space="preserve">114760</t>
  </si>
  <si>
    <t xml:space="preserve">0010-25151</t>
  </si>
  <si>
    <t xml:space="preserve">114617</t>
  </si>
  <si>
    <t xml:space="preserve">0010-25154</t>
  </si>
  <si>
    <t xml:space="preserve">(#1) (WITH COVER) HEATER USED</t>
  </si>
  <si>
    <t xml:space="preserve">114648</t>
  </si>
  <si>
    <t xml:space="preserve">(#2) (WITHOUT COVER) HEATER ASIS</t>
  </si>
  <si>
    <t xml:space="preserve">114618</t>
  </si>
  <si>
    <t xml:space="preserve">0010-25341</t>
  </si>
  <si>
    <t xml:space="preserve">114724</t>
  </si>
  <si>
    <t xml:space="preserve">114589</t>
  </si>
  <si>
    <t xml:space="preserve">(#3) 0010-24405 APPLIED MATRIALS  [ASIS]</t>
  </si>
  <si>
    <t xml:space="preserve">114590</t>
  </si>
  <si>
    <t xml:space="preserve">(#4) 0010-24405 APPLIED MATRIALS [ASIS]</t>
  </si>
  <si>
    <t xml:space="preserve">114619</t>
  </si>
  <si>
    <t xml:space="preserve">114592</t>
  </si>
  <si>
    <t xml:space="preserve">0010-25431</t>
  </si>
  <si>
    <t xml:space="preserve">(#1)0010-24405 APPLIED MATRIALS COMPONENTS ASIS</t>
  </si>
  <si>
    <t xml:space="preserve">114725</t>
  </si>
  <si>
    <t xml:space="preserve">0010-26093</t>
  </si>
  <si>
    <t xml:space="preserve">0020-01999 0020-04622 0020-62155 [ASIS]</t>
  </si>
  <si>
    <t xml:space="preserve">114605</t>
  </si>
  <si>
    <t xml:space="preserve">0010-27275</t>
  </si>
  <si>
    <t xml:space="preserve">114649</t>
  </si>
  <si>
    <t xml:space="preserve">114685</t>
  </si>
  <si>
    <t xml:space="preserve">(#3) APPLIED MATRIALS COMPONENTS [ASIS]</t>
  </si>
  <si>
    <t xml:space="preserve">114606</t>
  </si>
  <si>
    <t xml:space="preserve">0010-27417</t>
  </si>
  <si>
    <t xml:space="preserve">(#2) 0010-14300 0020-62155 GEARBOX [ASIS]</t>
  </si>
  <si>
    <t xml:space="preserve">114607</t>
  </si>
  <si>
    <t xml:space="preserve">GEARBOX ASSY, SEALED GEARBOX, ENCORE II USED</t>
  </si>
  <si>
    <t xml:space="preserve">114880</t>
  </si>
  <si>
    <t xml:space="preserve">0010-27495</t>
  </si>
  <si>
    <t xml:space="preserve">114587</t>
  </si>
  <si>
    <t xml:space="preserve">0010-27504</t>
  </si>
  <si>
    <t xml:space="preserve">(#1) 0010-27417 APPLIED MATRIALS COMPONETS ASIS</t>
  </si>
  <si>
    <t xml:space="preserve">114661</t>
  </si>
  <si>
    <t xml:space="preserve">0010-28779</t>
  </si>
  <si>
    <t xml:space="preserve">(#1) 0190-16362 6-60-AG60-AMAT01 [ASIS]</t>
  </si>
  <si>
    <t xml:space="preserve">114670</t>
  </si>
  <si>
    <t xml:space="preserve">0010-30001</t>
  </si>
  <si>
    <t xml:space="preserve">ASSY,DEGASSER [USED]</t>
  </si>
  <si>
    <t xml:space="preserve">114624</t>
  </si>
  <si>
    <t xml:space="preserve">0010-30012</t>
  </si>
  <si>
    <t xml:space="preserve">(#1)MAGNETIC DRIVE ASSY, MC ROBOT P5000 [USED]</t>
  </si>
  <si>
    <t xml:space="preserve">115036</t>
  </si>
  <si>
    <t xml:space="preserve">0010-30064</t>
  </si>
  <si>
    <t xml:space="preserve">ASSEMBLY, H.O.T. ANALYZER CARTRIDGE, 387 USED</t>
  </si>
  <si>
    <t xml:space="preserve">115037</t>
  </si>
  <si>
    <t xml:space="preserve">0010-30065</t>
  </si>
  <si>
    <t xml:space="preserve">ASSEMBLY, HOT FILTER, 356NM [USED]</t>
  </si>
  <si>
    <t xml:space="preserve">114662</t>
  </si>
  <si>
    <t xml:space="preserve">0010-30139</t>
  </si>
  <si>
    <t xml:space="preserve">ASSY,HV FILTER,DPS CHAMBER [ASIS]</t>
  </si>
  <si>
    <t xml:space="preserve">114650</t>
  </si>
  <si>
    <t xml:space="preserve">ASSY,HV FILTER,DPS CHAMBER [USED]</t>
  </si>
  <si>
    <t xml:space="preserve">114814</t>
  </si>
  <si>
    <t xml:space="preserve">0010-30318</t>
  </si>
  <si>
    <t xml:space="preserve">TOP LID FOR LINER, SSGD, 5000 USED</t>
  </si>
  <si>
    <t xml:space="preserve">114726</t>
  </si>
  <si>
    <t xml:space="preserve">0010-30319</t>
  </si>
  <si>
    <t xml:space="preserve">TOP LID FOR LINER, SSGD, 5200 NEW</t>
  </si>
  <si>
    <t xml:space="preserve">114686</t>
  </si>
  <si>
    <t xml:space="preserve">0010-30421</t>
  </si>
  <si>
    <t xml:space="preserve">ASSY HEATER 8" JHT .029 W/VITO USED</t>
  </si>
  <si>
    <t xml:space="preserve">114936</t>
  </si>
  <si>
    <t xml:space="preserve">0010-30528</t>
  </si>
  <si>
    <t xml:space="preserve">(#1) ASSEMBLY, UPPER FACILITIES PANEL, NEW</t>
  </si>
  <si>
    <t xml:space="preserve">115038</t>
  </si>
  <si>
    <t xml:space="preserve">0010-30637</t>
  </si>
  <si>
    <t xml:space="preserve">ASSY, COVER, PUMPING PLATE DXZ, SACVD NEW</t>
  </si>
  <si>
    <t xml:space="preserve">114761</t>
  </si>
  <si>
    <t xml:space="preserve">0010-30690</t>
  </si>
  <si>
    <t xml:space="preserve">HEATER ASSEMBLY 8" SR AXZ USED</t>
  </si>
  <si>
    <t xml:space="preserve">114762</t>
  </si>
  <si>
    <t xml:space="preserve">0010-31159</t>
  </si>
  <si>
    <t xml:space="preserve">114608</t>
  </si>
  <si>
    <t xml:space="preserve">0010-31337</t>
  </si>
  <si>
    <t xml:space="preserve">114881</t>
  </si>
  <si>
    <t xml:space="preserve">0010-35527</t>
  </si>
  <si>
    <t xml:space="preserve">114620</t>
  </si>
  <si>
    <t xml:space="preserve">0010-35937</t>
  </si>
  <si>
    <t xml:space="preserve">114763</t>
  </si>
  <si>
    <t xml:space="preserve">0010-36475</t>
  </si>
  <si>
    <t xml:space="preserve">ASSY,HEATER TXZ,200MM,JMF USED</t>
  </si>
  <si>
    <t xml:space="preserve">115136</t>
  </si>
  <si>
    <t xml:space="preserve">0010-37130</t>
  </si>
  <si>
    <t xml:space="preserve">CLAMP ASSY, XFER CHAMBER LID NEW</t>
  </si>
  <si>
    <t xml:space="preserve">114651</t>
  </si>
  <si>
    <t xml:space="preserve">0010-37255</t>
  </si>
  <si>
    <t xml:space="preserve">114652</t>
  </si>
  <si>
    <t xml:space="preserve">114700</t>
  </si>
  <si>
    <t xml:space="preserve">0010-37900</t>
  </si>
  <si>
    <t xml:space="preserve">ASSY, THROTTLE VALVE, 5-PHASE, POLY DPS ASIS</t>
  </si>
  <si>
    <t xml:space="preserve">114616</t>
  </si>
  <si>
    <t xml:space="preserve">0010-38070</t>
  </si>
  <si>
    <t xml:space="preserve">0190-27579 APPLIED MATRIALS COMPONENTS [ASIS]</t>
  </si>
  <si>
    <t xml:space="preserve">114937</t>
  </si>
  <si>
    <t xml:space="preserve">0010-38438</t>
  </si>
  <si>
    <t xml:space="preserve">ASSY, C-CHUCK, 200MM, CIP 99 ASIS</t>
  </si>
  <si>
    <t xml:space="preserve">114882</t>
  </si>
  <si>
    <t xml:space="preserve">0010-38838</t>
  </si>
  <si>
    <t xml:space="preserve">ASS, AC DISTRIBUTION, 120 VAC, USED</t>
  </si>
  <si>
    <t xml:space="preserve">115116</t>
  </si>
  <si>
    <t xml:space="preserve">0010-39557</t>
  </si>
  <si>
    <t xml:space="preserve">ASSY,HTD CROSS WLDMT,SEIKO STP USED</t>
  </si>
  <si>
    <t xml:space="preserve">114727</t>
  </si>
  <si>
    <t xml:space="preserve">0010-40280</t>
  </si>
  <si>
    <t xml:space="preserve">ROOF TOP,SUB-ASSY,CGF,DOS USED</t>
  </si>
  <si>
    <t xml:space="preserve">114609</t>
  </si>
  <si>
    <t xml:space="preserve">0010-43231</t>
  </si>
  <si>
    <t xml:space="preserve">0010-30498 0010-30501 COMPONENTS [USED]</t>
  </si>
  <si>
    <t xml:space="preserve">114610</t>
  </si>
  <si>
    <t xml:space="preserve">0010-44917</t>
  </si>
  <si>
    <t xml:space="preserve">114883</t>
  </si>
  <si>
    <t xml:space="preserve">0010-46919</t>
  </si>
  <si>
    <t xml:space="preserve">114728</t>
  </si>
  <si>
    <t xml:space="preserve">0010-47964</t>
  </si>
  <si>
    <t xml:space="preserve">114866</t>
  </si>
  <si>
    <t xml:space="preserve">0010-50867</t>
  </si>
  <si>
    <t xml:space="preserve">(#1) 0010-50866 0010-42843 3870-00899 [ASIS]</t>
  </si>
  <si>
    <t xml:space="preserve">114867</t>
  </si>
  <si>
    <t xml:space="preserve">(#2) 0010-50866 0010-42855 [ASIS]</t>
  </si>
  <si>
    <t xml:space="preserve">114868</t>
  </si>
  <si>
    <t xml:space="preserve">(#3) 0010-50866 0010-42859 [ASIS]</t>
  </si>
  <si>
    <t xml:space="preserve">114781</t>
  </si>
  <si>
    <t xml:space="preserve">0010-59676</t>
  </si>
  <si>
    <t xml:space="preserve">0190-32367 0190-49895 892B-27060 54018229 USED</t>
  </si>
  <si>
    <t xml:space="preserve">114671</t>
  </si>
  <si>
    <t xml:space="preserve">0010-60604</t>
  </si>
  <si>
    <t xml:space="preserve">(#1) 0190-43364 AG90 21491-090B APPLIED [NOT]</t>
  </si>
  <si>
    <t xml:space="preserve">114596</t>
  </si>
  <si>
    <t xml:space="preserve">0010-68129</t>
  </si>
  <si>
    <t xml:space="preserve">114913</t>
  </si>
  <si>
    <t xml:space="preserve">0010-70008</t>
  </si>
  <si>
    <t xml:space="preserve">HEAT EXCHGER AC BX ASY [ASIS]</t>
  </si>
  <si>
    <t xml:space="preserve">114729</t>
  </si>
  <si>
    <t xml:space="preserve">0010-70052</t>
  </si>
  <si>
    <t xml:space="preserve">(#1) wASSY 20SLOT VME CONTROL [ASIS]</t>
  </si>
  <si>
    <t xml:space="preserve">115117</t>
  </si>
  <si>
    <t xml:space="preserve">0010-70058</t>
  </si>
  <si>
    <t xml:space="preserve">(#1) STOR ELEV ASSY, 29 POSN USED</t>
  </si>
  <si>
    <t xml:space="preserve">115039</t>
  </si>
  <si>
    <t xml:space="preserve">(#3) STOR ELEV ASSY, 29 POSN USED</t>
  </si>
  <si>
    <t xml:space="preserve">114782</t>
  </si>
  <si>
    <t xml:space="preserve">0010-70066W</t>
  </si>
  <si>
    <t xml:space="preserve"> (#1) 0010-70008 wASSY HEAT EXCHANGER [ASIS]</t>
  </si>
  <si>
    <t xml:space="preserve">114796</t>
  </si>
  <si>
    <t xml:space="preserve">0010-70074</t>
  </si>
  <si>
    <t xml:space="preserve">0020-70184 RING CNTRLLC LID USED</t>
  </si>
  <si>
    <t xml:space="preserve">114730</t>
  </si>
  <si>
    <t xml:space="preserve">0010-70131</t>
  </si>
  <si>
    <t xml:space="preserve">8" WAFER ORIENTER USED</t>
  </si>
  <si>
    <t xml:space="preserve">114625</t>
  </si>
  <si>
    <t xml:space="preserve">0010-70264</t>
  </si>
  <si>
    <t xml:space="preserve">ASSY HP ROBOT DRIVER UPPER/LOWER [REFURBISHED]</t>
  </si>
  <si>
    <t xml:space="preserve">114783</t>
  </si>
  <si>
    <t xml:space="preserve">0010-70271</t>
  </si>
  <si>
    <t xml:space="preserve">ASSY 101 WAFER LIFT [REFURBISHED]</t>
  </si>
  <si>
    <t xml:space="preserve">114938</t>
  </si>
  <si>
    <t xml:space="preserve">0010-70302</t>
  </si>
  <si>
    <t xml:space="preserve">ASSY LIFT, PRECLEAN I CHAMBER USED</t>
  </si>
  <si>
    <t xml:space="preserve">115022</t>
  </si>
  <si>
    <t xml:space="preserve">0010-70321</t>
  </si>
  <si>
    <t xml:space="preserve">ASSY, SLIT VALVE O-RING, CROWNED [ASIS]</t>
  </si>
  <si>
    <t xml:space="preserve">114731</t>
  </si>
  <si>
    <t xml:space="preserve">0010-70441</t>
  </si>
  <si>
    <t xml:space="preserve">PVD HP LIFT [USED]</t>
  </si>
  <si>
    <t xml:space="preserve">114701</t>
  </si>
  <si>
    <t xml:space="preserve">0010-75448</t>
  </si>
  <si>
    <t xml:space="preserve">ASSY, 150MM CASSETTE HANDLER RIGHT NEW</t>
  </si>
  <si>
    <t xml:space="preserve">114884</t>
  </si>
  <si>
    <t xml:space="preserve">0010-75480</t>
  </si>
  <si>
    <t xml:space="preserve">ASSY, AC BOX, AMAT-0,HEAT EXCHANGER [ASIS]</t>
  </si>
  <si>
    <t xml:space="preserve">115040</t>
  </si>
  <si>
    <t xml:space="preserve">0010-75571</t>
  </si>
  <si>
    <t xml:space="preserve">ASSY, LEFT HAND PIVOT AND BEARING, EXT R NEW</t>
  </si>
  <si>
    <t xml:space="preserve">115137</t>
  </si>
  <si>
    <t xml:space="preserve">0010-75573</t>
  </si>
  <si>
    <t xml:space="preserve">APPLIED MATRIALS COMPONENTS NEW</t>
  </si>
  <si>
    <t xml:space="preserve">115138</t>
  </si>
  <si>
    <t xml:space="preserve">0010-75574</t>
  </si>
  <si>
    <t xml:space="preserve">114914</t>
  </si>
  <si>
    <t xml:space="preserve">0010-76005</t>
  </si>
  <si>
    <t xml:space="preserve">ASSY BLADE ROBOT 8 [ASIS]</t>
  </si>
  <si>
    <t xml:space="preserve">115202</t>
  </si>
  <si>
    <t xml:space="preserve">ASSY BLADE ROBOT 8 [NOT WORKING]</t>
  </si>
  <si>
    <t xml:space="preserve">114927</t>
  </si>
  <si>
    <t xml:space="preserve">0010-76018</t>
  </si>
  <si>
    <t xml:space="preserve">ASSY 6 CASSETTE [REFURBISHED]</t>
  </si>
  <si>
    <t xml:space="preserve">115203</t>
  </si>
  <si>
    <t xml:space="preserve">0010-76087</t>
  </si>
  <si>
    <t xml:space="preserve">WAFER VALVE ASSY. CH 2,4,&amp; D [NEW]</t>
  </si>
  <si>
    <t xml:space="preserve">114784</t>
  </si>
  <si>
    <t xml:space="preserve">0010-76175</t>
  </si>
  <si>
    <t xml:space="preserve">ASSY, THROT VALVE DELTA NITRIDE W/KALREZ USED</t>
  </si>
  <si>
    <t xml:space="preserve">114672</t>
  </si>
  <si>
    <t xml:space="preserve">0010-76322</t>
  </si>
  <si>
    <t xml:space="preserve">(#1) ASSY., COOL DOWN CHAMBER, NON-ENP [ASIS]</t>
  </si>
  <si>
    <t xml:space="preserve">114673</t>
  </si>
  <si>
    <t xml:space="preserve">(#2) ASSY., COOL DOWN CHAMBER, NON-ENP [ASIS]</t>
  </si>
  <si>
    <t xml:space="preserve">114815</t>
  </si>
  <si>
    <t xml:space="preserve">0010-76430</t>
  </si>
  <si>
    <t xml:space="preserve">ASSY A.L.L. MOTOR LEFT [REFURBISHED]</t>
  </si>
  <si>
    <t xml:space="preserve">114713</t>
  </si>
  <si>
    <t xml:space="preserve">0010-76514</t>
  </si>
  <si>
    <t xml:space="preserve">ASSY 20S VME CONT W/3.5 FLOPPY DRIVE [ASIS]</t>
  </si>
  <si>
    <t xml:space="preserve">115003</t>
  </si>
  <si>
    <t xml:space="preserve">0010-76634</t>
  </si>
  <si>
    <t xml:space="preserve">NON ENP NB DOOR ASSEMBLY [USED]</t>
  </si>
  <si>
    <t xml:space="preserve">114732</t>
  </si>
  <si>
    <t xml:space="preserve">0010-76952</t>
  </si>
  <si>
    <t xml:space="preserve">(#1) ASSY, IHC CHAMBER A, B, AND C, NEW</t>
  </si>
  <si>
    <t xml:space="preserve">114733</t>
  </si>
  <si>
    <t xml:space="preserve">(#2) ASSY, IHC CHAMBER A, B, AND C, NEW</t>
  </si>
  <si>
    <t xml:space="preserve">114816</t>
  </si>
  <si>
    <t xml:space="preserve">ASSY, IHC CHAMBER A, B, AND C, USED</t>
  </si>
  <si>
    <t xml:space="preserve">114980</t>
  </si>
  <si>
    <t xml:space="preserve">0010-76967</t>
  </si>
  <si>
    <t xml:space="preserve">ASSY,OTF CENTER FINDER RECEIVER,300MM USED</t>
  </si>
  <si>
    <t xml:space="preserve">114939</t>
  </si>
  <si>
    <t xml:space="preserve">0010-77214</t>
  </si>
  <si>
    <t xml:space="preserve">HEAD ASSY USED</t>
  </si>
  <si>
    <t xml:space="preserve">115204</t>
  </si>
  <si>
    <t xml:space="preserve">0015-09091</t>
  </si>
  <si>
    <t xml:space="preserve">wASSY LAMP DRIVER,TESTED REP01 USED</t>
  </si>
  <si>
    <t xml:space="preserve">114653</t>
  </si>
  <si>
    <t xml:space="preserve">0020-01985</t>
  </si>
  <si>
    <t xml:space="preserve">115041</t>
  </si>
  <si>
    <t xml:space="preserve">0020-02348</t>
  </si>
  <si>
    <t xml:space="preserve">CLAMP, LOWER SHIELD, 300MM SIP NEW</t>
  </si>
  <si>
    <t xml:space="preserve">115042</t>
  </si>
  <si>
    <t xml:space="preserve">0020-04043</t>
  </si>
  <si>
    <t xml:space="preserve">wBOTTOM PLATE USED</t>
  </si>
  <si>
    <t xml:space="preserve">115043</t>
  </si>
  <si>
    <t xml:space="preserve">0020-04076</t>
  </si>
  <si>
    <t xml:space="preserve">*PLATE, GAS DISTRIBUTION SMALL HOLES [NEW]</t>
  </si>
  <si>
    <t xml:space="preserve">114817</t>
  </si>
  <si>
    <t xml:space="preserve">0020-05426</t>
  </si>
  <si>
    <t xml:space="preserve">COIL 1/8 THK CTR HOLES-KNURLED, VECTRA I NEW</t>
  </si>
  <si>
    <t xml:space="preserve">115044</t>
  </si>
  <si>
    <t xml:space="preserve">0020-09021</t>
  </si>
  <si>
    <t xml:space="preserve">BOTTOM COVER, ETCH CHMBR USED</t>
  </si>
  <si>
    <t xml:space="preserve">115139</t>
  </si>
  <si>
    <t xml:space="preserve">0020-09885</t>
  </si>
  <si>
    <t xml:space="preserve">ISOLATOR N USED</t>
  </si>
  <si>
    <t xml:space="preserve">115006</t>
  </si>
  <si>
    <t xml:space="preserve">0020-10120</t>
  </si>
  <si>
    <t xml:space="preserve">PLATE PERF 100-150MM S/O NEW</t>
  </si>
  <si>
    <t xml:space="preserve">114785</t>
  </si>
  <si>
    <t xml:space="preserve">0020-19001</t>
  </si>
  <si>
    <t xml:space="preserve">SLIT VALVE SHO SPACER [NEW]</t>
  </si>
  <si>
    <t xml:space="preserve">115045</t>
  </si>
  <si>
    <t xml:space="preserve">0020-19003</t>
  </si>
  <si>
    <t xml:space="preserve">INSERT, SLIT VALVE SHO [NEW]</t>
  </si>
  <si>
    <t xml:space="preserve">115140</t>
  </si>
  <si>
    <t xml:space="preserve">0020-20112</t>
  </si>
  <si>
    <t xml:space="preserve">CLAMP RING, 8" SNNF, SST 3.378 NEW</t>
  </si>
  <si>
    <t xml:space="preserve">114885</t>
  </si>
  <si>
    <t xml:space="preserve">0020-20296</t>
  </si>
  <si>
    <t xml:space="preserve">FRAME SOURCE 13" USED</t>
  </si>
  <si>
    <t xml:space="preserve">106215</t>
  </si>
  <si>
    <t xml:space="preserve">0020-20483 REV E</t>
  </si>
  <si>
    <t xml:space="preserve">HUB LAMP CORNER COVER</t>
  </si>
  <si>
    <t xml:space="preserve">new unused</t>
  </si>
  <si>
    <t xml:space="preserve">UNUSED AND IN ORIGINAL SEALED PACKING
SEE PHOTO FOR DETAILS</t>
  </si>
  <si>
    <t xml:space="preserve">106217</t>
  </si>
  <si>
    <t xml:space="preserve">0020-20523</t>
  </si>
  <si>
    <t xml:space="preserve">COVER</t>
  </si>
  <si>
    <t xml:space="preserve">SEALED
SEE PHOTO FOR DETAILS</t>
  </si>
  <si>
    <t xml:space="preserve">106213</t>
  </si>
  <si>
    <t xml:space="preserve">0020-20626 REV C</t>
  </si>
  <si>
    <t xml:space="preserve">BLOCK MOUNTING SHUT-OFF VALVE</t>
  </si>
  <si>
    <t xml:space="preserve">106223</t>
  </si>
  <si>
    <t xml:space="preserve">106228</t>
  </si>
  <si>
    <t xml:space="preserve">114981</t>
  </si>
  <si>
    <t xml:space="preserve">0020-20691</t>
  </si>
  <si>
    <t xml:space="preserve">PEDESTAL CD/PT WAFER200 MM [REFURBISHED]</t>
  </si>
  <si>
    <t xml:space="preserve">115001</t>
  </si>
  <si>
    <t xml:space="preserve">0020-20897</t>
  </si>
  <si>
    <t xml:space="preserve">SOCKET RETAINER, 5/6, DEGAS [USED]</t>
  </si>
  <si>
    <t xml:space="preserve">71932</t>
  </si>
  <si>
    <t xml:space="preserve">0020-20919 REV C</t>
  </si>
  <si>
    <t xml:space="preserve">COVER CVD POST</t>
  </si>
  <si>
    <t xml:space="preserve">
</t>
  </si>
  <si>
    <t xml:space="preserve">106209</t>
  </si>
  <si>
    <t xml:space="preserve">0020-21089</t>
  </si>
  <si>
    <t xml:space="preserve">SHIELD</t>
  </si>
  <si>
    <t xml:space="preserve">CLEANED AND SEALED IN PLASTIC BAG
SEE PHOTOS FOR DETAILS</t>
  </si>
  <si>
    <t xml:space="preserve">115141</t>
  </si>
  <si>
    <t xml:space="preserve">0020-21467</t>
  </si>
  <si>
    <t xml:space="preserve">ADAPTER SOURCE 11.30 USED</t>
  </si>
  <si>
    <t xml:space="preserve">114940</t>
  </si>
  <si>
    <t xml:space="preserve">ADAPTER SOURCE 11.30" NEW</t>
  </si>
  <si>
    <t xml:space="preserve">115205</t>
  </si>
  <si>
    <t xml:space="preserve">0020-21748</t>
  </si>
  <si>
    <t xml:space="preserve">HOOP 5"&amp;6" PRECLEAN NEW</t>
  </si>
  <si>
    <t xml:space="preserve">115206</t>
  </si>
  <si>
    <t xml:space="preserve">0020-22237</t>
  </si>
  <si>
    <t xml:space="preserve">COVER RING 8" NEW</t>
  </si>
  <si>
    <t xml:space="preserve">115046</t>
  </si>
  <si>
    <t xml:space="preserve">0020-22510</t>
  </si>
  <si>
    <t xml:space="preserve">CLAMP RING AL/TI 8" SNNP REDUC NEW</t>
  </si>
  <si>
    <t xml:space="preserve">115047</t>
  </si>
  <si>
    <t xml:space="preserve">0020-22584</t>
  </si>
  <si>
    <t xml:space="preserve">BOX, RESISTIVITY METER,DOT TWO [USED]</t>
  </si>
  <si>
    <t xml:space="preserve">115207</t>
  </si>
  <si>
    <t xml:space="preserve">0020-22879</t>
  </si>
  <si>
    <t xml:space="preserve">115142</t>
  </si>
  <si>
    <t xml:space="preserve">0020-22975</t>
  </si>
  <si>
    <t xml:space="preserve">INSULATOR TIN 8 WAFER [REFURBISHED]</t>
  </si>
  <si>
    <t xml:space="preserve">114915</t>
  </si>
  <si>
    <t xml:space="preserve">0020-23259</t>
  </si>
  <si>
    <t xml:space="preserve">HOOP LIFT 8" HIGH TEMP [USED]</t>
  </si>
  <si>
    <t xml:space="preserve">115048</t>
  </si>
  <si>
    <t xml:space="preserve">0020-23276</t>
  </si>
  <si>
    <t xml:space="preserve">COVER RING, TI,8" 101% COVERAG NEW</t>
  </si>
  <si>
    <t xml:space="preserve">115208</t>
  </si>
  <si>
    <t xml:space="preserve">COVER RING, TI,8" 101% COVERAG USED</t>
  </si>
  <si>
    <t xml:space="preserve">114764</t>
  </si>
  <si>
    <t xml:space="preserve">0020-23549</t>
  </si>
  <si>
    <t xml:space="preserve">SHIELD, UPPER, AL ARC-SPRAY, SST, 300MM NEW</t>
  </si>
  <si>
    <t xml:space="preserve">115049</t>
  </si>
  <si>
    <t xml:space="preserve">0020-23893</t>
  </si>
  <si>
    <t xml:space="preserve">CLAMP RING 8IN AL/TI SMFACAM NEW</t>
  </si>
  <si>
    <t xml:space="preserve">114982</t>
  </si>
  <si>
    <t xml:space="preserve">0020-24100</t>
  </si>
  <si>
    <t xml:space="preserve">8 INSULATOR WITH ANTEANE PC2 [REFURBISHED]</t>
  </si>
  <si>
    <t xml:space="preserve">114983</t>
  </si>
  <si>
    <t xml:space="preserve">8 INSULATOR WITH ANTEANE PC2 NEW</t>
  </si>
  <si>
    <t xml:space="preserve">115209</t>
  </si>
  <si>
    <t xml:space="preserve">0020-24230</t>
  </si>
  <si>
    <t xml:space="preserve">BASE PRECLEAN 2 [USED]</t>
  </si>
  <si>
    <t xml:space="preserve">114886</t>
  </si>
  <si>
    <t xml:space="preserve">0020-24435</t>
  </si>
  <si>
    <t xml:space="preserve">8 PC II JMF EXT INSULATOR TI [REFURBISHED]</t>
  </si>
  <si>
    <t xml:space="preserve">114941</t>
  </si>
  <si>
    <t xml:space="preserve">0020-24534</t>
  </si>
  <si>
    <t xml:space="preserve">(#1)  0020-26340 0020-25311 13 FLT SRC-W USED</t>
  </si>
  <si>
    <t xml:space="preserve">114942</t>
  </si>
  <si>
    <t xml:space="preserve">ADAPTER COH (AR) 13"FLT SRC-W/ NEW</t>
  </si>
  <si>
    <t xml:space="preserve">115050</t>
  </si>
  <si>
    <t xml:space="preserve">ADAPTER COH (AR) 13"FLT SRC-W/ USED</t>
  </si>
  <si>
    <t xml:space="preserve">115100</t>
  </si>
  <si>
    <t xml:space="preserve">0020-24535</t>
  </si>
  <si>
    <t xml:space="preserve">RING SHIELD MNT COH (AR) 13" F NEW</t>
  </si>
  <si>
    <t xml:space="preserve">115143</t>
  </si>
  <si>
    <t xml:space="preserve">0020-25476</t>
  </si>
  <si>
    <t xml:space="preserve">HUB INSULATOR HEATER ESC/HT HEATER REFURBISHED</t>
  </si>
  <si>
    <t xml:space="preserve">115101</t>
  </si>
  <si>
    <t xml:space="preserve">0020-25478</t>
  </si>
  <si>
    <t xml:space="preserve">COLLAR, SUSCEPTOR E-80 BWCVD BSE NEW</t>
  </si>
  <si>
    <t xml:space="preserve">115210</t>
  </si>
  <si>
    <t xml:space="preserve">0020-25836</t>
  </si>
  <si>
    <t xml:space="preserve">CLAMP RING 8" JMF TIN ACAM SHT USED</t>
  </si>
  <si>
    <t xml:space="preserve">114887</t>
  </si>
  <si>
    <t xml:space="preserve">0020-26014</t>
  </si>
  <si>
    <t xml:space="preserve">WEIGHT  150MM CASSETTE CLAMPING NEW</t>
  </si>
  <si>
    <t xml:space="preserve">115007</t>
  </si>
  <si>
    <t xml:space="preserve">0020-26115</t>
  </si>
  <si>
    <t xml:space="preserve">6" CLAMP RING JMF HOT AL  6 FI NEW</t>
  </si>
  <si>
    <t xml:space="preserve">114921</t>
  </si>
  <si>
    <t xml:space="preserve">0020-26340</t>
  </si>
  <si>
    <t xml:space="preserve">CLAMP RING 8 JMF SST 3.4MM ACA NEW</t>
  </si>
  <si>
    <t xml:space="preserve">115051</t>
  </si>
  <si>
    <t xml:space="preserve">CLAMP RING 8 JMF SST 3.4MM ACA USED</t>
  </si>
  <si>
    <t xml:space="preserve">115211</t>
  </si>
  <si>
    <t xml:space="preserve">0020-26547</t>
  </si>
  <si>
    <t xml:space="preserve">CLAMP RING 8" SNNF AL 6 PADS USED</t>
  </si>
  <si>
    <t xml:space="preserve">115212</t>
  </si>
  <si>
    <t xml:space="preserve">0020-26593</t>
  </si>
  <si>
    <t xml:space="preserve">SHIELD 8" HTHU 11.3" SRC  DEGA NEW</t>
  </si>
  <si>
    <t xml:space="preserve">115118</t>
  </si>
  <si>
    <t xml:space="preserve">0020-27018</t>
  </si>
  <si>
    <t xml:space="preserve">CLAMP RING 8" SNNF 10402ARS DU USED</t>
  </si>
  <si>
    <t xml:space="preserve">114795</t>
  </si>
  <si>
    <t xml:space="preserve">0020-27113</t>
  </si>
  <si>
    <t xml:space="preserve">CLAMP RING 6 SMF TI 00401ARS [REFURBISHED]</t>
  </si>
  <si>
    <t xml:space="preserve">115213</t>
  </si>
  <si>
    <t xml:space="preserve">0020-27191</t>
  </si>
  <si>
    <t xml:space="preserve">CLAMP RING 8 TIN SNNF 11402ARS ACAM SST USED</t>
  </si>
  <si>
    <t xml:space="preserve">114854</t>
  </si>
  <si>
    <t xml:space="preserve">0020-27206</t>
  </si>
  <si>
    <t xml:space="preserve">CLAMP RING 8 JMF PADDED HTHU [REFURBISHED]</t>
  </si>
  <si>
    <t xml:space="preserve">114855</t>
  </si>
  <si>
    <t xml:space="preserve">CLAMP RING 8" JMF PADDED HTHU NEW</t>
  </si>
  <si>
    <t xml:space="preserve">114999</t>
  </si>
  <si>
    <t xml:space="preserve">CLAMP RING 8" JMF PADDED HTHU USED</t>
  </si>
  <si>
    <t xml:space="preserve">114798</t>
  </si>
  <si>
    <t xml:space="preserve">0020-27218</t>
  </si>
  <si>
    <t xml:space="preserve">CLAMP RING,COH Ti/TiN POISON H NEW</t>
  </si>
  <si>
    <t xml:space="preserve">114943</t>
  </si>
  <si>
    <t xml:space="preserve">CLAMP RING,COH Ti/TiN POISON H USED</t>
  </si>
  <si>
    <t xml:space="preserve">114869</t>
  </si>
  <si>
    <t xml:space="preserve">0020-27309</t>
  </si>
  <si>
    <t xml:space="preserve">COVER RING 8" TI 101% NEW</t>
  </si>
  <si>
    <t xml:space="preserve">115008</t>
  </si>
  <si>
    <t xml:space="preserve">COVER RING 8" TI 101% USED</t>
  </si>
  <si>
    <t xml:space="preserve">115119</t>
  </si>
  <si>
    <t xml:space="preserve">0020-27318</t>
  </si>
  <si>
    <t xml:space="preserve">PEDESTAL ADV 101% 8" 3MM USED</t>
  </si>
  <si>
    <t xml:space="preserve">115120</t>
  </si>
  <si>
    <t xml:space="preserve">0020-27372</t>
  </si>
  <si>
    <t xml:space="preserve">CLAMP RING 8" JMF COLD AL/TI 6 ASIS</t>
  </si>
  <si>
    <t xml:space="preserve">114870</t>
  </si>
  <si>
    <t xml:space="preserve">CLAMP RING 8" JMF COLD AL/TI 6 NEW</t>
  </si>
  <si>
    <t xml:space="preserve">115009</t>
  </si>
  <si>
    <t xml:space="preserve">CLEAN CLAMP RING 8" JMF COLD AL/TI USED</t>
  </si>
  <si>
    <t xml:space="preserve">114984</t>
  </si>
  <si>
    <t xml:space="preserve">0020-27690</t>
  </si>
  <si>
    <t xml:space="preserve">CLAMP RING 8" SNNF SHUT COMP 1 NEW</t>
  </si>
  <si>
    <t xml:space="preserve">115144</t>
  </si>
  <si>
    <t xml:space="preserve">0020-27766</t>
  </si>
  <si>
    <t xml:space="preserve">CLAMP RING,6" JMF,SST,E/E 3.40 USED</t>
  </si>
  <si>
    <t xml:space="preserve">115052</t>
  </si>
  <si>
    <t xml:space="preserve">0020-27804</t>
  </si>
  <si>
    <t xml:space="preserve">CLEANED PEDESTAL, A101 HI-PWR POIS COH- USED</t>
  </si>
  <si>
    <t xml:space="preserve">115145</t>
  </si>
  <si>
    <t xml:space="preserve">0020-27896</t>
  </si>
  <si>
    <t xml:space="preserve">SHIELD, UPPER, SCRWLES, 1:1, NEW</t>
  </si>
  <si>
    <t xml:space="preserve">114797</t>
  </si>
  <si>
    <t xml:space="preserve">0020-28205</t>
  </si>
  <si>
    <t xml:space="preserve">COVER RING, 6 101% HI-PWR COH [REFURBISHED]</t>
  </si>
  <si>
    <t xml:space="preserve">114922</t>
  </si>
  <si>
    <t xml:space="preserve">0020-28206</t>
  </si>
  <si>
    <t xml:space="preserve">SHIELD, UPPER, 8 HI-PWR TTN [REFURBISHED]</t>
  </si>
  <si>
    <t xml:space="preserve">115010</t>
  </si>
  <si>
    <t xml:space="preserve">0020-28207</t>
  </si>
  <si>
    <t xml:space="preserve">SHIELD, LOWER A101, HI-PWR POI [REFURBISHED]</t>
  </si>
  <si>
    <t xml:space="preserve">114799</t>
  </si>
  <si>
    <t xml:space="preserve">0020-28434</t>
  </si>
  <si>
    <t xml:space="preserve">CLAMP RING 8' JMF TI PVD DEGAS NEW</t>
  </si>
  <si>
    <t xml:space="preserve">114856</t>
  </si>
  <si>
    <t xml:space="preserve">0020-28633</t>
  </si>
  <si>
    <t xml:space="preserve">RING, DEPOSITION, 8" JMF, 9MM, NEW</t>
  </si>
  <si>
    <t xml:space="preserve">115026</t>
  </si>
  <si>
    <t xml:space="preserve">0020-28675</t>
  </si>
  <si>
    <t xml:space="preserve">ADAPTER, SPACER, CVD CHAMBER S [USED]</t>
  </si>
  <si>
    <t xml:space="preserve">115214</t>
  </si>
  <si>
    <t xml:space="preserve">0020-28867</t>
  </si>
  <si>
    <t xml:space="preserve">DISK 8 ADVANCED 101 SHUTTER [REFURBISHED]</t>
  </si>
  <si>
    <t xml:space="preserve">115215</t>
  </si>
  <si>
    <t xml:space="preserve">DISK 8" ADVANCED 101 SHUTTER NEW</t>
  </si>
  <si>
    <t xml:space="preserve">114674</t>
  </si>
  <si>
    <t xml:space="preserve">0020-29057</t>
  </si>
  <si>
    <t xml:space="preserve">(#1) APPLIED MATRIALS COMPONENTS [USED]</t>
  </si>
  <si>
    <t xml:space="preserve">114675</t>
  </si>
  <si>
    <t xml:space="preserve">(#2) 0010-53411 APPLIED MATRIALS COMPONENT USED</t>
  </si>
  <si>
    <t xml:space="preserve">115146</t>
  </si>
  <si>
    <t xml:space="preserve">0020-29141</t>
  </si>
  <si>
    <t xml:space="preserve">CLAMP RING 8" JMF SST E/E 4.445MM USED</t>
  </si>
  <si>
    <t xml:space="preserve">114850</t>
  </si>
  <si>
    <t xml:space="preserve">0020-29322</t>
  </si>
  <si>
    <t xml:space="preserve">SHIELD, 8" CLAMPED, VECTRA IMP USED</t>
  </si>
  <si>
    <t xml:space="preserve">114944</t>
  </si>
  <si>
    <t xml:space="preserve">0020-29465</t>
  </si>
  <si>
    <t xml:space="preserve">CLAMP RING 8" JMF SST HI-PWR C USED</t>
  </si>
  <si>
    <t xml:space="preserve">114916</t>
  </si>
  <si>
    <t xml:space="preserve">0020-29851</t>
  </si>
  <si>
    <t xml:space="preserve">PEDESTAL, 8 101 SST AL ARC SP [REFURBISHED]</t>
  </si>
  <si>
    <t xml:space="preserve">114971</t>
  </si>
  <si>
    <t xml:space="preserve">0020-30073</t>
  </si>
  <si>
    <t xml:space="preserve">CLAMPING CYLINDER, 200 MM, OXI NEW</t>
  </si>
  <si>
    <t xml:space="preserve">115121</t>
  </si>
  <si>
    <t xml:space="preserve">0020-30086</t>
  </si>
  <si>
    <t xml:space="preserve">PLATE PERFORATED 150MM NITRIDE [REFURBISHED]</t>
  </si>
  <si>
    <t xml:space="preserve">115177</t>
  </si>
  <si>
    <t xml:space="preserve">0020-30607</t>
  </si>
  <si>
    <t xml:space="preserve">CARRIER 100MM THRU 200MM HEWEB [NEW]</t>
  </si>
  <si>
    <t xml:space="preserve">115147</t>
  </si>
  <si>
    <t xml:space="preserve">0020-31375</t>
  </si>
  <si>
    <t xml:space="preserve">FLANGE,INSULATING, UNIBODY ETC USED</t>
  </si>
  <si>
    <t xml:space="preserve">115174</t>
  </si>
  <si>
    <t xml:space="preserve">0020-31609</t>
  </si>
  <si>
    <t xml:space="preserve">COVER RF SHIELD INTERLCK DELTA SACVD [USED]</t>
  </si>
  <si>
    <t xml:space="preserve">114923</t>
  </si>
  <si>
    <t xml:space="preserve">0020-31664</t>
  </si>
  <si>
    <t xml:space="preserve">BAFFLE, BOTTOM PURGE NEW</t>
  </si>
  <si>
    <t xml:space="preserve">114888</t>
  </si>
  <si>
    <t xml:space="preserve">0020-31708</t>
  </si>
  <si>
    <t xml:space="preserve">CLAMP VESPEL OX/MLR/NIT 150MM  NEW</t>
  </si>
  <si>
    <t xml:space="preserve">115216</t>
  </si>
  <si>
    <t xml:space="preserve">0020-31767</t>
  </si>
  <si>
    <t xml:space="preserve">CYLINDER, CLAMPING, 200MM POLY/W [REFURBISHED]</t>
  </si>
  <si>
    <t xml:space="preserve">115188</t>
  </si>
  <si>
    <t xml:space="preserve">0020-33416</t>
  </si>
  <si>
    <t xml:space="preserve">BRACKET,HINGE,R2 NEW</t>
  </si>
  <si>
    <t xml:space="preserve">114749</t>
  </si>
  <si>
    <t xml:space="preserve">0020-34694</t>
  </si>
  <si>
    <t xml:space="preserve">LINER, GDP, R2 OXIDEGECO NEW</t>
  </si>
  <si>
    <t xml:space="preserve">114851</t>
  </si>
  <si>
    <t xml:space="preserve">LINER, GDP, R2 OXIDEGECO USED</t>
  </si>
  <si>
    <t xml:space="preserve">115102</t>
  </si>
  <si>
    <t xml:space="preserve">0020-34695</t>
  </si>
  <si>
    <t xml:space="preserve">LINER, CATHODE, FULL FLOW, OXIDE ETCH USED</t>
  </si>
  <si>
    <t xml:space="preserve">115011</t>
  </si>
  <si>
    <t xml:space="preserve">0020-35032</t>
  </si>
  <si>
    <t xml:space="preserve">HP ROBOT ARM 0020-35033 HP ROBOT WING USED</t>
  </si>
  <si>
    <t xml:space="preserve">115053</t>
  </si>
  <si>
    <t xml:space="preserve">0020-35780</t>
  </si>
  <si>
    <t xml:space="preserve">(#1) TUBE ROBOT 5200 [ASIS]</t>
  </si>
  <si>
    <t xml:space="preserve">114972</t>
  </si>
  <si>
    <t xml:space="preserve">TUBE ROBOT 5200 [USED]</t>
  </si>
  <si>
    <t xml:space="preserve">115112</t>
  </si>
  <si>
    <t xml:space="preserve">0020-35818</t>
  </si>
  <si>
    <t xml:space="preserve">PLATE, COOL DOWN PEDESTAL [REFURBISHED]</t>
  </si>
  <si>
    <t xml:space="preserve">114889</t>
  </si>
  <si>
    <t xml:space="preserve">0020-37982</t>
  </si>
  <si>
    <t xml:space="preserve">BRACKET VALVE [NEW]</t>
  </si>
  <si>
    <t xml:space="preserve">114985</t>
  </si>
  <si>
    <t xml:space="preserve">0020-38929</t>
  </si>
  <si>
    <t xml:space="preserve">MOUNTING  RING, DPS CHAMBER DO NEW</t>
  </si>
  <si>
    <t xml:space="preserve">115217</t>
  </si>
  <si>
    <t xml:space="preserve">0020-42285</t>
  </si>
  <si>
    <t xml:space="preserve">PLATE,BLOCKER 8" EC WXZ NEW</t>
  </si>
  <si>
    <t xml:space="preserve">115054</t>
  </si>
  <si>
    <t xml:space="preserve">0020-45766</t>
  </si>
  <si>
    <t xml:space="preserve">(#1) PARTICLE RING, RPK HYBRID, 300MM [USED]</t>
  </si>
  <si>
    <t xml:space="preserve">114890</t>
  </si>
  <si>
    <t xml:space="preserve">0020-47773</t>
  </si>
  <si>
    <t xml:space="preserve">PILOT WIRES FILTER PIB 300MM [USED]</t>
  </si>
  <si>
    <t xml:space="preserve">115172</t>
  </si>
  <si>
    <t xml:space="preserve">0020-48583</t>
  </si>
  <si>
    <t xml:space="preserve">HOUSING,SUSC.SUPPORT SHAFT [NEW]</t>
  </si>
  <si>
    <t xml:space="preserve">114924</t>
  </si>
  <si>
    <t xml:space="preserve">0020-54777</t>
  </si>
  <si>
    <t xml:space="preserve">SHIELD, INNER, 300MM SIP NEW</t>
  </si>
  <si>
    <t xml:space="preserve">115055</t>
  </si>
  <si>
    <t xml:space="preserve">0020-70284</t>
  </si>
  <si>
    <t xml:space="preserve">(#1) TUBE, ROBOT [ASIS]</t>
  </si>
  <si>
    <t xml:space="preserve">114818</t>
  </si>
  <si>
    <t xml:space="preserve">0020-70336</t>
  </si>
  <si>
    <t xml:space="preserve">0020-20390 ARM WING FROG LEG USED</t>
  </si>
  <si>
    <t xml:space="preserve">115148</t>
  </si>
  <si>
    <t xml:space="preserve">0020-75465</t>
  </si>
  <si>
    <t xml:space="preserve">(#1) HOOP UNIVERSAL,  300MM ENDURA 2 P5 [ASIS]</t>
  </si>
  <si>
    <t xml:space="preserve">115149</t>
  </si>
  <si>
    <t xml:space="preserve">0020-76116</t>
  </si>
  <si>
    <t xml:space="preserve">T BAR 100MM ROBOT BLADE [NEW]</t>
  </si>
  <si>
    <t xml:space="preserve">114945</t>
  </si>
  <si>
    <t xml:space="preserve">0020-99892</t>
  </si>
  <si>
    <t xml:space="preserve">0020-99893 0020-99965 0021-26855 [ASIS]</t>
  </si>
  <si>
    <t xml:space="preserve">114891</t>
  </si>
  <si>
    <t xml:space="preserve">0021-00540</t>
  </si>
  <si>
    <t xml:space="preserve">PLATE, UPPER CBR BLANK,  DPS-2 NEW</t>
  </si>
  <si>
    <t xml:space="preserve">115189</t>
  </si>
  <si>
    <t xml:space="preserve">0021-00546</t>
  </si>
  <si>
    <t xml:space="preserve">INSULATOR, DUAL HE, 200MM DPS [ASIS]</t>
  </si>
  <si>
    <t xml:space="preserve">115025</t>
  </si>
  <si>
    <t xml:space="preserve">INSULATOR,DUAL HE, 200MM DPS [USED]</t>
  </si>
  <si>
    <t xml:space="preserve">115012</t>
  </si>
  <si>
    <t xml:space="preserve">0021-01572</t>
  </si>
  <si>
    <t xml:space="preserve">FACEPLATE, GIGA-FILL SACVD, BP NEW</t>
  </si>
  <si>
    <t xml:space="preserve">115218</t>
  </si>
  <si>
    <t xml:space="preserve">0021-03061</t>
  </si>
  <si>
    <t xml:space="preserve">SHIELD, INNER, TXZ NEW</t>
  </si>
  <si>
    <t xml:space="preserve">34</t>
  </si>
  <si>
    <t xml:space="preserve">115219</t>
  </si>
  <si>
    <t xml:space="preserve">0021-03980</t>
  </si>
  <si>
    <t xml:space="preserve">OUTER SHIELD W/O WINDOW, TXZ CHAMBER NEW</t>
  </si>
  <si>
    <t xml:space="preserve">115103</t>
  </si>
  <si>
    <t xml:space="preserve">0021-04878</t>
  </si>
  <si>
    <t xml:space="preserve">RING, DEP, 8" JMR, ALUM, HTESC NEW</t>
  </si>
  <si>
    <t xml:space="preserve">115220</t>
  </si>
  <si>
    <t xml:space="preserve">0021-09008</t>
  </si>
  <si>
    <t xml:space="preserve">COVER, UNI-LID, DSGD, MXP USED</t>
  </si>
  <si>
    <t xml:space="preserve">115104</t>
  </si>
  <si>
    <t xml:space="preserve">0021-09104</t>
  </si>
  <si>
    <t xml:space="preserve">LINER, CATHODE, ALIGNED, OXIDE ETCH USED</t>
  </si>
  <si>
    <t xml:space="preserve">115013</t>
  </si>
  <si>
    <t xml:space="preserve">0021-09958</t>
  </si>
  <si>
    <t xml:space="preserve">FOCUS RING BASE (VESPEL) FLAT NEW</t>
  </si>
  <si>
    <t xml:space="preserve">115150</t>
  </si>
  <si>
    <t xml:space="preserve">0021-10589</t>
  </si>
  <si>
    <t xml:space="preserve">PLATE INTERNAL, PUMPING CHNL, ASP, 200MM USED</t>
  </si>
  <si>
    <t xml:space="preserve">114970</t>
  </si>
  <si>
    <t xml:space="preserve">0021-10601</t>
  </si>
  <si>
    <t xml:space="preserve">CYLINDER,SUPPORT,POLY [NEW]</t>
  </si>
  <si>
    <t xml:space="preserve">114973</t>
  </si>
  <si>
    <t xml:space="preserve">0021-17770</t>
  </si>
  <si>
    <t xml:space="preserve">COVER RING, 300MM SST NEW</t>
  </si>
  <si>
    <t xml:space="preserve">115151</t>
  </si>
  <si>
    <t xml:space="preserve">0021-20042</t>
  </si>
  <si>
    <t xml:space="preserve">DISK 8" B101 SST SHUTTER NEW</t>
  </si>
  <si>
    <t xml:space="preserve">114800</t>
  </si>
  <si>
    <t xml:space="preserve">0021-20399</t>
  </si>
  <si>
    <t xml:space="preserve">CLAMP RING, 8HOT SNNF, AL [REFURBISHED]</t>
  </si>
  <si>
    <t xml:space="preserve">115221</t>
  </si>
  <si>
    <t xml:space="preserve">0021-20718</t>
  </si>
  <si>
    <t xml:space="preserve">PEDESTAL COVER LOWER 8" B101 R NEW</t>
  </si>
  <si>
    <t xml:space="preserve">114819</t>
  </si>
  <si>
    <t xml:space="preserve">0021-21143</t>
  </si>
  <si>
    <t xml:space="preserve">FRAME, SIDE INLET COOLING, LARGER ID USED</t>
  </si>
  <si>
    <t xml:space="preserve">115222</t>
  </si>
  <si>
    <t xml:space="preserve">0021-21798</t>
  </si>
  <si>
    <t xml:space="preserve">SHIELD DARK SPACE NEW</t>
  </si>
  <si>
    <t xml:space="preserve">115223</t>
  </si>
  <si>
    <t xml:space="preserve">0021-21799</t>
  </si>
  <si>
    <t xml:space="preserve">SHIELD UPPER CHIMNEY NEW</t>
  </si>
  <si>
    <t xml:space="preserve">114986</t>
  </si>
  <si>
    <t xml:space="preserve">0021-21812</t>
  </si>
  <si>
    <t xml:space="preserve">SHIELD, ALPS 8" LOWER NEW</t>
  </si>
  <si>
    <t xml:space="preserve">114925</t>
  </si>
  <si>
    <t xml:space="preserve">0021-21971</t>
  </si>
  <si>
    <t xml:space="preserve">COVER RING 8, TCI ARC SPRAY [REFURBISHED]</t>
  </si>
  <si>
    <t xml:space="preserve">115224</t>
  </si>
  <si>
    <t xml:space="preserve">0021-22177</t>
  </si>
  <si>
    <t xml:space="preserve">(CLEANED) COVER RING, ADV 101 300MM PVD USED</t>
  </si>
  <si>
    <t xml:space="preserve">115110</t>
  </si>
  <si>
    <t xml:space="preserve">0021-26565</t>
  </si>
  <si>
    <t xml:space="preserve"> DISK, SHUTTER, ESC, HOT AL, CENTER PIN, NEW</t>
  </si>
  <si>
    <t xml:space="preserve">115056</t>
  </si>
  <si>
    <t xml:space="preserve">0021-35163</t>
  </si>
  <si>
    <t xml:space="preserve">PLATE, REFLECTOR, CHMBR BOTTOM ASIS</t>
  </si>
  <si>
    <t xml:space="preserve">115057</t>
  </si>
  <si>
    <t xml:space="preserve">0021-35789</t>
  </si>
  <si>
    <t xml:space="preserve">PLT, PERF 200MM CVD AL NEW</t>
  </si>
  <si>
    <t xml:space="preserve">115058</t>
  </si>
  <si>
    <t xml:space="preserve">0021-35819</t>
  </si>
  <si>
    <t xml:space="preserve">CHUCK, ASP, 200MM, TOP MOUNT TYPE [ASIS]</t>
  </si>
  <si>
    <t xml:space="preserve">115178</t>
  </si>
  <si>
    <t xml:space="preserve">0021-39657</t>
  </si>
  <si>
    <t xml:space="preserve">PLATE, UNIVERSAL LIFT, 150/200 MM DCSXZ NEW</t>
  </si>
  <si>
    <t xml:space="preserve">114820</t>
  </si>
  <si>
    <t xml:space="preserve">0021-44786</t>
  </si>
  <si>
    <t xml:space="preserve">18844</t>
  </si>
  <si>
    <t xml:space="preserve">APPLIED MATERIALS</t>
  </si>
  <si>
    <t xml:space="preserve">026-110-0B1</t>
  </si>
  <si>
    <t xml:space="preserve">PR 5000 Func desc. Practice exercici and basic prev. maintenance procedures</t>
  </si>
  <si>
    <t xml:space="preserve">114822</t>
  </si>
  <si>
    <t xml:space="preserve">0040-02438</t>
  </si>
  <si>
    <t xml:space="preserve">115059</t>
  </si>
  <si>
    <t xml:space="preserve">0040-03641</t>
  </si>
  <si>
    <t xml:space="preserve">BLADE, RIGHT 300MM FI ECP NEW</t>
  </si>
  <si>
    <t xml:space="preserve">14</t>
  </si>
  <si>
    <t xml:space="preserve">115130</t>
  </si>
  <si>
    <t xml:space="preserve">0040-04941</t>
  </si>
  <si>
    <t xml:space="preserve">SWLL LEFT SIDE WAFER SUPPORT FIN-ENP [NEW]</t>
  </si>
  <si>
    <t xml:space="preserve">115225</t>
  </si>
  <si>
    <t xml:space="preserve">0040-07229</t>
  </si>
  <si>
    <t xml:space="preserve">BASE, WRIST 300MM ROBOT ENP LOW CONDUCTI NEW</t>
  </si>
  <si>
    <t xml:space="preserve">114734</t>
  </si>
  <si>
    <t xml:space="preserve">0040-09002</t>
  </si>
  <si>
    <t xml:space="preserve">CHAMBER ETCH USED</t>
  </si>
  <si>
    <t xml:space="preserve">114892</t>
  </si>
  <si>
    <t xml:space="preserve">0040-09262</t>
  </si>
  <si>
    <t xml:space="preserve">PLATE, PERF 100MM WSI [ASIS]</t>
  </si>
  <si>
    <t xml:space="preserve">106208</t>
  </si>
  <si>
    <t xml:space="preserve">0040-13659 REV P1</t>
  </si>
  <si>
    <t xml:space="preserve">BLOCK, MTG</t>
  </si>
  <si>
    <t xml:space="preserve">115185</t>
  </si>
  <si>
    <t xml:space="preserve">0040-20068</t>
  </si>
  <si>
    <t xml:space="preserve">BELLOWS LIFTER PVD [NEW]</t>
  </si>
  <si>
    <t xml:space="preserve">115111</t>
  </si>
  <si>
    <t xml:space="preserve">0040-20257</t>
  </si>
  <si>
    <t xml:space="preserve">ASSY LIFT HOOP 8 WIDE BODY CH [USED]</t>
  </si>
  <si>
    <t xml:space="preserve">115060</t>
  </si>
  <si>
    <t xml:space="preserve">0040-20259</t>
  </si>
  <si>
    <t xml:space="preserve">TURBO TUBE [REFURBISHED]</t>
  </si>
  <si>
    <t xml:space="preserve">114858</t>
  </si>
  <si>
    <t xml:space="preserve">0040-20300</t>
  </si>
  <si>
    <t xml:space="preserve">ADAPTER, CRYO PUMP, EXT P/C [USED]</t>
  </si>
  <si>
    <t xml:space="preserve">114987</t>
  </si>
  <si>
    <t xml:space="preserve">0040-20313</t>
  </si>
  <si>
    <t xml:space="preserve">HOOP LIFT 6" WELDMENT [USED]</t>
  </si>
  <si>
    <t xml:space="preserve">114998</t>
  </si>
  <si>
    <t xml:space="preserve">0040-20525</t>
  </si>
  <si>
    <t xml:space="preserve">BRACKET SMIF INTERFACE [REFURBISHED]</t>
  </si>
  <si>
    <t xml:space="preserve">115061</t>
  </si>
  <si>
    <t xml:space="preserve">0040-20566</t>
  </si>
  <si>
    <t xml:space="preserve">COLLIMATOR FOIL 1.5:1 X5/8 HEX 13" NEW</t>
  </si>
  <si>
    <t xml:space="preserve">114786</t>
  </si>
  <si>
    <t xml:space="preserve">0040-20652</t>
  </si>
  <si>
    <t xml:space="preserve">114946</t>
  </si>
  <si>
    <t xml:space="preserve">0040-21294</t>
  </si>
  <si>
    <t xml:space="preserve">COVER MOTORS DIRECT DRIVE ROBOT [NEW]</t>
  </si>
  <si>
    <t xml:space="preserve">114988</t>
  </si>
  <si>
    <t xml:space="preserve">0040-21821</t>
  </si>
  <si>
    <t xml:space="preserve">COLLIMATOR SST SHAPED 1.25:1 5 NEW</t>
  </si>
  <si>
    <t xml:space="preserve">115062</t>
  </si>
  <si>
    <t xml:space="preserve">0040-22023</t>
  </si>
  <si>
    <t xml:space="preserve">ADAPTER, 13" SOURCE W/B, INTEL USED</t>
  </si>
  <si>
    <t xml:space="preserve">115122</t>
  </si>
  <si>
    <t xml:space="preserve">0040-22415</t>
  </si>
  <si>
    <t xml:space="preserve">0100-20097 PANEL MANIFOLD RF GENERATOR [NEW]</t>
  </si>
  <si>
    <t xml:space="preserve">114857</t>
  </si>
  <si>
    <t xml:space="preserve">0040-22415,</t>
  </si>
  <si>
    <t xml:space="preserve"> 0100-20097 PANEL MANIFOLD GENERATER [USED]</t>
  </si>
  <si>
    <t xml:space="preserve">114690</t>
  </si>
  <si>
    <t xml:space="preserve">0040-22614</t>
  </si>
  <si>
    <t xml:space="preserve">WELDMENT, CRYO HEAT BLOCKER NEW</t>
  </si>
  <si>
    <t xml:space="preserve">115063</t>
  </si>
  <si>
    <t xml:space="preserve">0040-22651</t>
  </si>
  <si>
    <t xml:space="preserve">CLAMP V-BLOCK MAGNET HOLDER [REFURBISHED]</t>
  </si>
  <si>
    <t xml:space="preserve">115064</t>
  </si>
  <si>
    <t xml:space="preserve">0040-23484</t>
  </si>
  <si>
    <t xml:space="preserve">115179</t>
  </si>
  <si>
    <t xml:space="preserve">0040-23552</t>
  </si>
  <si>
    <t xml:space="preserve">115226</t>
  </si>
  <si>
    <t xml:space="preserve">0040-31995</t>
  </si>
  <si>
    <t xml:space="preserve">COVER, PUMPING PLATE, DXZ USED</t>
  </si>
  <si>
    <t xml:space="preserve">114770</t>
  </si>
  <si>
    <t xml:space="preserve">0040-32052</t>
  </si>
  <si>
    <t xml:space="preserve">WELDMENT, BELLOW, CATHODE, DPSGECO [NEW]</t>
  </si>
  <si>
    <t xml:space="preserve">114823</t>
  </si>
  <si>
    <t xml:space="preserve">0040-32190</t>
  </si>
  <si>
    <t xml:space="preserve">BASE,COOLING,200MM CATHODE,DPS [ASIS]</t>
  </si>
  <si>
    <t xml:space="preserve">115014</t>
  </si>
  <si>
    <t xml:space="preserve">0040-33964</t>
  </si>
  <si>
    <t xml:space="preserve">0040-33963 HEAT EXCHANGER, CHAMBER [USED]</t>
  </si>
  <si>
    <t xml:space="preserve">114947</t>
  </si>
  <si>
    <t xml:space="preserve">0040-37192</t>
  </si>
  <si>
    <t xml:space="preserve">114708</t>
  </si>
  <si>
    <t xml:space="preserve">0040-37642</t>
  </si>
  <si>
    <t xml:space="preserve">LINER UPPER THICK Y2O3 COATING 300MM DPS [ASIS]</t>
  </si>
  <si>
    <t xml:space="preserve">114852</t>
  </si>
  <si>
    <t xml:space="preserve">0040-39077</t>
  </si>
  <si>
    <t xml:space="preserve">ASSY, UNIVERSAL LIFT PLATE, 15 [NEW]</t>
  </si>
  <si>
    <t xml:space="preserve">114824</t>
  </si>
  <si>
    <t xml:space="preserve">0040-45989</t>
  </si>
  <si>
    <t xml:space="preserve">SPOOL, TURBO/ GV, 300MM DPS II [ASIS]</t>
  </si>
  <si>
    <t xml:space="preserve">114765</t>
  </si>
  <si>
    <t xml:space="preserve">0040-48594</t>
  </si>
  <si>
    <t xml:space="preserve">ESC, TESTED, 300MM DUAL HE, HD ASIS</t>
  </si>
  <si>
    <t xml:space="preserve">114825</t>
  </si>
  <si>
    <t xml:space="preserve">0040-48767</t>
  </si>
  <si>
    <t xml:space="preserve">CATHODE BASE, E-CHUCK, 300MM ULTIMA X, H USED</t>
  </si>
  <si>
    <t xml:space="preserve">115015</t>
  </si>
  <si>
    <t xml:space="preserve">0040-49556</t>
  </si>
  <si>
    <t xml:space="preserve">COVER, PRE-CLEAN/ COOL DOWN MONOLITH USED</t>
  </si>
  <si>
    <t xml:space="preserve">114735</t>
  </si>
  <si>
    <t xml:space="preserve">0040-53725</t>
  </si>
  <si>
    <t xml:space="preserve">115227</t>
  </si>
  <si>
    <t xml:space="preserve">0040-62676</t>
  </si>
  <si>
    <t xml:space="preserve">GENERATOR RACK, LOW FERQUENCY, PRODUCER NEW</t>
  </si>
  <si>
    <t xml:space="preserve">114893</t>
  </si>
  <si>
    <t xml:space="preserve">0040-64394</t>
  </si>
  <si>
    <t xml:space="preserve">(#1) PLATE, FRONT PANEL CB (ACD) [ASIS]</t>
  </si>
  <si>
    <t xml:space="preserve">114894</t>
  </si>
  <si>
    <t xml:space="preserve">(#2) PLATE, FRONT PANEL CB (ACD) [ASIS]</t>
  </si>
  <si>
    <t xml:space="preserve">114895</t>
  </si>
  <si>
    <t xml:space="preserve">(#3) PLATE, FRONT PANEL CB (ACD) [ASIS]</t>
  </si>
  <si>
    <t xml:space="preserve">114771</t>
  </si>
  <si>
    <t xml:space="preserve">0040-70836</t>
  </si>
  <si>
    <t xml:space="preserve">BLADE, SHUTTER, A101/B101/BESC, RPG CHBR [USED]</t>
  </si>
  <si>
    <t xml:space="preserve">114926</t>
  </si>
  <si>
    <t xml:space="preserve">0040-70837</t>
  </si>
  <si>
    <t xml:space="preserve">BLADE, SHUTTER, ENCORE TAN, RPG CHBR, 30 [ASIS]</t>
  </si>
  <si>
    <t xml:space="preserve">115190</t>
  </si>
  <si>
    <t xml:space="preserve">0040-75378</t>
  </si>
  <si>
    <t xml:space="preserve">BRKT, LDR INTERCONNECT PCB P50 NEW</t>
  </si>
  <si>
    <t xml:space="preserve">114896</t>
  </si>
  <si>
    <t xml:space="preserve">0040-76036</t>
  </si>
  <si>
    <t xml:space="preserve">115228</t>
  </si>
  <si>
    <t xml:space="preserve">0040-76631</t>
  </si>
  <si>
    <t xml:space="preserve">GARAGE, SHUTTER, NEW SENSOR, RPG CHBR, 3 [ASIS]</t>
  </si>
  <si>
    <t xml:space="preserve">114676</t>
  </si>
  <si>
    <t xml:space="preserve">0040-76677</t>
  </si>
  <si>
    <t xml:space="preserve">114677</t>
  </si>
  <si>
    <t xml:space="preserve">114703</t>
  </si>
  <si>
    <t xml:space="preserve">114736</t>
  </si>
  <si>
    <t xml:space="preserve">0040-76764</t>
  </si>
  <si>
    <t xml:space="preserve">0040-91182 MXQ25-50B-DUJ00366 [USED]</t>
  </si>
  <si>
    <t xml:space="preserve">114611</t>
  </si>
  <si>
    <t xml:space="preserve">0040-80311</t>
  </si>
  <si>
    <t xml:space="preserve">114588</t>
  </si>
  <si>
    <t xml:space="preserve">(#2) 0020-99892 COMPONENTS [ASIS]</t>
  </si>
  <si>
    <t xml:space="preserve">115016</t>
  </si>
  <si>
    <t xml:space="preserve">0040-80367</t>
  </si>
  <si>
    <t xml:space="preserve">ADAPTER, TTN, RPG P5, 300MM PVD [ASIS]</t>
  </si>
  <si>
    <t xml:space="preserve">114826</t>
  </si>
  <si>
    <t xml:space="preserve">0040-81157</t>
  </si>
  <si>
    <t xml:space="preserve">(#1) SPOOL TURBO/ GV 300MM DPS II [ASIS]</t>
  </si>
  <si>
    <t xml:space="preserve">114859</t>
  </si>
  <si>
    <t xml:space="preserve">(#2) SPOOL TURBO/ GV 300MM DPS II [ASIS]</t>
  </si>
  <si>
    <t xml:space="preserve">114897</t>
  </si>
  <si>
    <t xml:space="preserve">(#3) SPOOL TURBO/ GV 300MM DPS II [ASIS]</t>
  </si>
  <si>
    <t xml:space="preserve">114707</t>
  </si>
  <si>
    <t xml:space="preserve">0040-81158</t>
  </si>
  <si>
    <t xml:space="preserve">CHAMBER CONDUCTOR ETCH 300MM DPSII [ASIS]</t>
  </si>
  <si>
    <t xml:space="preserve">115017</t>
  </si>
  <si>
    <t xml:space="preserve">0040-82745</t>
  </si>
  <si>
    <t xml:space="preserve">FACEPLATE TEOS HIGH DEP RATE, 300MM [ASIS]</t>
  </si>
  <si>
    <t xml:space="preserve">115229</t>
  </si>
  <si>
    <t xml:space="preserve">0041-12706</t>
  </si>
  <si>
    <t xml:space="preserve">114827</t>
  </si>
  <si>
    <t xml:space="preserve">0041-89356</t>
  </si>
  <si>
    <t xml:space="preserve">115152</t>
  </si>
  <si>
    <t xml:space="preserve">0050-08028</t>
  </si>
  <si>
    <t xml:space="preserve">WELDMENT, HEAT EXCHANGER, CHEM X, CUXZ, NEW</t>
  </si>
  <si>
    <t xml:space="preserve">115018</t>
  </si>
  <si>
    <t xml:space="preserve">0050-20005</t>
  </si>
  <si>
    <t xml:space="preserve">MNFLD, PEDESTAL CD 8 [REFURBISHED]</t>
  </si>
  <si>
    <t xml:space="preserve">106211</t>
  </si>
  <si>
    <t xml:space="preserve">0050-20072 REV B</t>
  </si>
  <si>
    <t xml:space="preserve">GAS LINE CHAMBER 3 HEATER MFC 1 VCR</t>
  </si>
  <si>
    <t xml:space="preserve">114948</t>
  </si>
  <si>
    <t xml:space="preserve">0050-30759</t>
  </si>
  <si>
    <t xml:space="preserve">COVER, GAS INLET, Mxp, DSGD USED</t>
  </si>
  <si>
    <t xml:space="preserve">115131</t>
  </si>
  <si>
    <t xml:space="preserve">0050-30762</t>
  </si>
  <si>
    <t xml:space="preserve">FEED,GAS BY PASS,INLET CENTER [NEW]</t>
  </si>
  <si>
    <t xml:space="preserve">115186</t>
  </si>
  <si>
    <t xml:space="preserve">0050-30920</t>
  </si>
  <si>
    <t xml:space="preserve">INSERT GAS FEED B &amp; C R2 5000, FLEXABLE [NEW]</t>
  </si>
  <si>
    <t xml:space="preserve">114917</t>
  </si>
  <si>
    <t xml:space="preserve">0050-38614</t>
  </si>
  <si>
    <t xml:space="preserve">WELDMENT, MANIFOLD, 5 STAT, RIGHT, NUPRO [USED]</t>
  </si>
  <si>
    <t xml:space="preserve">114949</t>
  </si>
  <si>
    <t xml:space="preserve">0050-46295</t>
  </si>
  <si>
    <t xml:space="preserve">(#1) 0050-46755 0050-46756 0050-83995 [USED]</t>
  </si>
  <si>
    <t xml:space="preserve">106212</t>
  </si>
  <si>
    <t xml:space="preserve">0050-76652 REV A</t>
  </si>
  <si>
    <t xml:space="preserve">GAS LINE CHAMBER 2 PROCESS MFC 19 MIXED</t>
  </si>
  <si>
    <t xml:space="preserve">71931</t>
  </si>
  <si>
    <t xml:space="preserve">0050-76664 REV A</t>
  </si>
  <si>
    <t xml:space="preserve">GAS LINE CHAMBER 2 PROCESS WC UPPER MIXE</t>
  </si>
  <si>
    <t xml:space="preserve">115230</t>
  </si>
  <si>
    <t xml:space="preserve">0050-91046</t>
  </si>
  <si>
    <t xml:space="preserve">114654</t>
  </si>
  <si>
    <t xml:space="preserve">055-03-915-0100</t>
  </si>
  <si>
    <t xml:space="preserve">ALN HEATER INCLUDE A THERMOCOUPLE [ASIS]</t>
  </si>
  <si>
    <t xml:space="preserve">18843</t>
  </si>
  <si>
    <t xml:space="preserve">079-1202-0D</t>
  </si>
  <si>
    <t xml:space="preserve">PR 5000 Advanced prev. And corrective main</t>
  </si>
  <si>
    <t xml:space="preserve">115187</t>
  </si>
  <si>
    <t xml:space="preserve">0090-00045</t>
  </si>
  <si>
    <t xml:space="preserve">CONTROLLER. A/C WINDOW USED</t>
  </si>
  <si>
    <t xml:space="preserve">114737</t>
  </si>
  <si>
    <t xml:space="preserve">0090-00908</t>
  </si>
  <si>
    <t xml:space="preserve">ASSY, SYSTEM INTERLOCK 200MM ENDURA SL NEW</t>
  </si>
  <si>
    <t xml:space="preserve">114898</t>
  </si>
  <si>
    <t xml:space="preserve">0090-01948</t>
  </si>
  <si>
    <t xml:space="preserve">0100-20458 ASSY, DRYER INTERLOCK, 300MM D[USED]</t>
  </si>
  <si>
    <t xml:space="preserve">115065</t>
  </si>
  <si>
    <t xml:space="preserve">0090-02677</t>
  </si>
  <si>
    <t xml:space="preserve">PUMP, CERAMIC PISTION, 5-PHASE MOTOR [NEW]</t>
  </si>
  <si>
    <t xml:space="preserve">114918</t>
  </si>
  <si>
    <t xml:space="preserve">0090-02788</t>
  </si>
  <si>
    <t xml:space="preserve">ELECT ASSY, 300MM STD-PRECLEAN CHM INTER [USED]</t>
  </si>
  <si>
    <t xml:space="preserve">114974</t>
  </si>
  <si>
    <t xml:space="preserve">0090-02846</t>
  </si>
  <si>
    <t xml:space="preserve">OIL, INNER, 300MM, ENABLER NEW</t>
  </si>
  <si>
    <t xml:space="preserve">115066</t>
  </si>
  <si>
    <t xml:space="preserve">0090-02847</t>
  </si>
  <si>
    <t xml:space="preserve">COIL OUTER 300MM ENABLER NEW</t>
  </si>
  <si>
    <t xml:space="preserve">114801</t>
  </si>
  <si>
    <t xml:space="preserve">0090-02911</t>
  </si>
  <si>
    <t xml:space="preserve">INTERLOCK BOARD USED</t>
  </si>
  <si>
    <t xml:space="preserve">114630</t>
  </si>
  <si>
    <t xml:space="preserve">0090-02957</t>
  </si>
  <si>
    <t xml:space="preserve">(#1) 0090-01433 AC BOX, 200MM ENDURA [ASIS]</t>
  </si>
  <si>
    <t xml:space="preserve">114802</t>
  </si>
  <si>
    <t xml:space="preserve">0090-03462</t>
  </si>
  <si>
    <t xml:space="preserve">INTERLOCK ASSY, ELECT, GASBOX, 300MM HP+ USED</t>
  </si>
  <si>
    <t xml:space="preserve">114684</t>
  </si>
  <si>
    <t xml:space="preserve">0090-08137</t>
  </si>
  <si>
    <t xml:space="preserve">114828</t>
  </si>
  <si>
    <t xml:space="preserve">0090-09026</t>
  </si>
  <si>
    <t xml:space="preserve">w RF GEN 800W 208V 50/60 OEM-12A-21041-51 ASIS</t>
  </si>
  <si>
    <t xml:space="preserve">115153</t>
  </si>
  <si>
    <t xml:space="preserve">0090-09102</t>
  </si>
  <si>
    <t xml:space="preserve">114950</t>
  </si>
  <si>
    <t xml:space="preserve">114899</t>
  </si>
  <si>
    <t xml:space="preserve">0090-09123</t>
  </si>
  <si>
    <t xml:space="preserve">WINDOW ASSY, A/C, QUARTZ, CENT NEW</t>
  </si>
  <si>
    <t xml:space="preserve">15</t>
  </si>
  <si>
    <t xml:space="preserve">106214</t>
  </si>
  <si>
    <t xml:space="preserve">0090-20042 REV D</t>
  </si>
  <si>
    <t xml:space="preserve">ASSY 3 WAY VALVE</t>
  </si>
  <si>
    <t xml:space="preserve">106226</t>
  </si>
  <si>
    <t xml:space="preserve">114975</t>
  </si>
  <si>
    <t xml:space="preserve">0090-35032</t>
  </si>
  <si>
    <t xml:space="preserve">ASSY, ARSINE DETECTOR 0-1000PPB [ASIS]</t>
  </si>
  <si>
    <t xml:space="preserve">115123</t>
  </si>
  <si>
    <t xml:space="preserve">0090-35134</t>
  </si>
  <si>
    <t xml:space="preserve">0040-35851 SHELL ASSY,ESC 195MM,FLAT,DPS ASIS</t>
  </si>
  <si>
    <t xml:space="preserve">115067</t>
  </si>
  <si>
    <t xml:space="preserve">0090-35731</t>
  </si>
  <si>
    <t xml:space="preserve">(#1) STPR MTR DRIVER, ASP+ ENHANCED LIF ASIS</t>
  </si>
  <si>
    <t xml:space="preserve">115068</t>
  </si>
  <si>
    <t xml:space="preserve">ASSY, STPR MTR DRIVER, ASP+ ENHANCED LIF [USED]</t>
  </si>
  <si>
    <t xml:space="preserve">114900</t>
  </si>
  <si>
    <t xml:space="preserve">0090-36235</t>
  </si>
  <si>
    <t xml:space="preserve">ASSY,CABLE,BOTTOM MODULE,DXZ+,OPTIMA &amp; C [USED]</t>
  </si>
  <si>
    <t xml:space="preserve">114678</t>
  </si>
  <si>
    <t xml:space="preserve">0090-36276</t>
  </si>
  <si>
    <t xml:space="preserve">ASSEMBLY, REACTOR, DPA [REFURBISHED]</t>
  </si>
  <si>
    <t xml:space="preserve">114750</t>
  </si>
  <si>
    <t xml:space="preserve">0090-75015</t>
  </si>
  <si>
    <t xml:space="preserve">PCBA ASSY,SBC SYNERGY 68040 CONTROLLER USED</t>
  </si>
  <si>
    <t xml:space="preserve">114788</t>
  </si>
  <si>
    <t xml:space="preserve">0090-76109</t>
  </si>
  <si>
    <t xml:space="preserve">OBS-ASSMBLY,ELCTRCL,SBC SYNERGY 68040 USED</t>
  </si>
  <si>
    <t xml:space="preserve">115231</t>
  </si>
  <si>
    <t xml:space="preserve">0090-A0780</t>
  </si>
  <si>
    <t xml:space="preserve">EDR PMT DETECTOR ASSY [USED]</t>
  </si>
  <si>
    <t xml:space="preserve">115232</t>
  </si>
  <si>
    <t xml:space="preserve">0090-A0781</t>
  </si>
  <si>
    <t xml:space="preserve">115233</t>
  </si>
  <si>
    <t xml:space="preserve">99-299-001</t>
  </si>
  <si>
    <t xml:space="preserve">RW BOARD USED</t>
  </si>
  <si>
    <t xml:space="preserve">114977</t>
  </si>
  <si>
    <t xml:space="preserve">0100-00003</t>
  </si>
  <si>
    <t xml:space="preserve">w PWB VME STEP CONT. I [USED]</t>
  </si>
  <si>
    <t xml:space="preserve">114755</t>
  </si>
  <si>
    <t xml:space="preserve">0100-00496</t>
  </si>
  <si>
    <t xml:space="preserve">PCB ASSEMBLY, LT / ESC POWER CONTROL [NEW]</t>
  </si>
  <si>
    <t xml:space="preserve">115234</t>
  </si>
  <si>
    <t xml:space="preserve">0100-01097</t>
  </si>
  <si>
    <t xml:space="preserve">SLIT VALVE INTERLOCK NEW</t>
  </si>
  <si>
    <t xml:space="preserve">115069</t>
  </si>
  <si>
    <t xml:space="preserve">0100-01715</t>
  </si>
  <si>
    <t xml:space="preserve">(#1) PCB ASSY, HEATER CONTROL/INTERLOCK [ASIS]</t>
  </si>
  <si>
    <t xml:space="preserve">115070</t>
  </si>
  <si>
    <t xml:space="preserve">(#2) PCB ASSY, HEATER CONTROL/INTERLOCK [ASIS]</t>
  </si>
  <si>
    <t xml:space="preserve">114951</t>
  </si>
  <si>
    <t xml:space="preserve">PCB ASSY, HEATER CONTROL/INTERLOCK, BFBE [USED]</t>
  </si>
  <si>
    <t xml:space="preserve">114952</t>
  </si>
  <si>
    <t xml:space="preserve">0100-01735</t>
  </si>
  <si>
    <t xml:space="preserve">PCB ASSY GAP SERVO USED</t>
  </si>
  <si>
    <t xml:space="preserve">114751</t>
  </si>
  <si>
    <t xml:space="preserve">0100-01815</t>
  </si>
  <si>
    <t xml:space="preserve">(UNCLEAN) REMOTE REM RACK ASIS</t>
  </si>
  <si>
    <t xml:space="preserve">115071</t>
  </si>
  <si>
    <t xml:space="preserve">0100-02134</t>
  </si>
  <si>
    <t xml:space="preserve">PCB ASSEMBLY,  GAS PANEL DISTRIBUTION 30 [ASIS]</t>
  </si>
  <si>
    <t xml:space="preserve">114860</t>
  </si>
  <si>
    <t xml:space="preserve">0100-02805</t>
  </si>
  <si>
    <t xml:space="preserve">APPLIED MATRIALS COMPONENTS [NEW]</t>
  </si>
  <si>
    <t xml:space="preserve">114953</t>
  </si>
  <si>
    <t xml:space="preserve">0100-09002</t>
  </si>
  <si>
    <t xml:space="preserve">PCB ASSY, VME SBC [ASIS]</t>
  </si>
  <si>
    <t xml:space="preserve">114954</t>
  </si>
  <si>
    <t xml:space="preserve">0100-09003</t>
  </si>
  <si>
    <t xml:space="preserve">wPCB ASSY, VME 7710 USE USED</t>
  </si>
  <si>
    <t xml:space="preserve">115235</t>
  </si>
  <si>
    <t xml:space="preserve">0100-09022</t>
  </si>
  <si>
    <t xml:space="preserve">wPCB ASSY, MINI AI/AO [USED]</t>
  </si>
  <si>
    <t xml:space="preserve">115154</t>
  </si>
  <si>
    <t xml:space="preserve">0100-09026</t>
  </si>
  <si>
    <t xml:space="preserve">wPCB ASSY, WIRING DISTR. USED</t>
  </si>
  <si>
    <t xml:space="preserve">115191</t>
  </si>
  <si>
    <t xml:space="preserve">0100-09112</t>
  </si>
  <si>
    <t xml:space="preserve">THERMOELECTRIC DRIVER [USED]</t>
  </si>
  <si>
    <t xml:space="preserve">115019</t>
  </si>
  <si>
    <t xml:space="preserve">0100-09180</t>
  </si>
  <si>
    <t xml:space="preserve">ASSY, PWB, LIQUID SOURCE HEATER C USED</t>
  </si>
  <si>
    <t xml:space="preserve">115180</t>
  </si>
  <si>
    <t xml:space="preserve">0100-09234</t>
  </si>
  <si>
    <t xml:space="preserve">0100-02502 APPLIED MATRIALS COMPONENTS [ASIS]</t>
  </si>
  <si>
    <t xml:space="preserve">115105</t>
  </si>
  <si>
    <t xml:space="preserve">0100-20003</t>
  </si>
  <si>
    <t xml:space="preserve">OBS DIGITAL INPUT OUTPUT PCB [USED]</t>
  </si>
  <si>
    <t xml:space="preserve">115072</t>
  </si>
  <si>
    <t xml:space="preserve">0100-20026</t>
  </si>
  <si>
    <t xml:space="preserve">wPCB ASSY,STEPPER DRIVER DISTRIBUTION [USED]</t>
  </si>
  <si>
    <t xml:space="preserve">115073</t>
  </si>
  <si>
    <t xml:space="preserve">0100-20152</t>
  </si>
  <si>
    <t xml:space="preserve">PCB ASSY SYSTEM EXPANSION [ASIS]</t>
  </si>
  <si>
    <t xml:space="preserve">114955</t>
  </si>
  <si>
    <t xml:space="preserve">0100-20154</t>
  </si>
  <si>
    <t xml:space="preserve">PCB ASSY SMIARM/5500 INTERFACE USED</t>
  </si>
  <si>
    <t xml:space="preserve">115155</t>
  </si>
  <si>
    <t xml:space="preserve">0100-20313</t>
  </si>
  <si>
    <t xml:space="preserve">PCB ASSEMBLY CHAMBER INTERCONNECT USED</t>
  </si>
  <si>
    <t xml:space="preserve">115096</t>
  </si>
  <si>
    <t xml:space="preserve">0100-20322</t>
  </si>
  <si>
    <t xml:space="preserve">PCB ASSY CHAMBER BLOWOUT/WATER FLOW INTC USED</t>
  </si>
  <si>
    <t xml:space="preserve">115074</t>
  </si>
  <si>
    <t xml:space="preserve">0100-20454</t>
  </si>
  <si>
    <t xml:space="preserve">(#1) ASSEMBLY PCB, CONTROLLER BACKPLANE [USED]</t>
  </si>
  <si>
    <t xml:space="preserve">115106</t>
  </si>
  <si>
    <t xml:space="preserve">(#2) ASSEMBLY PCB, CONTROLLER BACK PLANE [USED]</t>
  </si>
  <si>
    <t xml:space="preserve">115075</t>
  </si>
  <si>
    <t xml:space="preserve">0100-35082</t>
  </si>
  <si>
    <t xml:space="preserve">PCB ASSY CHAMBER INTERCONNECT A&amp;C CENTUR USED</t>
  </si>
  <si>
    <t xml:space="preserve">115236</t>
  </si>
  <si>
    <t xml:space="preserve">0100-35175</t>
  </si>
  <si>
    <t xml:space="preserve">(#1) PCB, ASSY RTP CHAMBER INTERFACE USED</t>
  </si>
  <si>
    <t xml:space="preserve">115237</t>
  </si>
  <si>
    <t xml:space="preserve">0100-35214</t>
  </si>
  <si>
    <t xml:space="preserve">ASSEMBLY, PCB, RF MATCH CONTROL [NEW]</t>
  </si>
  <si>
    <t xml:space="preserve">114989</t>
  </si>
  <si>
    <t xml:space="preserve">0100-40044</t>
  </si>
  <si>
    <t xml:space="preserve">(#1) wPCBA,REMOTE CHAMBER INTERFACE [ASIS]</t>
  </si>
  <si>
    <t xml:space="preserve">114766</t>
  </si>
  <si>
    <t xml:space="preserve">0100-76267</t>
  </si>
  <si>
    <t xml:space="preserve">PCB VOR MATCH INTERCONNECT [USED]</t>
  </si>
  <si>
    <t xml:space="preserve">115238</t>
  </si>
  <si>
    <t xml:space="preserve">0100-90251</t>
  </si>
  <si>
    <t xml:space="preserve">115169</t>
  </si>
  <si>
    <t xml:space="preserve">0140-02621</t>
  </si>
  <si>
    <t xml:space="preserve">115156</t>
  </si>
  <si>
    <t xml:space="preserve">0140-04272</t>
  </si>
  <si>
    <t xml:space="preserve">COMPONENTS NEW</t>
  </si>
  <si>
    <t xml:space="preserve">114956</t>
  </si>
  <si>
    <t xml:space="preserve">0140-04660</t>
  </si>
  <si>
    <t xml:space="preserve">(#1) HARNESS ASSY., CONDUCTOR-300MM [USED]</t>
  </si>
  <si>
    <t xml:space="preserve">115157</t>
  </si>
  <si>
    <t xml:space="preserve">0140-09176</t>
  </si>
  <si>
    <t xml:space="preserve">HARNESS ASSY, E-CHAIN PNEUMATIC, 300MM E NEW</t>
  </si>
  <si>
    <t xml:space="preserve">114853</t>
  </si>
  <si>
    <t xml:space="preserve">0140-13614</t>
  </si>
  <si>
    <t xml:space="preserve">(#1) HARNESS ASSY., MAIN DIST. [USED]</t>
  </si>
  <si>
    <t xml:space="preserve">115097</t>
  </si>
  <si>
    <t xml:space="preserve">0140-14852</t>
  </si>
  <si>
    <t xml:space="preserve">HARNESS ASSY MAIN I/O DIS [USED]</t>
  </si>
  <si>
    <t xml:space="preserve">106216</t>
  </si>
  <si>
    <t xml:space="preserve">0140-20502 REV D</t>
  </si>
  <si>
    <t xml:space="preserve">HARN ASSY AC 2-PHASE DRIVER</t>
  </si>
  <si>
    <t xml:space="preserve">115181</t>
  </si>
  <si>
    <t xml:space="preserve">0140-35787</t>
  </si>
  <si>
    <t xml:space="preserve">115239</t>
  </si>
  <si>
    <t xml:space="preserve">0140-75275</t>
  </si>
  <si>
    <t xml:space="preserve">HARNESS ASSY, SUB-PANEL AC-ENCLOSURE NEW</t>
  </si>
  <si>
    <t xml:space="preserve">115124</t>
  </si>
  <si>
    <t xml:space="preserve">0150-00947</t>
  </si>
  <si>
    <t xml:space="preserve">EMC COMP. C/A MF UMBILICAL #2 USED</t>
  </si>
  <si>
    <t xml:space="preserve">114748</t>
  </si>
  <si>
    <t xml:space="preserve">0150-08775</t>
  </si>
  <si>
    <t xml:space="preserve">ASSY, FIBER OPTIC CABLE, EYED OES/IEP, W USED</t>
  </si>
  <si>
    <t xml:space="preserve">115076</t>
  </si>
  <si>
    <t xml:space="preserve">0150-13167</t>
  </si>
  <si>
    <t xml:space="preserve">115004</t>
  </si>
  <si>
    <t xml:space="preserve">0150-16616</t>
  </si>
  <si>
    <t xml:space="preserve">CABLE ASSEMBLY, SOURCE GEN PWR, 208VAC 3 [USED]</t>
  </si>
  <si>
    <t xml:space="preserve">115175</t>
  </si>
  <si>
    <t xml:space="preserve">0150-17474</t>
  </si>
  <si>
    <t xml:space="preserve">CABLE ASSEMBLY, ESC OUTER HTR RIGHT ANGL [USED]</t>
  </si>
  <si>
    <t xml:space="preserve">115176</t>
  </si>
  <si>
    <t xml:space="preserve">0150-17475</t>
  </si>
  <si>
    <t xml:space="preserve">CABLE ASSEMBLY, ESC INNER HTR RIGHT ANGL [USED]</t>
  </si>
  <si>
    <t xml:space="preserve">115240</t>
  </si>
  <si>
    <t xml:space="preserve">0150-19922</t>
  </si>
  <si>
    <t xml:space="preserve">115077</t>
  </si>
  <si>
    <t xml:space="preserve">0150-20166</t>
  </si>
  <si>
    <t xml:space="preserve">CABLE ASSY, TURBO PUMP TO CONTROLLER 75F USED</t>
  </si>
  <si>
    <t xml:space="preserve">71933</t>
  </si>
  <si>
    <t xml:space="preserve">0150-21344</t>
  </si>
  <si>
    <t xml:space="preserve">CHAMBER D INTERCONNECT EMC COMPLIANT</t>
  </si>
  <si>
    <t xml:space="preserve">115158</t>
  </si>
  <si>
    <t xml:space="preserve">0150-21689</t>
  </si>
  <si>
    <t xml:space="preserve">CABLE ASSY. SQ RIGHT ANGLE 2FT USED</t>
  </si>
  <si>
    <t xml:space="preserve">114829</t>
  </si>
  <si>
    <t xml:space="preserve">0150-35202</t>
  </si>
  <si>
    <t xml:space="preserve">CABLE ASSY GAS PANEL UMBILICAL USED</t>
  </si>
  <si>
    <t xml:space="preserve">114830</t>
  </si>
  <si>
    <t xml:space="preserve">0150-35204</t>
  </si>
  <si>
    <t xml:space="preserve">C/A GAS PANEL UMBILICAL #2 USED</t>
  </si>
  <si>
    <t xml:space="preserve">114861</t>
  </si>
  <si>
    <t xml:space="preserve">0150-35206</t>
  </si>
  <si>
    <t xml:space="preserve">HARNESS ASSY MAINFRAME UMBILIC USED</t>
  </si>
  <si>
    <t xml:space="preserve">114871</t>
  </si>
  <si>
    <t xml:space="preserve">0150-35207</t>
  </si>
  <si>
    <t xml:space="preserve">115241</t>
  </si>
  <si>
    <t xml:space="preserve">0150-35208</t>
  </si>
  <si>
    <t xml:space="preserve">HARNESS ASSY LOAD LOCK UMBILIC USED</t>
  </si>
  <si>
    <t xml:space="preserve">114872</t>
  </si>
  <si>
    <t xml:space="preserve">0150-35209</t>
  </si>
  <si>
    <t xml:space="preserve">HARNESS ASSY PNEUMATICS UMBILIC USED</t>
  </si>
  <si>
    <t xml:space="preserve">115078</t>
  </si>
  <si>
    <t xml:space="preserve">0150-35210</t>
  </si>
  <si>
    <t xml:space="preserve">(#1) (BROKEN) ASSY CHAMBR A-B- C-D ASIS</t>
  </si>
  <si>
    <t xml:space="preserve">114958</t>
  </si>
  <si>
    <t xml:space="preserve">HARNESS ASSY CHAMBR A-B- C-D USED</t>
  </si>
  <si>
    <t xml:space="preserve">114957</t>
  </si>
  <si>
    <t xml:space="preserve">114959</t>
  </si>
  <si>
    <t xml:space="preserve">0150-35566</t>
  </si>
  <si>
    <t xml:space="preserve">C/A GAS PANEL #2 UMBILICAL, 55 FT NEW</t>
  </si>
  <si>
    <t xml:space="preserve">114612</t>
  </si>
  <si>
    <t xml:space="preserve">0190-00100</t>
  </si>
  <si>
    <t xml:space="preserve">AX7670-16  CABLE FLEX FLAT 7 [USED]</t>
  </si>
  <si>
    <t xml:space="preserve">115159</t>
  </si>
  <si>
    <t xml:space="preserve">0190-01458</t>
  </si>
  <si>
    <t xml:space="preserve">CABLE ASSY COAXIAL, 55 FT 300MM PRECLEAN [ASIS]</t>
  </si>
  <si>
    <t xml:space="preserve">114901</t>
  </si>
  <si>
    <t xml:space="preserve">0190-01914</t>
  </si>
  <si>
    <t xml:space="preserve">(#1) CHAMBER AC DISTRIBUTION BOX [ASIS]</t>
  </si>
  <si>
    <t xml:space="preserve">114902</t>
  </si>
  <si>
    <t xml:space="preserve">(#2) CHAMBER AC DISTRIBUTION BOX [ASIS]</t>
  </si>
  <si>
    <t xml:space="preserve">115173</t>
  </si>
  <si>
    <t xml:space="preserve">0190-02321</t>
  </si>
  <si>
    <t xml:space="preserve">SW PRESS ABS 1000TORR 1/4MVCR  NEW</t>
  </si>
  <si>
    <t xml:space="preserve">114903</t>
  </si>
  <si>
    <t xml:space="preserve">0190-02855</t>
  </si>
  <si>
    <t xml:space="preserve">ACTUATOR KIT, P5000 ZA MK-II SLIT VALVE USED</t>
  </si>
  <si>
    <t xml:space="preserve">114904</t>
  </si>
  <si>
    <t xml:space="preserve">0190-03672</t>
  </si>
  <si>
    <t xml:space="preserve">PVD LAMP/ESC/SINGLE ZONE, DUAL MODE, HEA USED</t>
  </si>
  <si>
    <t xml:space="preserve">114990</t>
  </si>
  <si>
    <t xml:space="preserve">0190-06874</t>
  </si>
  <si>
    <t xml:space="preserve">114738</t>
  </si>
  <si>
    <t xml:space="preserve">0190-07969</t>
  </si>
  <si>
    <t xml:space="preserve">PWRSP 60KW 480VAC ENI SLAVE(20KW) DNET [ASIS]</t>
  </si>
  <si>
    <t xml:space="preserve">114655</t>
  </si>
  <si>
    <t xml:space="preserve">0190-08067</t>
  </si>
  <si>
    <t xml:space="preserve">AE PINNACLE 3152412-223C USED</t>
  </si>
  <si>
    <t xml:space="preserve">114679</t>
  </si>
  <si>
    <t xml:space="preserve">0190-08638</t>
  </si>
  <si>
    <t xml:space="preserve">REMOTE PLASMA SOURCE, RF 6000W, 200/208V [ASIS]</t>
  </si>
  <si>
    <t xml:space="preserve">115242</t>
  </si>
  <si>
    <t xml:space="preserve">0190-09368</t>
  </si>
  <si>
    <t xml:space="preserve">PCBA VME 7710 COLOR CON USE UP USED</t>
  </si>
  <si>
    <t xml:space="preserve">114767</t>
  </si>
  <si>
    <t xml:space="preserve">0190-09419</t>
  </si>
  <si>
    <t xml:space="preserve">DRIVE SINGLE PHASE, PHASETRONICS [USED]</t>
  </si>
  <si>
    <t xml:space="preserve">114680</t>
  </si>
  <si>
    <t xml:space="preserve">0190-09832</t>
  </si>
  <si>
    <t xml:space="preserve">GEN RF, 13.56MHZ, 1.25KW, 480VAC, ENI [ASIS]</t>
  </si>
  <si>
    <t xml:space="preserve">114656</t>
  </si>
  <si>
    <t xml:space="preserve">GEN RF, 13.56MHZ, 1.25KW, 480VAC, TESTED [USED]</t>
  </si>
  <si>
    <t xml:space="preserve">114831</t>
  </si>
  <si>
    <t xml:space="preserve">0190-11593</t>
  </si>
  <si>
    <t xml:space="preserve">DC PWRSP, 20KW, 480VAC [NOT WORKING]</t>
  </si>
  <si>
    <t xml:space="preserve">114739</t>
  </si>
  <si>
    <t xml:space="preserve">0190-11595</t>
  </si>
  <si>
    <t xml:space="preserve">DC PWRSP, 40KW, 480VAC, ENI OPTIMA [ASIS]</t>
  </si>
  <si>
    <t xml:space="preserve">115079</t>
  </si>
  <si>
    <t xml:space="preserve">0190-11817</t>
  </si>
  <si>
    <t xml:space="preserve">114704</t>
  </si>
  <si>
    <t xml:space="preserve">0190-11913</t>
  </si>
  <si>
    <t xml:space="preserve">FP2241R3 RF MATCH ASSY 300MM TXZ COMDEL [USED]</t>
  </si>
  <si>
    <t xml:space="preserve">114832</t>
  </si>
  <si>
    <t xml:space="preserve">0190-12086</t>
  </si>
  <si>
    <t xml:space="preserve">(#1) 8113212G001 CRYO PUMP, FAST REGEN [ASIS]</t>
  </si>
  <si>
    <t xml:space="preserve">114833</t>
  </si>
  <si>
    <t xml:space="preserve">(#2)  8113212G001 CRYO PUMP, FAST REGEN  ASIS</t>
  </si>
  <si>
    <t xml:space="preserve">114789</t>
  </si>
  <si>
    <t xml:space="preserve">0190-14750</t>
  </si>
  <si>
    <t xml:space="preserve">SPEC., LM DARP EDGE GRIP END EFFECTOT KI [USED]</t>
  </si>
  <si>
    <t xml:space="preserve">114657</t>
  </si>
  <si>
    <t xml:space="preserve">0190-14992R</t>
  </si>
  <si>
    <t xml:space="preserve"> RF GEN, 13.56MHZ, 1.25KW, 480VAC, ENI, L ASIS</t>
  </si>
  <si>
    <t xml:space="preserve">114709</t>
  </si>
  <si>
    <t xml:space="preserve">0190-15380</t>
  </si>
  <si>
    <t xml:space="preserve">3-PORT UPA-B 300MM REV 2D PLUS [USED]</t>
  </si>
  <si>
    <t xml:space="preserve">114905</t>
  </si>
  <si>
    <t xml:space="preserve">0190-15840</t>
  </si>
  <si>
    <t xml:space="preserve">4-PORT UPA, DNET ONLY, 300MM LK REFLEXIO USED</t>
  </si>
  <si>
    <t xml:space="preserve">115080</t>
  </si>
  <si>
    <t xml:space="preserve">0190-15905</t>
  </si>
  <si>
    <t xml:space="preserve">(#1) CABLE ASSY SQS(M) R/A TO SQS(M) R/A [USED]</t>
  </si>
  <si>
    <t xml:space="preserve">115081</t>
  </si>
  <si>
    <t xml:space="preserve">CABLE ASSY SQS(M) R/A TO SQS(M) R/A CXN3 [USED]</t>
  </si>
  <si>
    <t xml:space="preserve">115082</t>
  </si>
  <si>
    <t xml:space="preserve">0190-17310</t>
  </si>
  <si>
    <t xml:space="preserve">FL2004 FLASHLAMP, EYED-IEP, POLY DPS+ ASIS</t>
  </si>
  <si>
    <t xml:space="preserve">114705</t>
  </si>
  <si>
    <t xml:space="preserve">0190-19763</t>
  </si>
  <si>
    <t xml:space="preserve">SPECTROGRAPH, HP OES, SD1024D, 24 VDC [USED]</t>
  </si>
  <si>
    <t xml:space="preserve">115160</t>
  </si>
  <si>
    <t xml:space="preserve">0190-19764</t>
  </si>
  <si>
    <t xml:space="preserve">FIBER OPTIC CABLE, LINEAR ARRAY TO BICON USED</t>
  </si>
  <si>
    <t xml:space="preserve">115161</t>
  </si>
  <si>
    <t xml:space="preserve">0190-20004</t>
  </si>
  <si>
    <t xml:space="preserve">FEED THRU ROTARY ASSY SOURCE BASIC [USED]</t>
  </si>
  <si>
    <t xml:space="preserve">106220</t>
  </si>
  <si>
    <t xml:space="preserve">0190-20015 REV D</t>
  </si>
  <si>
    <t xml:space="preserve">VALVE / MANIFOLD</t>
  </si>
  <si>
    <t xml:space="preserve">106210</t>
  </si>
  <si>
    <t xml:space="preserve">0190-20015 REV E</t>
  </si>
  <si>
    <t xml:space="preserve">GAS LINE NO. 3 PRECLEAN CHAMBER REACTIVE PR</t>
  </si>
  <si>
    <t xml:space="preserve">UNUSED AND IN ORIGINAL SEALED PACKING
SEE PHOTOS FOR DETAILS</t>
  </si>
  <si>
    <t xml:space="preserve">106219</t>
  </si>
  <si>
    <t xml:space="preserve">106227</t>
  </si>
  <si>
    <t xml:space="preserve">114834</t>
  </si>
  <si>
    <t xml:space="preserve">0190-20139</t>
  </si>
  <si>
    <t xml:space="preserve">AMAT ENDURA 6 INCH SPUTTERING [REFURBISHED]</t>
  </si>
  <si>
    <t xml:space="preserve">114991</t>
  </si>
  <si>
    <t xml:space="preserve">0190-20148</t>
  </si>
  <si>
    <t xml:space="preserve">PNEUMATIC MANIFOLD MAIN CHAMBER USED</t>
  </si>
  <si>
    <t xml:space="preserve">114992</t>
  </si>
  <si>
    <t xml:space="preserve">0190-20150</t>
  </si>
  <si>
    <t xml:space="preserve">PNUEMATIC MANIFOLD MAIN CHAMBER TRAY USED</t>
  </si>
  <si>
    <t xml:space="preserve">115083</t>
  </si>
  <si>
    <t xml:space="preserve">0190-21120</t>
  </si>
  <si>
    <t xml:space="preserve">114740</t>
  </si>
  <si>
    <t xml:space="preserve">0190-21602</t>
  </si>
  <si>
    <t xml:space="preserve">114960</t>
  </si>
  <si>
    <t xml:space="preserve">TARGET, DIFFUSION BONDED, VECTRA-IMP [ASIS]</t>
  </si>
  <si>
    <t xml:space="preserve">114961</t>
  </si>
  <si>
    <t xml:space="preserve">0190-21701</t>
  </si>
  <si>
    <t xml:space="preserve">115243</t>
  </si>
  <si>
    <t xml:space="preserve">0190-22204</t>
  </si>
  <si>
    <t xml:space="preserve">SDU10 CONTROLLER [USED/FAST]</t>
  </si>
  <si>
    <t xml:space="preserve">115107</t>
  </si>
  <si>
    <t xml:space="preserve">0190-22967</t>
  </si>
  <si>
    <t xml:space="preserve">CARD CPCI 32/16 ANALOG 32/16 I/O USED</t>
  </si>
  <si>
    <t xml:space="preserve">114835</t>
  </si>
  <si>
    <t xml:space="preserve">0190-23498</t>
  </si>
  <si>
    <t xml:space="preserve">TS HEATED VALVE [USED]</t>
  </si>
  <si>
    <t xml:space="preserve">115084</t>
  </si>
  <si>
    <t xml:space="preserve">0190-24115</t>
  </si>
  <si>
    <t xml:space="preserve">115162</t>
  </si>
  <si>
    <t xml:space="preserve">0190-24116</t>
  </si>
  <si>
    <t xml:space="preserve">ASSY. PCB, CDN396R, A-I/O, 300MM ENDURA USED</t>
  </si>
  <si>
    <t xml:space="preserve">114836</t>
  </si>
  <si>
    <t xml:space="preserve">0190-25278</t>
  </si>
  <si>
    <t xml:space="preserve">CH AC DIST BOX DUAL HTR, ADVANTEDGE TSUBASA0 [USED]</t>
  </si>
  <si>
    <t xml:space="preserve">115085</t>
  </si>
  <si>
    <t xml:space="preserve">0190-25307</t>
  </si>
  <si>
    <t xml:space="preserve">VALVE PRESSURE CONTROLLER PM-6 T.G.V. W/ USED</t>
  </si>
  <si>
    <t xml:space="preserve">114631</t>
  </si>
  <si>
    <t xml:space="preserve">0190-25423</t>
  </si>
  <si>
    <t xml:space="preserve">DC POWER SUPPLY, CENTURA CONT [USED]</t>
  </si>
  <si>
    <t xml:space="preserve">114768</t>
  </si>
  <si>
    <t xml:space="preserve">0190-25450</t>
  </si>
  <si>
    <t xml:space="preserve">SD2048DL VERITY SPECTROMETER USED</t>
  </si>
  <si>
    <t xml:space="preserve">114632</t>
  </si>
  <si>
    <t xml:space="preserve">0190-25716-002</t>
  </si>
  <si>
    <t xml:space="preserve">DC PWR SUPPLY, 6KW, 480VAC [ASIS]</t>
  </si>
  <si>
    <t xml:space="preserve">114658</t>
  </si>
  <si>
    <t xml:space="preserve">0190-25724-001</t>
  </si>
  <si>
    <t xml:space="preserve">DC PWR SUPPLY, AE PINNACLE, 480VAC [ASIS]</t>
  </si>
  <si>
    <t xml:space="preserve">114837</t>
  </si>
  <si>
    <t xml:space="preserve">0190-26495</t>
  </si>
  <si>
    <t xml:space="preserve">ENG SPECIFICATION TEMP CONTROLLER 6 CH [USED]</t>
  </si>
  <si>
    <t xml:space="preserve">114613</t>
  </si>
  <si>
    <t xml:space="preserve">0190-26514</t>
  </si>
  <si>
    <t xml:space="preserve">0190-19763 0190-28658 0190-29889 0190-19764 [USED]</t>
  </si>
  <si>
    <t xml:space="preserve">114741</t>
  </si>
  <si>
    <t xml:space="preserve">CONTROL COMPUTER, EYED, ROHS VERSION 3 [USED]</t>
  </si>
  <si>
    <t xml:space="preserve">114962</t>
  </si>
  <si>
    <t xml:space="preserve">0190-27350</t>
  </si>
  <si>
    <t xml:space="preserve">(#1)  APPLIED MATRIALS COMPONENTS [ASIS]</t>
  </si>
  <si>
    <t xml:space="preserve">114838</t>
  </si>
  <si>
    <t xml:space="preserve">0190-27355</t>
  </si>
  <si>
    <t xml:space="preserve">(#1) 8113192G001 APPLIED MATRIALS [ASIS]</t>
  </si>
  <si>
    <t xml:space="preserve">114839</t>
  </si>
  <si>
    <t xml:space="preserve">(#2) 8113192G001 APPLIED MATRIALS [ASIS]</t>
  </si>
  <si>
    <t xml:space="preserve">114790</t>
  </si>
  <si>
    <t xml:space="preserve">0190-27579</t>
  </si>
  <si>
    <t xml:space="preserve">3155132-004 (#1) [ASIS]</t>
  </si>
  <si>
    <t xml:space="preserve">114840</t>
  </si>
  <si>
    <t xml:space="preserve">3155132-004 (#2) [ASIS]</t>
  </si>
  <si>
    <t xml:space="preserve">115086</t>
  </si>
  <si>
    <t xml:space="preserve">0190-28013</t>
  </si>
  <si>
    <t xml:space="preserve">(#1) TARGET, DIFF BOND TI W/O C'BORE, DURA ASIS</t>
  </si>
  <si>
    <t xml:space="preserve">114906</t>
  </si>
  <si>
    <t xml:space="preserve">0190-28014</t>
  </si>
  <si>
    <t xml:space="preserve">114752</t>
  </si>
  <si>
    <t xml:space="preserve">0190-32367</t>
  </si>
  <si>
    <t xml:space="preserve">(#1) 0190-32367 0190-49895 BF-1.125C-30-M ASIS</t>
  </si>
  <si>
    <t xml:space="preserve">114706</t>
  </si>
  <si>
    <t xml:space="preserve">0190-34645-000</t>
  </si>
  <si>
    <t xml:space="preserve">114659</t>
  </si>
  <si>
    <t xml:space="preserve">0190-34929-000</t>
  </si>
  <si>
    <t xml:space="preserve">114907</t>
  </si>
  <si>
    <t xml:space="preserve">0190-35510</t>
  </si>
  <si>
    <t xml:space="preserve">MCVD ENDPOINT DETECTOR ASSEMBL USED</t>
  </si>
  <si>
    <t xml:space="preserve">115244</t>
  </si>
  <si>
    <t xml:space="preserve">0190-35845</t>
  </si>
  <si>
    <t xml:space="preserve">BLOCK XTR VALVE MICROWAVE REMO USED</t>
  </si>
  <si>
    <t xml:space="preserve">115098</t>
  </si>
  <si>
    <t xml:space="preserve">0190-35857</t>
  </si>
  <si>
    <t xml:space="preserve">WAVEGUIDE POS B 3.4 X 1.7 MICR USED</t>
  </si>
  <si>
    <t xml:space="preserve">114614</t>
  </si>
  <si>
    <t xml:space="preserve">0190-35870</t>
  </si>
  <si>
    <t xml:space="preserve">(#1) MKS ASTEX AX8200A-CE OZONE GENERATOR ASIS</t>
  </si>
  <si>
    <t xml:space="preserve">114615</t>
  </si>
  <si>
    <t xml:space="preserve">(#2) MKS ASTEX AX8200A-CE OZONE GENERATOR ASIS</t>
  </si>
  <si>
    <t xml:space="preserve">115087</t>
  </si>
  <si>
    <t xml:space="preserve">0190-35975</t>
  </si>
  <si>
    <t xml:space="preserve">CABLE ASSY,FIBER OPTIC,25',RECESS ETCH USED</t>
  </si>
  <si>
    <t xml:space="preserve">115245</t>
  </si>
  <si>
    <t xml:space="preserve">0190-76263</t>
  </si>
  <si>
    <t xml:space="preserve">IOS CONFIGURED USED</t>
  </si>
  <si>
    <t xml:space="preserve">115088</t>
  </si>
  <si>
    <t xml:space="preserve">0190-76273</t>
  </si>
  <si>
    <t xml:space="preserve">DRIVER, PVD LAMP/HEATER DRIVER [ASIS]</t>
  </si>
  <si>
    <t xml:space="preserve">114963</t>
  </si>
  <si>
    <t xml:space="preserve">DRIVER, PVD LAMP/HEATER DRIVER [USED]</t>
  </si>
  <si>
    <t xml:space="preserve">115170</t>
  </si>
  <si>
    <t xml:space="preserve">0190-89001</t>
  </si>
  <si>
    <t xml:space="preserve">BELLOW ASSY, 2.25 STROKE, R3.4 [NEW]</t>
  </si>
  <si>
    <t xml:space="preserve">114993</t>
  </si>
  <si>
    <t xml:space="preserve">0195-00214</t>
  </si>
  <si>
    <t xml:space="preserve">GAS LINE, STL HEATER, LOWER, PDCR SE MK NEW</t>
  </si>
  <si>
    <t xml:space="preserve">115125</t>
  </si>
  <si>
    <t xml:space="preserve">0195-00215</t>
  </si>
  <si>
    <t xml:space="preserve">GAS LINE, STL HEATER, FORELN DIVERT 2, P NEW</t>
  </si>
  <si>
    <t xml:space="preserve">115108</t>
  </si>
  <si>
    <t xml:space="preserve">0195-00217</t>
  </si>
  <si>
    <t xml:space="preserve"> GAS LINE, STL HEATER, GPLIS MIDDLE, PDCR NEW</t>
  </si>
  <si>
    <t xml:space="preserve">115089</t>
  </si>
  <si>
    <t xml:space="preserve">0195-00218</t>
  </si>
  <si>
    <t xml:space="preserve">GAS LINE, STL HEATER INTERCONNECT LINE P NEW</t>
  </si>
  <si>
    <t xml:space="preserve">115126</t>
  </si>
  <si>
    <t xml:space="preserve">0195-00219</t>
  </si>
  <si>
    <t xml:space="preserve">GAS LINE, HEATER PALLET, POS3, PDCR SE M NEW</t>
  </si>
  <si>
    <t xml:space="preserve">115246</t>
  </si>
  <si>
    <t xml:space="preserve">0195-00220</t>
  </si>
  <si>
    <t xml:space="preserve">GAS LINE HTR HE SUPPLY FSG PDCR SE MKII NEW</t>
  </si>
  <si>
    <t xml:space="preserve">115127</t>
  </si>
  <si>
    <t xml:space="preserve">0195-00222</t>
  </si>
  <si>
    <t xml:space="preserve">GAS LINE  STL HTR VAPOR OUT FSG PDCR SE NEW</t>
  </si>
  <si>
    <t xml:space="preserve">114633</t>
  </si>
  <si>
    <t xml:space="preserve">0195-03306</t>
  </si>
  <si>
    <t xml:space="preserve">EMAG POWER SUPPLY,4 CHANNEL,208 VAC [ASIS]</t>
  </si>
  <si>
    <t xml:space="preserve">114660</t>
  </si>
  <si>
    <t xml:space="preserve">0195-05597</t>
  </si>
  <si>
    <t xml:space="preserve">MAG05-25041-006 [NOT WORKING]</t>
  </si>
  <si>
    <t xml:space="preserve">114994</t>
  </si>
  <si>
    <t xml:space="preserve">0195-11127</t>
  </si>
  <si>
    <t xml:space="preserve">114919</t>
  </si>
  <si>
    <t xml:space="preserve">0200-00137</t>
  </si>
  <si>
    <t xml:space="preserve">RING,FOCUS 195MM SEMI NTCH N/F NEW</t>
  </si>
  <si>
    <t xml:space="preserve">115113</t>
  </si>
  <si>
    <t xml:space="preserve">0200-00152</t>
  </si>
  <si>
    <t xml:space="preserve">6 SMF EXT PIK INSULATOR QUART [REFURBISHED]</t>
  </si>
  <si>
    <t xml:space="preserve">115247</t>
  </si>
  <si>
    <t xml:space="preserve">0200-00221</t>
  </si>
  <si>
    <t xml:space="preserve">INSULATOR, PINLESS 8 SNNF, PRECLEAN REFURBISHED</t>
  </si>
  <si>
    <t xml:space="preserve">114742</t>
  </si>
  <si>
    <t xml:space="preserve">0200-00541</t>
  </si>
  <si>
    <t xml:space="preserve">LINER, QUARTZ, 200MM PRE-CLEAN NEW</t>
  </si>
  <si>
    <t xml:space="preserve">115182</t>
  </si>
  <si>
    <t xml:space="preserve">0200-00677</t>
  </si>
  <si>
    <t xml:space="preserve">TOP RING QUARTZ, 200MM OXIDE NEW</t>
  </si>
  <si>
    <t xml:space="preserve">114995</t>
  </si>
  <si>
    <t xml:space="preserve">0200-00937</t>
  </si>
  <si>
    <t xml:space="preserve">COVER, 8 PEDESTAL, B101 HTR,  NEW</t>
  </si>
  <si>
    <t xml:space="preserve">115248</t>
  </si>
  <si>
    <t xml:space="preserve">0200-02067</t>
  </si>
  <si>
    <t xml:space="preserve">BUSHING HOOP WAFER LIFT PRODUCER E NEW</t>
  </si>
  <si>
    <t xml:space="preserve">115163</t>
  </si>
  <si>
    <t xml:space="preserve">0200-02112</t>
  </si>
  <si>
    <t xml:space="preserve">LINER, LID, 300MM TICL4 TIN NEW</t>
  </si>
  <si>
    <t xml:space="preserve">115000</t>
  </si>
  <si>
    <t xml:space="preserve">0200-02333</t>
  </si>
  <si>
    <t xml:space="preserve">COVER RING, L-SHAPE 32RA, 200MM EMAX NEW</t>
  </si>
  <si>
    <t xml:space="preserve">115183</t>
  </si>
  <si>
    <t xml:space="preserve">0200-02591</t>
  </si>
  <si>
    <t xml:space="preserve">114681</t>
  </si>
  <si>
    <t xml:space="preserve">0200-02935</t>
  </si>
  <si>
    <t xml:space="preserve">(#1) LID ASSEMBLY 300MM DPS2 [ASIS]</t>
  </si>
  <si>
    <t xml:space="preserve">114682</t>
  </si>
  <si>
    <t xml:space="preserve">0200-04137</t>
  </si>
  <si>
    <t xml:space="preserve">(#1) LID CERAMIC LID ASSEMBLY 300MM DPS2 [ASIS]</t>
  </si>
  <si>
    <t xml:space="preserve">114753</t>
  </si>
  <si>
    <t xml:space="preserve">0200-04201</t>
  </si>
  <si>
    <t xml:space="preserve">SHADOW RING .8MM EE MIN GAP W/FLAT CH.1 [NEW]</t>
  </si>
  <si>
    <t xml:space="preserve">114754</t>
  </si>
  <si>
    <t xml:space="preserve">0200-04202</t>
  </si>
  <si>
    <t xml:space="preserve">SHADOW RING .8MM EE MIN GAP W/FLAT CH.2 [NEW]</t>
  </si>
  <si>
    <t xml:space="preserve">114687</t>
  </si>
  <si>
    <t xml:space="preserve">0200-06404</t>
  </si>
  <si>
    <t xml:space="preserve">115164</t>
  </si>
  <si>
    <t xml:space="preserve">0200-07442</t>
  </si>
  <si>
    <t xml:space="preserve">115020</t>
  </si>
  <si>
    <t xml:space="preserve">0200-09559</t>
  </si>
  <si>
    <t xml:space="preserve">COVER 200MM CERAMIC (6 HOLES . USED</t>
  </si>
  <si>
    <t xml:space="preserve">115090</t>
  </si>
  <si>
    <t xml:space="preserve">0200-09574</t>
  </si>
  <si>
    <t xml:space="preserve">HOOP,REV 1 CERAMIC,200MM USED</t>
  </si>
  <si>
    <t xml:space="preserve">115249</t>
  </si>
  <si>
    <t xml:space="preserve">0200-09746</t>
  </si>
  <si>
    <t xml:space="preserve">COLLAR AL 200MM CERAMIC [NEW]</t>
  </si>
  <si>
    <t xml:space="preserve">115250</t>
  </si>
  <si>
    <t xml:space="preserve">0200-09994</t>
  </si>
  <si>
    <t xml:space="preserve">RING,INNER,ALN 8/5MM KMF 201  NEW</t>
  </si>
  <si>
    <t xml:space="preserve">114803</t>
  </si>
  <si>
    <t xml:space="preserve">0200-09995</t>
  </si>
  <si>
    <t xml:space="preserve">RING, INNER, ALN 8"/5MM NOTCH NEW</t>
  </si>
  <si>
    <t xml:space="preserve">115132</t>
  </si>
  <si>
    <t xml:space="preserve">0200-09996</t>
  </si>
  <si>
    <t xml:space="preserve">RING,OUTER,ALN 200 JMF SML WxZ NEW</t>
  </si>
  <si>
    <t xml:space="preserve">115024</t>
  </si>
  <si>
    <t xml:space="preserve">0200-09997</t>
  </si>
  <si>
    <t xml:space="preserve">RING, OUTER, ALN 200 NOTCH SML NEW</t>
  </si>
  <si>
    <t xml:space="preserve">115184</t>
  </si>
  <si>
    <t xml:space="preserve">0200-10415</t>
  </si>
  <si>
    <t xml:space="preserve">FOCUS RING 2 PIECE, STRAIGHT W NEW</t>
  </si>
  <si>
    <t xml:space="preserve">115251</t>
  </si>
  <si>
    <t xml:space="preserve">0200-20055</t>
  </si>
  <si>
    <t xml:space="preserve">8 INSULATOR WITH ANTENAE PCII [REFURBISHED]</t>
  </si>
  <si>
    <t xml:space="preserve">115021</t>
  </si>
  <si>
    <t xml:space="preserve">0200-20056</t>
  </si>
  <si>
    <t xml:space="preserve">8 PCII JMF AT A INSULATOR TI [REFURBISHED]</t>
  </si>
  <si>
    <t xml:space="preserve">114996</t>
  </si>
  <si>
    <t xml:space="preserve">0200-20331</t>
  </si>
  <si>
    <t xml:space="preserve">COVER RING 8 B101 CERAMIC, 10 NEW</t>
  </si>
  <si>
    <t xml:space="preserve">114908</t>
  </si>
  <si>
    <t xml:space="preserve">0200-20462</t>
  </si>
  <si>
    <t xml:space="preserve">APPLIED MATRIALS COMPONENTS [REFURBISHED]</t>
  </si>
  <si>
    <t xml:space="preserve">115165</t>
  </si>
  <si>
    <t xml:space="preserve">0200-35264</t>
  </si>
  <si>
    <t xml:space="preserve">PIPE, INSULATING, QUARTZ NEW</t>
  </si>
  <si>
    <t xml:space="preserve">115166</t>
  </si>
  <si>
    <t xml:space="preserve">0200-35323</t>
  </si>
  <si>
    <t xml:space="preserve">RING, CAPTURE, CERAMIC,195MM S NEW</t>
  </si>
  <si>
    <t xml:space="preserve">114997</t>
  </si>
  <si>
    <t xml:space="preserve">0200-35477</t>
  </si>
  <si>
    <t xml:space="preserve">COVER 200MM JMF STD COVERLESS, NEW</t>
  </si>
  <si>
    <t xml:space="preserve">115167</t>
  </si>
  <si>
    <t xml:space="preserve">0200-35567</t>
  </si>
  <si>
    <t xml:space="preserve">RING,CLAMPING,AL,200MM,O.OH,NOTCH NEW</t>
  </si>
  <si>
    <t xml:space="preserve">115002</t>
  </si>
  <si>
    <t xml:space="preserve">0200-35579</t>
  </si>
  <si>
    <t xml:space="preserve">INSERT,CHB TxZ NEW</t>
  </si>
  <si>
    <t xml:space="preserve">115252</t>
  </si>
  <si>
    <t xml:space="preserve">0200-35597</t>
  </si>
  <si>
    <t xml:space="preserve">FOCUS RING, 145 mm, JEIDA R2 C NEW</t>
  </si>
  <si>
    <t xml:space="preserve">115109</t>
  </si>
  <si>
    <t xml:space="preserve">0200-35782</t>
  </si>
  <si>
    <t xml:space="preserve">SHADOW RING, 200MM FLAT, SI/QT NEW</t>
  </si>
  <si>
    <t xml:space="preserve">115128</t>
  </si>
  <si>
    <t xml:space="preserve">0200-36105</t>
  </si>
  <si>
    <t xml:space="preserve">CHAMBER INSERT 200MM TXZ CIP [REFURBISHED]</t>
  </si>
  <si>
    <t xml:space="preserve">114862</t>
  </si>
  <si>
    <t xml:space="preserve">0200-36524</t>
  </si>
  <si>
    <t xml:space="preserve">LINER, LID, TXZ NEW</t>
  </si>
  <si>
    <t xml:space="preserve">115091</t>
  </si>
  <si>
    <t xml:space="preserve">0200-36609</t>
  </si>
  <si>
    <t xml:space="preserve">ISOLATOR, LID, TXZ NEW</t>
  </si>
  <si>
    <t xml:space="preserve">115092</t>
  </si>
  <si>
    <t xml:space="preserve">0200-39140</t>
  </si>
  <si>
    <t xml:space="preserve">RING, FOCUS, 195MM SNNF 1" 60DEG, DPS USED</t>
  </si>
  <si>
    <t xml:space="preserve">115093</t>
  </si>
  <si>
    <t xml:space="preserve">0200-40130</t>
  </si>
  <si>
    <t xml:space="preserve">COVER PLATE, 200, 1/2 THK NEW</t>
  </si>
  <si>
    <t xml:space="preserve">114772</t>
  </si>
  <si>
    <t xml:space="preserve">0200-40179</t>
  </si>
  <si>
    <t xml:space="preserve">DOME, SHIELDED SINGLE O-RING FIRE POLISH NEW</t>
  </si>
  <si>
    <t xml:space="preserve">115005</t>
  </si>
  <si>
    <t xml:space="preserve">0220-10753</t>
  </si>
  <si>
    <t xml:space="preserve">ASSY, CASS HNDLR MOD., SAMSUNG [NEW]</t>
  </si>
  <si>
    <t xml:space="preserve">114909</t>
  </si>
  <si>
    <t xml:space="preserve">0225-10106</t>
  </si>
  <si>
    <t xml:space="preserve">1/2 ATMOSPHERE SWITCH [USED]</t>
  </si>
  <si>
    <t xml:space="preserve">115253</t>
  </si>
  <si>
    <t xml:space="preserve">0226-00671</t>
  </si>
  <si>
    <t xml:space="preserve">115254</t>
  </si>
  <si>
    <t xml:space="preserve">0226-46993</t>
  </si>
  <si>
    <t xml:space="preserve">114964</t>
  </si>
  <si>
    <t xml:space="preserve">0227-06385</t>
  </si>
  <si>
    <t xml:space="preserve">ISOLATION TRANSFORMER W/TB, 20 USED</t>
  </si>
  <si>
    <t xml:space="preserve">18840</t>
  </si>
  <si>
    <t xml:space="preserve">0230-00101</t>
  </si>
  <si>
    <t xml:space="preserve">Precision etch 8300</t>
  </si>
  <si>
    <t xml:space="preserve">4252</t>
  </si>
  <si>
    <t xml:space="preserve">0230-09130</t>
  </si>
  <si>
    <t xml:space="preserve">P5000 SPARE PARTS IDENTIFIER</t>
  </si>
  <si>
    <t xml:space="preserve">18841</t>
  </si>
  <si>
    <t xml:space="preserve">Precision 5000 Mark II spare part identified</t>
  </si>
  <si>
    <t xml:space="preserve">18842</t>
  </si>
  <si>
    <t xml:space="preserve">0230-09259</t>
  </si>
  <si>
    <t xml:space="preserve">Precision 5000 Mark II Mainframe and support equipment manual</t>
  </si>
  <si>
    <t xml:space="preserve">115255</t>
  </si>
  <si>
    <t xml:space="preserve">0240-10290</t>
  </si>
  <si>
    <t xml:space="preserve">KIT SPARES ARM ASSY BASIC TOP MOUNT SUS NEW</t>
  </si>
  <si>
    <t xml:space="preserve">114965</t>
  </si>
  <si>
    <t xml:space="preserve">0240-20003</t>
  </si>
  <si>
    <t xml:space="preserve">0020-21025 0020-20356 APPLIED MATRIALS USED</t>
  </si>
  <si>
    <t xml:space="preserve">114966</t>
  </si>
  <si>
    <t xml:space="preserve">0020-21104 0020-21105 APPLIED MATRIALS USED</t>
  </si>
  <si>
    <t xml:space="preserve">114910</t>
  </si>
  <si>
    <t xml:space="preserve">(#1) 0020-21025 0020-20356 APPLIED REFURBISHED</t>
  </si>
  <si>
    <t xml:space="preserve">106207</t>
  </si>
  <si>
    <t xml:space="preserve">0240-20611 REV E</t>
  </si>
  <si>
    <t xml:space="preserve">KIT SLIT VALVE PER CHAMBER REV E</t>
  </si>
  <si>
    <t xml:space="preserve">114689</t>
  </si>
  <si>
    <t xml:space="preserve">0240-22012</t>
  </si>
  <si>
    <t xml:space="preserve">ASSY HOIST LIFTER [ASIS]</t>
  </si>
  <si>
    <t xml:space="preserve">114688</t>
  </si>
  <si>
    <t xml:space="preserve">ASSY HOIST LIFTER [USED]</t>
  </si>
  <si>
    <t xml:space="preserve">115168</t>
  </si>
  <si>
    <t xml:space="preserve">0240-22486</t>
  </si>
  <si>
    <t xml:space="preserve">KIT WATER FL SW 5TH CH POS D [USED]</t>
  </si>
  <si>
    <t xml:space="preserve">114847</t>
  </si>
  <si>
    <t xml:space="preserve">0240-23164</t>
  </si>
  <si>
    <t xml:space="preserve">0010-23164 USED</t>
  </si>
  <si>
    <t xml:space="preserve">114743</t>
  </si>
  <si>
    <t xml:space="preserve">0240-30883</t>
  </si>
  <si>
    <t xml:space="preserve">APPLIED MATRIALS 0190-12490 COMPONENTS USED</t>
  </si>
  <si>
    <t xml:space="preserve">115129</t>
  </si>
  <si>
    <t xml:space="preserve">0240-33168</t>
  </si>
  <si>
    <t xml:space="preserve">(#1) MXP CHAMBER, VC USED</t>
  </si>
  <si>
    <t xml:space="preserve">115094</t>
  </si>
  <si>
    <t xml:space="preserve">(#2) 0021-09003 MXP CHAMBER, VC USED</t>
  </si>
  <si>
    <t xml:space="preserve">106218</t>
  </si>
  <si>
    <t xml:space="preserve">0240-70416 REV C</t>
  </si>
  <si>
    <t xml:space="preserve">KIT BLOW OUT VALVE PER CHAMBER</t>
  </si>
  <si>
    <t xml:space="preserve">114967</t>
  </si>
  <si>
    <t xml:space="preserve">0240-70602</t>
  </si>
  <si>
    <t xml:space="preserve">KIT, WIDEBODY CHAMBER BAKEOUT WITHOUT HT USED</t>
  </si>
  <si>
    <t xml:space="preserve">114791</t>
  </si>
  <si>
    <t xml:space="preserve">0240-75104</t>
  </si>
  <si>
    <t xml:space="preserve">SPARES, HDP BLADE WRIST ASSY W/CNTNR NEW</t>
  </si>
  <si>
    <t xml:space="preserve">114744</t>
  </si>
  <si>
    <t xml:space="preserve">0242-00555</t>
  </si>
  <si>
    <t xml:space="preserve">0010-70647 I+,LID,SCR DWN,KALREZ 2037,STD NEW</t>
  </si>
  <si>
    <t xml:space="preserve">114968</t>
  </si>
  <si>
    <t xml:space="preserve">0242-01644</t>
  </si>
  <si>
    <t xml:space="preserve">0010-36439 COMPONENTS USED</t>
  </si>
  <si>
    <t xml:space="preserve">114711</t>
  </si>
  <si>
    <t xml:space="preserve">0242-09033</t>
  </si>
  <si>
    <t xml:space="preserve">KIT, CO H.O.T. PACK, 484NM [REFURBISHED]</t>
  </si>
  <si>
    <t xml:space="preserve">114745</t>
  </si>
  <si>
    <t xml:space="preserve">0242-09036</t>
  </si>
  <si>
    <t xml:space="preserve">0010-30064 0010-10973 KIT, H.O.T. PACK, USED</t>
  </si>
  <si>
    <t xml:space="preserve">114712</t>
  </si>
  <si>
    <t xml:space="preserve">KIT, H.O.T. PACK, 387NM [REFURBISHED]</t>
  </si>
  <si>
    <t xml:space="preserve">114792</t>
  </si>
  <si>
    <t xml:space="preserve">0242-13107</t>
  </si>
  <si>
    <t xml:space="preserve">(#4) HEAT EXCHANGER FOR CVD CHAMBERS [ASIS]</t>
  </si>
  <si>
    <t xml:space="preserve">114793</t>
  </si>
  <si>
    <t xml:space="preserve">(#8) 0010-76542 AMAT-0 HEAT EXCHANGER [ASIS]</t>
  </si>
  <si>
    <t xml:space="preserve">114848</t>
  </si>
  <si>
    <t xml:space="preserve">0242-13441</t>
  </si>
  <si>
    <t xml:space="preserve">114920</t>
  </si>
  <si>
    <t xml:space="preserve">0242-23644</t>
  </si>
  <si>
    <t xml:space="preserve">KIT, HEATER JACKET, FINAL VALVES [NEW]</t>
  </si>
  <si>
    <t xml:space="preserve">115256</t>
  </si>
  <si>
    <t xml:space="preserve">0242-33587</t>
  </si>
  <si>
    <t xml:space="preserve">114911</t>
  </si>
  <si>
    <t xml:space="preserve">0242-36510</t>
  </si>
  <si>
    <t xml:space="preserve">0020-42290  0020-70271 0020-70272 USED</t>
  </si>
  <si>
    <t xml:space="preserve">114691</t>
  </si>
  <si>
    <t xml:space="preserve">0242-38209</t>
  </si>
  <si>
    <t xml:space="preserve">0040-32680 PLATE,CLAMP LID USED</t>
  </si>
  <si>
    <t xml:space="preserve">115257</t>
  </si>
  <si>
    <t xml:space="preserve">0242-49487</t>
  </si>
  <si>
    <t xml:space="preserve">114623</t>
  </si>
  <si>
    <t xml:space="preserve">0242-75991</t>
  </si>
  <si>
    <t xml:space="preserve">0010-30012 KIT, MC ROBOT DRIVE ASSY P500 USED</t>
  </si>
  <si>
    <t xml:space="preserve">114849</t>
  </si>
  <si>
    <t xml:space="preserve">0242-76618</t>
  </si>
  <si>
    <t xml:space="preserve">CONT. MOD. VENT KIT A,B, AND C USED</t>
  </si>
  <si>
    <t xml:space="preserve">115258</t>
  </si>
  <si>
    <t xml:space="preserve">0270-20330</t>
  </si>
  <si>
    <t xml:space="preserve">CALIBRATION TOOL, ROBOT TO HEA NEW</t>
  </si>
  <si>
    <t xml:space="preserve">115259</t>
  </si>
  <si>
    <t xml:space="preserve">0270-35183</t>
  </si>
  <si>
    <t xml:space="preserve">SUSCEPTOR LEVELING TOOL [USED]</t>
  </si>
  <si>
    <t xml:space="preserve">115260</t>
  </si>
  <si>
    <t xml:space="preserve">0620-01407</t>
  </si>
  <si>
    <t xml:space="preserve">115261</t>
  </si>
  <si>
    <t xml:space="preserve">0660-00144</t>
  </si>
  <si>
    <t xml:space="preserve">CPCI QUAD HIGH SPEED SERIAL 3U CARD [NEW]</t>
  </si>
  <si>
    <t xml:space="preserve">115262</t>
  </si>
  <si>
    <t xml:space="preserve">0660-01106</t>
  </si>
  <si>
    <t xml:space="preserve">CARD PC C386 CPU 25 MHZ *MSG* [USED]</t>
  </si>
  <si>
    <t xml:space="preserve">115263</t>
  </si>
  <si>
    <t xml:space="preserve">0680-01253</t>
  </si>
  <si>
    <t xml:space="preserve">0680-01255 LT3600T  3P 600VAC 600A [ASIS]</t>
  </si>
  <si>
    <t xml:space="preserve">115264</t>
  </si>
  <si>
    <t xml:space="preserve">1110-00059</t>
  </si>
  <si>
    <t xml:space="preserve">3155094-007 MATCH MULTIFUNCTION ADPTR [ASIS]</t>
  </si>
  <si>
    <t xml:space="preserve">115265</t>
  </si>
  <si>
    <t xml:space="preserve">1140-01086</t>
  </si>
  <si>
    <t xml:space="preserve">wPWRSP DC 10KW SLAVE MAG 2012-043-Z USED</t>
  </si>
  <si>
    <t xml:space="preserve">115266</t>
  </si>
  <si>
    <t xml:space="preserve">1140-01088</t>
  </si>
  <si>
    <t xml:space="preserve">PWRSP DC 20KW MASTER ONLY 20K 2223-003-Y USED</t>
  </si>
  <si>
    <t xml:space="preserve">115267</t>
  </si>
  <si>
    <t xml:space="preserve">1150-01042</t>
  </si>
  <si>
    <t xml:space="preserve">PROBE OEM PB-90 INFRARED PCB NEW</t>
  </si>
  <si>
    <t xml:space="preserve">115268</t>
  </si>
  <si>
    <t xml:space="preserve">1200-0056</t>
  </si>
  <si>
    <t xml:space="preserve">OCCB/A2 APPLIED MATRIALS COMPONENTS [USED]</t>
  </si>
  <si>
    <t xml:space="preserve">115269</t>
  </si>
  <si>
    <t xml:space="preserve">1220-00012</t>
  </si>
  <si>
    <t xml:space="preserve">QUADBAR IONIZER, LINK PLATFORM [NEW]</t>
  </si>
  <si>
    <t xml:space="preserve">115270</t>
  </si>
  <si>
    <t xml:space="preserve">1400-00206</t>
  </si>
  <si>
    <t xml:space="preserve">SPECTROGRAPH SD1024DLC, SMA FIBER NOT WORKING</t>
  </si>
  <si>
    <t xml:space="preserve">115271</t>
  </si>
  <si>
    <t xml:space="preserve">1400-00207</t>
  </si>
  <si>
    <t xml:space="preserve">SD1024DL SPECTROGRAPH SD1024DL 120VAC ASIS</t>
  </si>
  <si>
    <t xml:space="preserve">115272</t>
  </si>
  <si>
    <t xml:space="preserve">SPECTROGRAPH SD1024DL 120VAC USED</t>
  </si>
  <si>
    <t xml:space="preserve">115273</t>
  </si>
  <si>
    <t xml:space="preserve">1410-01154</t>
  </si>
  <si>
    <t xml:space="preserve">HTR   208VAC 1.5W/SQ IN FOR FO NEW</t>
  </si>
  <si>
    <t xml:space="preserve">115274</t>
  </si>
  <si>
    <t xml:space="preserve">1410-01155</t>
  </si>
  <si>
    <t xml:space="preserve">HTR 208VAC 1.5W/SQ IN FOR FORELINE 005 NEW</t>
  </si>
  <si>
    <t xml:space="preserve">115275</t>
  </si>
  <si>
    <t xml:space="preserve">1410-01335</t>
  </si>
  <si>
    <t xml:space="preserve">HTR GATE VALVE 208VAC 301W DN 250 PEND ASIS</t>
  </si>
  <si>
    <t xml:space="preserve">115276</t>
  </si>
  <si>
    <t xml:space="preserve">HTR GATE VALVE 208VAC 301W DN 250 PEND NEW</t>
  </si>
  <si>
    <t xml:space="preserve">115277</t>
  </si>
  <si>
    <t xml:space="preserve">3020-01225</t>
  </si>
  <si>
    <t xml:space="preserve">0040-61050  APPLIED MATRIALS COMPONENTS ASIS</t>
  </si>
  <si>
    <t xml:space="preserve">115278</t>
  </si>
  <si>
    <t xml:space="preserve">3030-05758W</t>
  </si>
  <si>
    <t xml:space="preserve"> 3SLM AR 1/4VCR MTL N/C 9P-D [REFURBISHED]</t>
  </si>
  <si>
    <t xml:space="preserve">115279</t>
  </si>
  <si>
    <t xml:space="preserve">3030-05876</t>
  </si>
  <si>
    <t xml:space="preserve">MFC 8160 5SLM NH3 1/4VCR MTL [NEW]</t>
  </si>
  <si>
    <t xml:space="preserve">115280</t>
  </si>
  <si>
    <t xml:space="preserve">3030-07133</t>
  </si>
  <si>
    <t xml:space="preserve">MFC 1660 50SCCM N2 1/4VCR MT [NEW]</t>
  </si>
  <si>
    <t xml:space="preserve">115281</t>
  </si>
  <si>
    <t xml:space="preserve">3030-07177</t>
  </si>
  <si>
    <t xml:space="preserve">MFC 1660 500SCCM NF3 1/4VCR [NEW]</t>
  </si>
  <si>
    <t xml:space="preserve">115282</t>
  </si>
  <si>
    <t xml:space="preserve">3620-00159</t>
  </si>
  <si>
    <t xml:space="preserve">CONTROLLER,TMP,EXC120 [NEW]</t>
  </si>
  <si>
    <t xml:space="preserve">115283</t>
  </si>
  <si>
    <t xml:space="preserve">3620-01114</t>
  </si>
  <si>
    <t xml:space="preserve">8031348G001 wCPRSR HELIUM 50/60HZ [ASIS]</t>
  </si>
  <si>
    <t xml:space="preserve">115284</t>
  </si>
  <si>
    <t xml:space="preserve">3620-01124</t>
  </si>
  <si>
    <t xml:space="preserve">(#2) TURBOVAC 361C PUMP TURBO W/CERAMIC USED</t>
  </si>
  <si>
    <t xml:space="preserve">115285</t>
  </si>
  <si>
    <t xml:space="preserve">3620-01146</t>
  </si>
  <si>
    <t xml:space="preserve">(#1)  wPUMP CRYO COMPRESSOR 8510 FOR [ASIS]</t>
  </si>
  <si>
    <t xml:space="preserve">115286</t>
  </si>
  <si>
    <t xml:space="preserve">(#2) wPUMP CRYO COMPRESSOR 8510 FOR [ASIS]</t>
  </si>
  <si>
    <t xml:space="preserve">115287</t>
  </si>
  <si>
    <t xml:space="preserve">(#3) 8031315 wPUMP CRYO COMPRESSOR [ASIS]</t>
  </si>
  <si>
    <t xml:space="preserve">115288</t>
  </si>
  <si>
    <t xml:space="preserve">(#4) UNCLEAN 8031315 wPUMP CRYO [ASIS]</t>
  </si>
  <si>
    <t xml:space="preserve">115289</t>
  </si>
  <si>
    <t xml:space="preserve">3620-01456</t>
  </si>
  <si>
    <t xml:space="preserve">PUMP  TURBO VAC 400MC 100ISO-K FLNG [ASIS]</t>
  </si>
  <si>
    <t xml:space="preserve">115290</t>
  </si>
  <si>
    <t xml:space="preserve">3620-01457</t>
  </si>
  <si>
    <t xml:space="preserve">PUMP  TURBO VAC 400MCT 100ISO-K FLNG [ASIS]</t>
  </si>
  <si>
    <t xml:space="preserve">115291</t>
  </si>
  <si>
    <t xml:space="preserve">3690-00066</t>
  </si>
  <si>
    <t xml:space="preserve">115292</t>
  </si>
  <si>
    <t xml:space="preserve">3690-04602</t>
  </si>
  <si>
    <t xml:space="preserve">SCR BALL ASSY THROTTLE VALVE SST NEW</t>
  </si>
  <si>
    <t xml:space="preserve">115293</t>
  </si>
  <si>
    <t xml:space="preserve">3760-00127</t>
  </si>
  <si>
    <t xml:space="preserve">SLIDE RAIL TYPE KR30, 428MM STRK, 6MM LE NEW</t>
  </si>
  <si>
    <t xml:space="preserve">115294</t>
  </si>
  <si>
    <t xml:space="preserve">3800-01082</t>
  </si>
  <si>
    <t xml:space="preserve">RGLTR PRESS 0-100PSI 5PO RT NO-GAGE [NEW]</t>
  </si>
  <si>
    <t xml:space="preserve">106221</t>
  </si>
  <si>
    <t xml:space="preserve">3830-01018 REV </t>
  </si>
  <si>
    <t xml:space="preserve">LABEL LASERTAB MARKER WHT POLYEST LAM</t>
  </si>
  <si>
    <t xml:space="preserve">106222</t>
  </si>
  <si>
    <t xml:space="preserve">3830-01034 REV </t>
  </si>
  <si>
    <t xml:space="preserve">115295</t>
  </si>
  <si>
    <t xml:space="preserve">3870-00254</t>
  </si>
  <si>
    <t xml:space="preserve">MANUAL V_BLK DIAPH 3 WAY 1/4 VCR F/F/M [NEW]</t>
  </si>
  <si>
    <t xml:space="preserve">115296</t>
  </si>
  <si>
    <t xml:space="preserve">3870-01259</t>
  </si>
  <si>
    <t xml:space="preserve">VALVE LOCKOUT 1/8 ADAPTER [NEW]</t>
  </si>
  <si>
    <t xml:space="preserve">106224</t>
  </si>
  <si>
    <t xml:space="preserve">3870-01281 REV </t>
  </si>
  <si>
    <t xml:space="preserve">VALVE BLANK PLATE ASSY FOR SMC P/N NVJ11</t>
  </si>
  <si>
    <t xml:space="preserve">106225</t>
  </si>
  <si>
    <t xml:space="preserve">3870-01284</t>
  </si>
  <si>
    <t xml:space="preserve">VALVE BLANK PLATE ASSY FOR SMC P/N NVJ3023</t>
  </si>
  <si>
    <t xml:space="preserve">115297</t>
  </si>
  <si>
    <t xml:space="preserve">3870-01713</t>
  </si>
  <si>
    <t xml:space="preserve">VALVE AIR ACTUATED INJCT CONT W/HTR 1/4 NEW</t>
  </si>
  <si>
    <t xml:space="preserve">115298</t>
  </si>
  <si>
    <t xml:space="preserve">3870-02373</t>
  </si>
  <si>
    <t xml:space="preserve">(UNCLEAN) VALVE EXH THROT 1-3/8ID X KF40 ASIS</t>
  </si>
  <si>
    <t xml:space="preserve">115299</t>
  </si>
  <si>
    <t xml:space="preserve">3870-02693</t>
  </si>
  <si>
    <t xml:space="preserve">PNEU ACTR CONFLA 10846-XE28-AAX2/0796 NEW</t>
  </si>
  <si>
    <t xml:space="preserve">115300</t>
  </si>
  <si>
    <t xml:space="preserve">3870-03804</t>
  </si>
  <si>
    <t xml:space="preserve">VALVE GATE, V-TEX L-MOTION, KALREZ 8575 NEW</t>
  </si>
  <si>
    <t xml:space="preserve">115301</t>
  </si>
  <si>
    <t xml:space="preserve">3930-01078</t>
  </si>
  <si>
    <t xml:space="preserve">CNTRL TURBO PUMP 100/240VAC SG 305W USED</t>
  </si>
  <si>
    <t xml:space="preserve">115302</t>
  </si>
  <si>
    <t xml:space="preserve">4020-01205</t>
  </si>
  <si>
    <t xml:space="preserve">FLTR IN-LINE GAS 3750PSIG 1/4VCR-M/M 5S [NEW]</t>
  </si>
  <si>
    <t xml:space="preserve">115304</t>
  </si>
  <si>
    <t xml:space="preserve">4060-00930</t>
  </si>
  <si>
    <t xml:space="preserve">115305</t>
  </si>
  <si>
    <t xml:space="preserve">4060-01172</t>
  </si>
  <si>
    <t xml:space="preserve">(#1) 0040-08403 0040-08404 MANIFOLD [ASIS]</t>
  </si>
  <si>
    <t xml:space="preserve">115306</t>
  </si>
  <si>
    <t xml:space="preserve">(#1) 0040-08403 0040-08404 MANIFOLD [USED]</t>
  </si>
  <si>
    <t xml:space="preserve">116421</t>
  </si>
  <si>
    <t xml:space="preserve">5500 Endura HP (Manual)</t>
  </si>
  <si>
    <t xml:space="preserve">Customer Engineering Special Proceedures</t>
  </si>
  <si>
    <t xml:space="preserve">Manual</t>
  </si>
  <si>
    <t xml:space="preserve">An original manual from Applied Materials. It includes the following 
proceedures:-
0220-20495 NESLAB CRYO COMP HARDWIRE
0220-20507 RESISTIVITY METER
0220-20586 LABELS, HI TEMP SURFACE
0220-20640 TI SPECIFIC WAFER FITTINGS
0220-20646 GAS PANEL LABELS
0220-20650 TI SPECIFIC GAS/AIR/EXHAUST FITTINGS
0220-20684 2 INCH NW50 FLG FOR 2 IN VACUUM
0220-22000 150 MM TIN W/B 101 PROCESS KIT
0220-22302 CABLE, BRAIDED FOR RF 50 FT
0220-22308 RF GND ATTACHMENT MAINFRAME
0220-22314 ELECTRICAL ISOLATION, LOCKABLE
0220-22505 WATER FLOW SW/INDIC DEGAS C/D
0220-23186 CE MARK PROCEDURE
0220-23211 150MM 101 CO-TI 1:1 1/2 IN HEX PROC KIT
0220-23320 CRYO COMRESSOR CE MARK
0220-23321 PUMP FRAME CE MARK
0220-23322 NESLAB CE MARK
0220-23345 RETROFIT, HARNESS ASSY RESOURCE COVER</t>
  </si>
  <si>
    <t xml:space="preserve">115352</t>
  </si>
  <si>
    <t xml:space="preserve">9090-01415-04</t>
  </si>
  <si>
    <t xml:space="preserve">PFS CONTROL CHASSIS SANF [ASIS]</t>
  </si>
  <si>
    <t xml:space="preserve">11579</t>
  </si>
  <si>
    <t xml:space="preserve">9200 (Spares for)</t>
  </si>
  <si>
    <t xml:space="preserve">IMPLANTER 6 INCH TO 8 INCH CONVERSION KIT</t>
  </si>
  <si>
    <t xml:space="preserve">200 mm</t>
  </si>
  <si>
    <t xml:space="preserve">Wafer size conversion kit, 6 inch to 8 inch. Includes all parts needed, 
except the disk itself. CAN BE INSTALLED IF REQUIRED The kit includes:- QTY 
22 wafer holding disks QTY 17 end pieces for the wafer holders on the end 
of the disc arms QTY 3 l-shaped frames Various other assemblies as shown in 
the photos attached.</t>
  </si>
  <si>
    <t xml:space="preserve">70004</t>
  </si>
  <si>
    <t xml:space="preserve">Baccini</t>
  </si>
  <si>
    <t xml:space="preserve">Misc parts For Baccini Solar Line - see attached list</t>
  </si>
  <si>
    <t xml:space="preserve">Applied Materials Parts
58141008263 E306
Driver Clamp
58141008263
Clarinet Ampl Brush motor
52275112000
Plate for Buttons
52860003100
Double Encoder
CK59 55440111728
Crimped female contactor
55440116580
Female Contactor weld distelec
116 52860003100
Double Encoder CK59</t>
  </si>
  <si>
    <t xml:space="preserve">114580</t>
  </si>
  <si>
    <t xml:space="preserve">CENTURA DPS II AE MESA</t>
  </si>
  <si>
    <t xml:space="preserve">Dry Etcher with qty 3 process modules</t>
  </si>
  <si>
    <t xml:space="preserve">300 MM</t>
  </si>
  <si>
    <t xml:space="preserve">De-installed and warehoused. Can be inspected by appointment. Includes: 1. 
CENTURA DPS II AE MESA EFEM 2. CENTURA DPS II AE MESA TM MODULE 3. CENTURA 
DPS II AE MESA PM MODULE 4. CENTURA DPS II AE MESA PM MODULE 5. CENTURA DPS 
II AE MESA PM MODULE 6. CENTURA DPS II AE MESA AXIOM 7. CENTURA DPS II AE 
MESA AC RACK 8. CENTURA DPS II AE MESA SIDE STORAGE 9. CENTURA DPS II AE 
MESA COMPONENT &amp; LOAD PORT</t>
  </si>
  <si>
    <t xml:space="preserve">114581</t>
  </si>
  <si>
    <t xml:space="preserve">CENTURA DPS II AE MINOS</t>
  </si>
  <si>
    <t xml:space="preserve">Poly Dry Etcher with qty 3 process modules</t>
  </si>
  <si>
    <t xml:space="preserve">De-installed and warehoused. Can be inspected by appointment Items 
Included:Item 1: CENTURA DPS II AE MINOS EFEM Item 2: CENTURA DPS II AE 
MINOS TM MODULE Item 3: CENTURA DPS II AE MINOS PM MODULE Item 4: CENTURA 
DPS II AE MINOS PM MODULE Item 5: CENTURA DPS II AE MINOS PM MODULE Item 6: 
CENTURA DPS II AE MINOS AXIOM Item 7: CENTURA DPS II AE MINOS AC RACK Item 
8: CENTURA DPS II AE MINOS SIDE STORAGE Item 9: CENTURA DPS II AE MINOS 
COMPONENT &amp; LOAD PORT Item 10: CENTURA DPS II AE MINOS COMPONENT &amp; LOAD 
PORT</t>
  </si>
  <si>
    <t xml:space="preserve">114569</t>
  </si>
  <si>
    <t xml:space="preserve">CENTURA DPS II AE-MINOS CHAMBER</t>
  </si>
  <si>
    <t xml:space="preserve">AMAT 300MM CENTURA DPS II POLY AE MINOS CHAMBER STP-A2503PV 65048-PH52-AFS1 </t>
  </si>
  <si>
    <t xml:space="preserve">114565</t>
  </si>
  <si>
    <t xml:space="preserve">114564</t>
  </si>
  <si>
    <t xml:space="preserve">114566</t>
  </si>
  <si>
    <t xml:space="preserve">AMAT 300MM CENTURA DPS II POLY AE MINOS CHAMBER STP-A2503PV 65048-PH52-AFS1 0190-23623 0190-27576W </t>
  </si>
  <si>
    <t xml:space="preserve">114563</t>
  </si>
  <si>
    <t xml:space="preserve">AMAT 300MM CENTURA DPS II POLY AE MINOS CHAMBER STP-A2503PV 65048-PH52-AFS1 0190-27576W 0190-27577W </t>
  </si>
  <si>
    <t xml:space="preserve">114567</t>
  </si>
  <si>
    <t xml:space="preserve">AMAT 300MM CENTURA DPS II POLY AE MINOS CHAMBER STP-A2503PV 65048-PH52-AFS1 0190-27577W </t>
  </si>
  <si>
    <t xml:space="preserve">114568</t>
  </si>
  <si>
    <t xml:space="preserve">AMAT 300MM CENTURA DPS II POLY AE MINOS CHAMBER STP-A2503PV 65048-PH52-AFS1 0190-27595 0190-27577 </t>
  </si>
  <si>
    <t xml:space="preserve">114573</t>
  </si>
  <si>
    <t xml:space="preserve">CENTURA DPS II AE-MINOS GAS BOX</t>
  </si>
  <si>
    <t xml:space="preserve">AMAT 300MM CENTURA DPS II POLY AE MINOS GAS BOX</t>
  </si>
  <si>
    <t xml:space="preserve">114572</t>
  </si>
  <si>
    <t xml:space="preserve">114571</t>
  </si>
  <si>
    <t xml:space="preserve">114570</t>
  </si>
  <si>
    <t xml:space="preserve">114582</t>
  </si>
  <si>
    <t xml:space="preserve">CENTURA EMAX CT+</t>
  </si>
  <si>
    <t xml:space="preserve">De-installed and warehoused. Can be inspected by appointment Items 
Included: Item 1: CENTURA EMAX CT+ EFEM Item 2: CENTURA EMAX CT+ TM MODULE 
Item 3: CENTURA EMAX CT+ CHAMBER Item 4: CENTURA EMAX CT+ CHAMBER Item 5: 
CENTURA EMAX CT+ CHAMBER Item 6: CENTURA EMAX CT+ RF GENERATOR RACK Item 7: 
CENTURA EMAX CT+ AC RACK Item 8: CENTURA EMAX CT+ AC POWER Item 9: CENTURA 
EMAX CT+ COMPONENT</t>
  </si>
  <si>
    <t xml:space="preserve">106944</t>
  </si>
  <si>
    <t xml:space="preserve">Endura 5500 (spare parts)</t>
  </si>
  <si>
    <t xml:space="preserve">Endura 6" process kit for Degas Chamber, NEW, in AMAT box , including 0020-28140 and other parts</t>
  </si>
  <si>
    <t xml:space="preserve">150 mm</t>
  </si>
  <si>
    <t xml:space="preserve">Used AMAT Endura 6" process kit
Still in original AMAT Box
    * Box Model No: 84-9502-280
    * Shield Degas ARC Part No: 0020-28140
    * 6 INCH SHIELD DEGAS ARC SPRAYED
    * Clamp Ring DEGAS CHAMBER ARC SPRAYED Part No: 0020-28997
    * SS DC BIAS QTY 2
    * RETAINER RING QTY 4
    * SCREW SHOULDER QTY 2
    * INSULATOR DC BIAS CERAMIC QTY 2
    * System/Tool: AMAT Endura
    *  
    * SHIPPING WEIGHT AND DIMS: 16 KG 38 CM X 47 CM X 52 CM H</t>
  </si>
  <si>
    <t xml:space="preserve">114561</t>
  </si>
  <si>
    <t xml:space="preserve">ENDURA CL ALD CHAMBER</t>
  </si>
  <si>
    <t xml:space="preserve">AMAT 300MM ENDURA CL ALD CHAMBER 800170V2106 26340-QA21-0002 </t>
  </si>
  <si>
    <t xml:space="preserve">114559</t>
  </si>
  <si>
    <t xml:space="preserve">114562</t>
  </si>
  <si>
    <t xml:space="preserve">ENDURA CL PRECLEAN CHAMBER</t>
  </si>
  <si>
    <t xml:space="preserve">AMAT 300MM ENDURA CL PRECLEAN CHAMBER 0190-12085 8113160G001 10846-XE28-ANL1 </t>
  </si>
  <si>
    <t xml:space="preserve">114579</t>
  </si>
  <si>
    <t xml:space="preserve">AMAT 300MM ENDURA CL PRECLEAN CHAMBER TURBOVAC 100C</t>
  </si>
  <si>
    <t xml:space="preserve">114578</t>
  </si>
  <si>
    <t xml:space="preserve">AMAT 300MM ENDURA CL PRECLEAN CHAMBER TURBOVAC 100C 10846-XE28-ANL1 3870-03969 0010-31158 0010-17690 0010-21748W</t>
  </si>
  <si>
    <t xml:space="preserve">114577</t>
  </si>
  <si>
    <t xml:space="preserve">ENDURA CL PVD CHAMBER</t>
  </si>
  <si>
    <t xml:space="preserve">AMAT 300MM ENDURA CL PVD CHAMBER 0010-23066 0190-12086 8113212G001 10846-XE28-ANL1 </t>
  </si>
  <si>
    <t xml:space="preserve">114557</t>
  </si>
  <si>
    <t xml:space="preserve">ENDURA CL SIP CHAMBER</t>
  </si>
  <si>
    <t xml:space="preserve">AMAT 300MM ENDURA CL SIP CHAMBER 0010-16858 0190-27350 8113192G001 10846-XE28-AAX2 </t>
  </si>
  <si>
    <t xml:space="preserve">114558</t>
  </si>
  <si>
    <t xml:space="preserve">AMAT 300MM ENDURA CL SIP CHAMBER 0010-16858 0190-27350 8113192G001 10846-XE28-ANL1</t>
  </si>
  <si>
    <t xml:space="preserve">114575</t>
  </si>
  <si>
    <t xml:space="preserve">AMAT 300MM ENDURA CL SIP CHAMBER 0010-16986 0190-27350 0010-22569 8113192G001 10846-XE28-AAX2 </t>
  </si>
  <si>
    <t xml:space="preserve">114576</t>
  </si>
  <si>
    <t xml:space="preserve">ENDURA CL TI CHAMBER</t>
  </si>
  <si>
    <t xml:space="preserve">AMAT 300MM ENDURA CL TI CHAMBER 0190-27350 8113192G001 10846-XE28-AAX2 </t>
  </si>
  <si>
    <t xml:space="preserve">115356</t>
  </si>
  <si>
    <t xml:space="preserve">P5000 CHAMBER</t>
  </si>
  <si>
    <t xml:space="preserve">ETCH PROCESS CHAMBER [ASIS]</t>
  </si>
  <si>
    <t xml:space="preserve">114574</t>
  </si>
  <si>
    <t xml:space="preserve">PRODUCER GT 12 CHAMBER</t>
  </si>
  <si>
    <t xml:space="preserve">AMAT 300MM PRODUCER GT 12 CHAMBER</t>
  </si>
  <si>
    <t xml:space="preserve">114560</t>
  </si>
  <si>
    <t xml:space="preserve">115357</t>
  </si>
  <si>
    <t xml:space="preserve">TK2B-15HC</t>
  </si>
  <si>
    <t xml:space="preserve">AKT MULTILOOP CONTROLLER USED</t>
  </si>
  <si>
    <t xml:space="preserve">107327</t>
  </si>
  <si>
    <t xml:space="preserve">Vectra Match</t>
  </si>
  <si>
    <t xml:space="preserve">0010-21675
Price is ex-works SDI Fabsurplus UK office with 3 month warranty</t>
  </si>
  <si>
    <t xml:space="preserve">105858</t>
  </si>
  <si>
    <t xml:space="preserve">Applied Materials ®</t>
  </si>
  <si>
    <t xml:space="preserve">0021-35163 Rev A</t>
  </si>
  <si>
    <t xml:space="preserve">Gold-plated RTP Reflector Plate, 200 MM, chamber bottom</t>
  </si>
  <si>
    <t xml:space="preserve">Gold-plated 200 mm RTP Bottom Reflector Plate, from MOD 1 RTP Chamber, 
used, in good condition, see attached photos for details</t>
  </si>
  <si>
    <t xml:space="preserve">6537</t>
  </si>
  <si>
    <t xml:space="preserve">026-105-03 C</t>
  </si>
  <si>
    <t xml:space="preserve">P5000 Mk II Functional description training manual</t>
  </si>
  <si>
    <t xml:space="preserve">6540</t>
  </si>
  <si>
    <t xml:space="preserve">026-110-0B.1</t>
  </si>
  <si>
    <t xml:space="preserve">P5000 Mk II Functional description , practice exercises and basic maintenance proceedures</t>
  </si>
  <si>
    <t xml:space="preserve">105851</t>
  </si>
  <si>
    <t xml:space="preserve">079-018-05</t>
  </si>
  <si>
    <t xml:space="preserve">P5000 Mk II Functional description Practice exercises</t>
  </si>
  <si>
    <t xml:space="preserve">Proceedure Rev E May 1995</t>
  </si>
  <si>
    <t xml:space="preserve">6539</t>
  </si>
  <si>
    <t xml:space="preserve">079-102-0D</t>
  </si>
  <si>
    <t xml:space="preserve">P5000 Mk II Advanced preventive and corrective maintenance Apr 1996</t>
  </si>
  <si>
    <t xml:space="preserve">6538</t>
  </si>
  <si>
    <t xml:space="preserve">079-109-0D</t>
  </si>
  <si>
    <t xml:space="preserve">P5000 Mk II Advanced calibration proceedures manual Jan 1995</t>
  </si>
  <si>
    <t xml:space="preserve">110617</t>
  </si>
  <si>
    <t xml:space="preserve">0190-33289</t>
  </si>
  <si>
    <t xml:space="preserve">RTP CHAMBER  LAMP</t>
  </si>
  <si>
    <t xml:space="preserve">183</t>
  </si>
  <si>
    <t xml:space="preserve">USED RTP chamber lamp; Q.TY 183.
THESE LAMPS HAVE BEEN USED, SO WE DON'T KNOW IF THEY ARE IN WORKING 
CONDITION OR NOT.</t>
  </si>
  <si>
    <t xml:space="preserve">105853</t>
  </si>
  <si>
    <t xml:space="preserve">0230-00103</t>
  </si>
  <si>
    <t xml:space="preserve">Precision Etch 8300 Corrective Maintenance Rev 3 </t>
  </si>
  <si>
    <t xml:space="preserve">Proceedure on cleanroom paper, Rev 3 May 1990</t>
  </si>
  <si>
    <t xml:space="preserve">6536</t>
  </si>
  <si>
    <t xml:space="preserve">0230-09258 B</t>
  </si>
  <si>
    <t xml:space="preserve">P5000 Mk II Mainfame support and equipment manual cleanroom July 1994</t>
  </si>
  <si>
    <t xml:space="preserve">105852</t>
  </si>
  <si>
    <t xml:space="preserve">0230-09258B</t>
  </si>
  <si>
    <t xml:space="preserve">P5000 Mk II Mainframe and Support Equipment Manual</t>
  </si>
  <si>
    <t xml:space="preserve">On Cleanroom Paper
Proceedure 010-102-0B Rev B July 1994
 </t>
  </si>
  <si>
    <t xml:space="preserve">105854</t>
  </si>
  <si>
    <t xml:space="preserve">0230-20005</t>
  </si>
  <si>
    <t xml:space="preserve">Endura Operations and Programming Training Course Student Workbook</t>
  </si>
  <si>
    <t xml:space="preserve">Proceedure Rev B Sep 1993</t>
  </si>
  <si>
    <t xml:space="preserve">32217</t>
  </si>
  <si>
    <t xml:space="preserve">ASAHI TOOLS</t>
  </si>
  <si>
    <t xml:space="preserve">K-2</t>
  </si>
  <si>
    <t xml:space="preserve">PRECISION WRENCH</t>
  </si>
  <si>
    <t xml:space="preserve">PARTS</t>
  </si>
  <si>
    <t xml:space="preserve">FROM NITTO HR AND DR8500</t>
  </si>
  <si>
    <t xml:space="preserve">83894</t>
  </si>
  <si>
    <t xml:space="preserve">77168</t>
  </si>
  <si>
    <t xml:space="preserve">Asco</t>
  </si>
  <si>
    <t xml:space="preserve">SC8210G004</t>
  </si>
  <si>
    <t xml:space="preserve">Solenoid Valve, 1 In, Orifice 1 In, Brass</t>
  </si>
  <si>
    <t xml:space="preserve">ASCO SC8210G004, Solenoid Valve, 1 In, Orifice 1 In, Brass
New in Box, Ships from our Boerne, TX Warehouse</t>
  </si>
  <si>
    <t xml:space="preserve">83571</t>
  </si>
  <si>
    <t xml:space="preserve">SC8210G93</t>
  </si>
  <si>
    <t xml:space="preserve">Solenoid Valve, </t>
  </si>
  <si>
    <t xml:space="preserve">  ASCO SC8210G93 Red Hat, Solenoid Valve, , Brass
New in Box, Ships from our Boerne, TX Warehouse</t>
  </si>
  <si>
    <t xml:space="preserve">115381</t>
  </si>
  <si>
    <t xml:space="preserve">ASE</t>
  </si>
  <si>
    <t xml:space="preserve">AMV-10000GLX-T </t>
  </si>
  <si>
    <t xml:space="preserve">AUTOMATIC IMPEDANCE MATCHING UNIT [ASIS]</t>
  </si>
  <si>
    <t xml:space="preserve">81828</t>
  </si>
  <si>
    <t xml:space="preserve">ASM</t>
  </si>
  <si>
    <t xml:space="preserve">2506556-21</t>
  </si>
  <si>
    <t xml:space="preserve">Processor DTC PCB</t>
  </si>
  <si>
    <t xml:space="preserve">ASM 2506556 Processor DTC board, march 2010 vintage
REV A.
Used, working , sold as-is. See photos for details, etc.
Located in our AVEZZANO 67051 ITALY warehouse   </t>
  </si>
  <si>
    <t xml:space="preserve">81827</t>
  </si>
  <si>
    <t xml:space="preserve">2890224-21</t>
  </si>
  <si>
    <t xml:space="preserve">Converter DTC</t>
  </si>
  <si>
    <t xml:space="preserve">2-port DEB-8025 Data acquisition Board. with manual
Located in AVEZZANO 67051 ITALYwarehouse</t>
  </si>
  <si>
    <t xml:space="preserve">109104</t>
  </si>
  <si>
    <t xml:space="preserve">AS899 (Spare Parts)</t>
  </si>
  <si>
    <t xml:space="preserve">Stock of Spare Parts for ASM Die Sorters / Pick and place Die Bonders</t>
  </si>
  <si>
    <t xml:space="preserve">51</t>
  </si>
  <si>
    <t xml:space="preserve">Set of spare parts for ASM AS 899 Die Sorter / Pick and Place Die Bonders.
Please refer to the below list for details.
Will Ship to you from our Avezzano (AQ) 67051 Italy location
Photos of these parts are available on request.
Manufacturer    Model    Description
ASM    AS 899 (Spares)    Ionizing Blower Model 6432 E
ASM    AS 899 (Spares)    Linear Solenoid Driver III (104722924)
ASM    AS 899 (Spares)    Linear Solenoid Driver III (104722925)
ASM    AS 899 (Spares)    2 pcs. Circuit Board (64-20915B)
ASM    AS 899 (Spares)    Joystick with cable
ASM    AS 899 (Spares)    Lighting Module Assy (01-19690)
ASM    AS 899 (Spares)    Airflow and Pneumatic (BIA) (01-31375/A)
ASM    AS 899 (Spares)    Airflow and Pneumatic (BIA) (01-31375)
ASM    AS 899 (Spares)    Press &amp; Vac Solenoid Valve Assy ( 01-21435)
ASM    AS 899 (Spares)    AC SERVO Motor B21293
ASM    AS 899 (Spares)    AC SERVO Motor
ASM    AS 899 (Spares)    AC SERVO Motor B43325
ASM    AS 899 (Spares)    AC SERVO Motor C47778
ASM    AS 899 (Spares)    Small Optics Assy
ASM    AS 899 (Spares)    Small Optics Assy
ASM    AS 899 (Spares)    2 pcs. Circuit Board (64-2020E)
ASM    AS 899 (Spares)    Circuit Board (64-21019E)
ASM    AS 899 (Spares)    Circuit Board (64-20873B)
ASM    AS 899 (Spares)    Prober XYZ Table Assy
ASM    AS 899 (Spares)    Prober XYZ Table Assy
ASM    AS 899 (Spares)    Circuit Board (03-20847)
ASM    AS 899 (Spares)    Small Optics Assy
ASM    AS 899 (Spares)    Small Optics Assy with Holder
ASM    AS 899 (Spares)    Theta Wafer Ring Wafer Table Assy
ASM    AS 899 (Spares)    Test Plate 05850734
ASM    AS 899 (Spares)    Test Plate 05850734
ASM    AS 899 (Spares)    Test Plate 05850733
ASM    AS 899 (Spares)    Test Plate 05850733
ASM    AS 899 (Spares)    Look Connector EE-1001 (53-40037)
ASM    AS 899 (Spares)    BIAX ENC Assy (02-44503)
ASM    AS 899 (Spares)    Renishaw Cable RGH24Z15A00A
ASM    AS 899 (Spares)    Ball Frictionless Table NON (24-00206)
ASM    AS 899 (Spares)    Airflow Sensor Assy ( 01-25888)
ASM    AS 899 (Spares)    Airflow Sensor Assy
ASM    AS 899 (Spares)    Tool Kit (01-23691)
ASM    AS 899 (Spares)    Reflector Kit (01-30610)
ASM    AS 899 (Spares)    Manometer for Pressure Compensation
ASM    AS 899 (Spares)    Pick &amp; Place unit
ASM    AS 899 (Spares)    Pick &amp; Place unit
ASM    AS 899 (Spares)    Die sorter Rotating Arm Motor
ASM    AS 899 (Spares)    3 pcs. Metal Column
ASM    AS 899 (Spares)    Module 1-20.10
ASM    AS 899 (Spares)    Die Plate
ASM    AS 899 (Spares)    Cable
ASM    AS 899 (Spares)    Angle small
ASM    AS 899 (Spares)    Microscope single-eyed TS-C (132416)
ASM    AS 899 (Spares)    Keyboard and Mouse
ASM    AS 899 (Spares)    14 pcs. Chip Module and various cables
ASM    AS 899 (Spares)    Microscope Holder
ASM    AS 899 (Spares)    Angle with Test Plate
ASM    AS 899 (Spares)    20 pcs. Double modules and 12 pcs. Single modules</t>
  </si>
  <si>
    <t xml:space="preserve">109942</t>
  </si>
  <si>
    <t xml:space="preserve">Astec</t>
  </si>
  <si>
    <t xml:space="preserve">9N24-32-372-FQ-3</t>
  </si>
  <si>
    <t xml:space="preserve">Sold Ex-Works, UK Office , Part Number:080-25459-011</t>
  </si>
  <si>
    <t xml:space="preserve">83558</t>
  </si>
  <si>
    <t xml:space="preserve">VS1-D8-02 (-436-CE)</t>
  </si>
  <si>
    <t xml:space="preserve">Power Supply 1500 watts</t>
  </si>
  <si>
    <t xml:space="preserve"> Removed from Credence Duo SX Tester in working condition
 </t>
  </si>
  <si>
    <t xml:space="preserve">81873</t>
  </si>
  <si>
    <t xml:space="preserve">VS1-L3-02 (-335-CE)</t>
  </si>
  <si>
    <t xml:space="preserve"> Removed from Credence Duo SX Tester in working condition.
 </t>
  </si>
  <si>
    <t xml:space="preserve">83557</t>
  </si>
  <si>
    <t xml:space="preserve">VS1-L3-02 (-435-CE)</t>
  </si>
  <si>
    <t xml:space="preserve">81876</t>
  </si>
  <si>
    <t xml:space="preserve">VS1-L5-02 (-452-ce)</t>
  </si>
  <si>
    <t xml:space="preserve">    Power Supply, removed from working service from Credence Duo SX tester. 
Located in our Boerne, TX Warehouse    </t>
  </si>
  <si>
    <t xml:space="preserve">82227</t>
  </si>
  <si>
    <t xml:space="preserve">VS3-C2-C2-02</t>
  </si>
  <si>
    <t xml:space="preserve">Power Supply 2000 watts (-450-CE) 5.2V FOR CREDENCE DUO TESTER</t>
  </si>
  <si>
    <t xml:space="preserve">Power Supply 2000 watts, This power supply is wrapped in static wrap, 
tested, and appears to have never been used. Like new. 
CREDENCE 5.2 V PSU
 </t>
  </si>
  <si>
    <t xml:space="preserve">82176</t>
  </si>
  <si>
    <t xml:space="preserve">VS3-C2-C2-C2</t>
  </si>
  <si>
    <t xml:space="preserve">Power Supply 2000 watts (-450-CE)</t>
  </si>
  <si>
    <t xml:space="preserve">  Power Supply 2000 watts, removed from working service from Credence Duo 
SX tester. Located in our Boerne, TX Warehouse  </t>
  </si>
  <si>
    <t xml:space="preserve">83556</t>
  </si>
  <si>
    <t xml:space="preserve">VS3-C8-A8-02 (-451-CE)</t>
  </si>
  <si>
    <t xml:space="preserve">Power Supply 2000 watts FOR CREDENCE DUO TEST SYSTEM</t>
  </si>
  <si>
    <t xml:space="preserve">Power Supply 2000 watts, removed from working service from Credence Duo SX 
tester. Located in our AVEZZANO 67051 ITALY Warehouse  </t>
  </si>
  <si>
    <t xml:space="preserve">81875</t>
  </si>
  <si>
    <t xml:space="preserve">VS3-D4-B4-22 (-447-ce)</t>
  </si>
  <si>
    <t xml:space="preserve">Power Supply I/P 115-230 VAC/15A O/P 15V DC 120A 2000 W</t>
  </si>
  <si>
    <t xml:space="preserve">Astec Model: VS3-D4-B4-22 (-447-CE)
Power Supply 2000 watts
ASTEC P/N 73-190-4047CE
INPUT: 115-230V, 15A MAX 50/60/400 HZ
OUTPUT: 15.0V DC 120.0 A
CREDENCE P/N 119-6068-02
Removed from a working Credence Duo SX test System.
Tested, working condition (See attached photo)
Located in Avezzano, 67051 Italy.
weight 7.2 kg dims 21 cm x 33 cm x 14 cm</t>
  </si>
  <si>
    <t xml:space="preserve">80315</t>
  </si>
  <si>
    <t xml:space="preserve">VS3-D8-D8-02</t>
  </si>
  <si>
    <t xml:space="preserve">Power Supply 2000 watts for Credence Duo SX tester</t>
  </si>
  <si>
    <t xml:space="preserve">  Power Supply 2000 watts, removed from working service from Credence Duo 
SX tester. Located in our Avezzano, 67051 Italy Warehouse  </t>
  </si>
  <si>
    <t xml:space="preserve">53270</t>
  </si>
  <si>
    <t xml:space="preserve">Astec Powertec</t>
  </si>
  <si>
    <t xml:space="preserve">9K2-300-372</t>
  </si>
  <si>
    <t xml:space="preserve">Super Switcher Power Supply </t>
  </si>
  <si>
    <t xml:space="preserve">AC Input 115V/220V 20A/15A/ Output: 2V 300A Vintage 1994 Qty 2 Available
Megatest Part 114060
ASTEC PN 080-25433-1723</t>
  </si>
  <si>
    <t xml:space="preserve">109946</t>
  </si>
  <si>
    <t xml:space="preserve">Astech</t>
  </si>
  <si>
    <t xml:space="preserve">ATL-100RA </t>
  </si>
  <si>
    <t xml:space="preserve">Sold Ex-Works, UK Office , Part Number:ATL-100RA 115V</t>
  </si>
  <si>
    <t xml:space="preserve">109945</t>
  </si>
  <si>
    <t xml:space="preserve">109944</t>
  </si>
  <si>
    <t xml:space="preserve">109943</t>
  </si>
  <si>
    <t xml:space="preserve">109947</t>
  </si>
  <si>
    <t xml:space="preserve">ATL-100RA/DT2L</t>
  </si>
  <si>
    <t xml:space="preserve">Sold Ex-Works, UK Office , Part Number:3150093-002</t>
  </si>
  <si>
    <t xml:space="preserve">109948</t>
  </si>
  <si>
    <t xml:space="preserve">Astex </t>
  </si>
  <si>
    <t xml:space="preserve">AX2107</t>
  </si>
  <si>
    <t xml:space="preserve">Sold Ex-Works, UK Office , Part Number:SA2107CHAS</t>
  </si>
  <si>
    <t xml:space="preserve">84765</t>
  </si>
  <si>
    <t xml:space="preserve">Asyst</t>
  </si>
  <si>
    <t xml:space="preserve">1150-V1315S</t>
  </si>
  <si>
    <t xml:space="preserve">SMIF Load port 150mm for Lam 4620</t>
  </si>
  <si>
    <t xml:space="preserve">150 MM</t>
  </si>
  <si>
    <t xml:space="preserve">ASYST BROOKS 1150-V131S 150mm SMIF load port
See photos for condition.
Qty 2 available.
Were in use with LAM 4620
Located in our Avezzano, Italy warehouse</t>
  </si>
  <si>
    <t xml:space="preserve">95404</t>
  </si>
  <si>
    <t xml:space="preserve">ASYST BROOKS 1150-V131S 150mm SMIF load port
Were in use with LAM 4620
</t>
  </si>
  <si>
    <t xml:space="preserve">77184</t>
  </si>
  <si>
    <t xml:space="preserve">Athena</t>
  </si>
  <si>
    <t xml:space="preserve">16C-B-S-0-23-00</t>
  </si>
  <si>
    <t xml:space="preserve">Temperature / Process controller</t>
  </si>
  <si>
    <t xml:space="preserve">Brand new in box, Electroheat Engineering
Athena 16C-B-S-0-23-00 With manual
</t>
  </si>
  <si>
    <t xml:space="preserve">72120</t>
  </si>
  <si>
    <t xml:space="preserve">Axcelis</t>
  </si>
  <si>
    <t xml:space="preserve">17S2467</t>
  </si>
  <si>
    <t xml:space="preserve">DISK</t>
  </si>
  <si>
    <t xml:space="preserve">At the warehouse of Fabsurplus Italy, location Avezzano 67051 Italy.See 
attached photos for condition.</t>
  </si>
  <si>
    <t xml:space="preserve">114255</t>
  </si>
  <si>
    <t xml:space="preserve">6200-AV</t>
  </si>
  <si>
    <t xml:space="preserve">ORIGINAL COPY OF MEDIUM CURRENT ION IMPLANTER SOFTWARE DISKS, S/W VERSIONS V5.2.4 AND V4.10</t>
  </si>
  <si>
    <t xml:space="preserve">Software</t>
  </si>
  <si>
    <t xml:space="preserve">Original set of operating software disks and restore backup copies of 
Implanter software. See attached photo.
Including:-
Software Set, 6200AV control system, V5.2.4, Disks 1 to 4
Software Set, 6200AV control system, V4.10, Disks 1-5
Machine Config 1 and 2
FDISK.EXE</t>
  </si>
  <si>
    <t xml:space="preserve">72111</t>
  </si>
  <si>
    <t xml:space="preserve">17091650</t>
  </si>
  <si>
    <t xml:space="preserve">SUPP RACK   </t>
  </si>
  <si>
    <t xml:space="preserve">98713</t>
  </si>
  <si>
    <t xml:space="preserve">Wafer Boats</t>
  </si>
  <si>
    <t xml:space="preserve">Spares for Baccini solar cell manufacturing line</t>
  </si>
  <si>
    <t xml:space="preserve">100</t>
  </si>
  <si>
    <t xml:space="preserve">Solar</t>
  </si>
  <si>
    <t xml:space="preserve">These are the boarts for loading the square solar wafers into the different 
parts of the Baccini solar line. A quantity of around 100 of these boats is 
available. They are located at out Avezzano, Italy warehouse.</t>
  </si>
  <si>
    <t xml:space="preserve">109952</t>
  </si>
  <si>
    <t xml:space="preserve">Baxter</t>
  </si>
  <si>
    <t xml:space="preserve">Sealing Head</t>
  </si>
  <si>
    <t xml:space="preserve">Sealing</t>
  </si>
  <si>
    <t xml:space="preserve">Sold Ex-Works, UK Office , Part Number:FDR4363</t>
  </si>
  <si>
    <t xml:space="preserve">109951</t>
  </si>
  <si>
    <t xml:space="preserve">109950</t>
  </si>
  <si>
    <t xml:space="preserve">109949</t>
  </si>
  <si>
    <t xml:space="preserve">83589</t>
  </si>
  <si>
    <t xml:space="preserve">Beckhoff</t>
  </si>
  <si>
    <t xml:space="preserve">BK9000</t>
  </si>
  <si>
    <t xml:space="preserve">Ethernet interface module</t>
  </si>
  <si>
    <t xml:space="preserve">    Used good 
Will  Ship from our Boerne, TX Warehouse  </t>
  </si>
  <si>
    <t xml:space="preserve">84213</t>
  </si>
  <si>
    <t xml:space="preserve">KL9020</t>
  </si>
  <si>
    <t xml:space="preserve">Ethernet interface</t>
  </si>
  <si>
    <t xml:space="preserve">
</t>
  </si>
  <si>
    <t xml:space="preserve">83594</t>
  </si>
  <si>
    <t xml:space="preserve">KL9050</t>
  </si>
  <si>
    <t xml:space="preserve"> used beckhoff kl9050 plc module.  </t>
  </si>
  <si>
    <t xml:space="preserve">111381</t>
  </si>
  <si>
    <t xml:space="preserve">Beijing Sevenstar Huachuang Electronics Co .,Ltd ,China</t>
  </si>
  <si>
    <t xml:space="preserve">L42500-4/ZM (SPARES)</t>
  </si>
  <si>
    <t xml:space="preserve">Quartz boat for Two Tube horizontal PECVD</t>
  </si>
  <si>
    <t xml:space="preserve">as is fob</t>
  </si>
  <si>
    <t xml:space="preserve">QUARTZWARE FOR PECVD Machine Name : Two Tube horizontal PECVD Manufacturer 
: Beijing Sevenstar Huachuang Electronics Co .,Ltd ,China Model No. : 
L42500-4/ZM Capacity : 100pcs/run per tube" SEE ATTACHED PHOTOS FOR 
DETAILS.
QTY 2 AVAILABLE.</t>
  </si>
  <si>
    <t xml:space="preserve">84379</t>
  </si>
  <si>
    <t xml:space="preserve">BELDEN 8219</t>
  </si>
  <si>
    <t xml:space="preserve">IC20</t>
  </si>
  <si>
    <t xml:space="preserve">BRAID R-58A/U</t>
  </si>
  <si>
    <t xml:space="preserve">TYPE 50
OHM E34972
WEIGHT:200 GR.
DIMENSION WITHOUT CABLE: 6 X 14 X 2,5 (H)
</t>
  </si>
  <si>
    <t xml:space="preserve">77095</t>
  </si>
  <si>
    <t xml:space="preserve">Bellows</t>
  </si>
  <si>
    <t xml:space="preserve">10.01.06.00878 </t>
  </si>
  <si>
    <t xml:space="preserve">Bellows suction cup 9mm, pack of 12</t>
  </si>
  <si>
    <t xml:space="preserve">77170</t>
  </si>
  <si>
    <t xml:space="preserve">Bimba Ultran</t>
  </si>
  <si>
    <t xml:space="preserve">US-1734.125-S</t>
  </si>
  <si>
    <t xml:space="preserve">Rodless Pneumatic Actuator</t>
  </si>
  <si>
    <t xml:space="preserve">   
Rodless Pneumatic Actuator
100 MAX Pressure
New in Box, Ships from our Boerne, TX Warehouse</t>
  </si>
  <si>
    <t xml:space="preserve">77169</t>
  </si>
  <si>
    <t xml:space="preserve">US-1737.125-S</t>
  </si>
  <si>
    <t xml:space="preserve">109953</t>
  </si>
  <si>
    <t xml:space="preserve">Bird</t>
  </si>
  <si>
    <t xml:space="preserve">Bird Meter</t>
  </si>
  <si>
    <t xml:space="preserve">Sold Ex-Works, UK Office , Part Number:4421A-10-00-0</t>
  </si>
  <si>
    <t xml:space="preserve">109954</t>
  </si>
  <si>
    <t xml:space="preserve">Sold Ex-Works, UK Office , Part Number:8401</t>
  </si>
  <si>
    <t xml:space="preserve">109957</t>
  </si>
  <si>
    <t xml:space="preserve">Power Meter</t>
  </si>
  <si>
    <t xml:space="preserve">Sold Ex-Works, UK Office , Part Number:4421 , Secondary P/N:4421-106</t>
  </si>
  <si>
    <t xml:space="preserve">109956</t>
  </si>
  <si>
    <t xml:space="preserve">Sold Ex-Works, UK Office , Part Number:4421 , Secondary P/N:4421-102</t>
  </si>
  <si>
    <t xml:space="preserve">109966</t>
  </si>
  <si>
    <t xml:space="preserve">Sold Ex-Works, UK Office , Part Number:4025</t>
  </si>
  <si>
    <t xml:space="preserve">109965</t>
  </si>
  <si>
    <t xml:space="preserve">109964</t>
  </si>
  <si>
    <t xml:space="preserve">109963</t>
  </si>
  <si>
    <t xml:space="preserve">109962</t>
  </si>
  <si>
    <t xml:space="preserve">Sold Ex-Works, UK Office , Part Number:4024</t>
  </si>
  <si>
    <t xml:space="preserve">109961</t>
  </si>
  <si>
    <t xml:space="preserve">109960</t>
  </si>
  <si>
    <t xml:space="preserve">109959</t>
  </si>
  <si>
    <t xml:space="preserve">109955</t>
  </si>
  <si>
    <t xml:space="preserve">Bird </t>
  </si>
  <si>
    <t xml:space="preserve">Sold Ex-Works, UK Office , Part Number:4421 , Secondary P/N:4421-101</t>
  </si>
  <si>
    <t xml:space="preserve">109958</t>
  </si>
  <si>
    <t xml:space="preserve">83862</t>
  </si>
  <si>
    <t xml:space="preserve">Brooks</t>
  </si>
  <si>
    <t xml:space="preserve">TT1ENR2-1</t>
  </si>
  <si>
    <t xml:space="preserve">Brooks robot Teach Pendant TT1ENR2-1-TVS-ES-Brooks8</t>
  </si>
  <si>
    <t xml:space="preserve">Brooks TT1ENR2-1 robot controller with cable, used, tested good
sold as-is</t>
  </si>
  <si>
    <t xml:space="preserve">84378</t>
  </si>
  <si>
    <t xml:space="preserve">CABLE</t>
  </si>
  <si>
    <t xml:space="preserve">CABLE
WEIGHT:400 GR. FOR THREE
</t>
  </si>
  <si>
    <t xml:space="preserve">80256</t>
  </si>
  <si>
    <t xml:space="preserve">CAJON</t>
  </si>
  <si>
    <t xml:space="preserve">SS-4-VC0</t>
  </si>
  <si>
    <t xml:space="preserve">FITTINGS</t>
  </si>
  <si>
    <t xml:space="preserve">13</t>
  </si>
  <si>
    <t xml:space="preserve">80258</t>
  </si>
  <si>
    <t xml:space="preserve">SS-8-VC0-4</t>
  </si>
  <si>
    <t xml:space="preserve">77154</t>
  </si>
  <si>
    <t xml:space="preserve">Cam York</t>
  </si>
  <si>
    <t xml:space="preserve">ST-17-08-153-01-154-01-0-00-C010(1)</t>
  </si>
  <si>
    <t xml:space="preserve">Centrifual Blower Motor 1/8hp 220V 0.65A 30 RPM</t>
  </si>
  <si>
    <t xml:space="preserve">Centrifugal Blower motor 1/8HP
220V 0.65A 50/60Hz
R.P.M. 3330/2870
</t>
  </si>
  <si>
    <t xml:space="preserve">84244</t>
  </si>
  <si>
    <t xml:space="preserve">Camloc</t>
  </si>
  <si>
    <t xml:space="preserve">RS-182</t>
  </si>
  <si>
    <t xml:space="preserve">GAS SPRING</t>
  </si>
  <si>
    <t xml:space="preserve">RS-182-4677-V/30-119856-32/99
WEIGHT: 200 GR.
DIMENSION: 3 X 3 X 42 (H)
FOR EACH</t>
  </si>
  <si>
    <t xml:space="preserve">52262</t>
  </si>
  <si>
    <t xml:space="preserve">Canon</t>
  </si>
  <si>
    <t xml:space="preserve">6736A</t>
  </si>
  <si>
    <t xml:space="preserve">reticle handling robot for i4, iW, i5, i5+, EX3, EX4, EX5, EX6</t>
  </si>
  <si>
    <t xml:space="preserve">Reticle handler complete with CCD reader, see picture for details</t>
  </si>
  <si>
    <t xml:space="preserve">109091</t>
  </si>
  <si>
    <t xml:space="preserve">BG3-1045</t>
  </si>
  <si>
    <t xml:space="preserve">REF-MEM (RT) PCB for Canon FPA 5000 ES2, 3 etc.</t>
  </si>
  <si>
    <t xml:space="preserve">Will ship to you from our NAPOLI 80123 ITALY office.</t>
  </si>
  <si>
    <t xml:space="preserve">109094</t>
  </si>
  <si>
    <t xml:space="preserve">CANON</t>
  </si>
  <si>
    <t xml:space="preserve">BG3-3831</t>
  </si>
  <si>
    <t xml:space="preserve">RT-DSP PCB for Canon FPA 5000 ES2, 3 etc.</t>
  </si>
  <si>
    <t xml:space="preserve">2 weeks</t>
  </si>
  <si>
    <t xml:space="preserve">Will ship to you from our Napoli, italy 80123 warehouse.
Lead time: 2 ARO</t>
  </si>
  <si>
    <t xml:space="preserve">106231</t>
  </si>
  <si>
    <t xml:space="preserve">BG4-85??</t>
  </si>
  <si>
    <t xml:space="preserve">FPA 3000 series iA scope relay lens unit, Right</t>
  </si>
  <si>
    <t xml:space="preserve">see attached photos for details</t>
  </si>
  <si>
    <t xml:space="preserve">53066</t>
  </si>
  <si>
    <t xml:space="preserve">BG4-6365</t>
  </si>
  <si>
    <t xml:space="preserve">PPC Pellicle Particle Checker Unit for FPA3000 series stepper  iw i4 i5 ex3 ex4 ex5 ex6</t>
  </si>
  <si>
    <t xml:space="preserve">Complete subassembly of Pellicle Particle Checker, Boards inside P/N 
BG9-5989, BH8-1843-02, BG8-2693, suitable to work with Canon FPA3000 series</t>
  </si>
  <si>
    <t xml:space="preserve">103739</t>
  </si>
  <si>
    <t xml:space="preserve">BG4-6746 BH8-1822-01 BG8-2683</t>
  </si>
  <si>
    <t xml:space="preserve">WF/RC IF PCB FOR CANON I-LINE STEPPERS</t>
  </si>
  <si>
    <t xml:space="preserve">-Canon BH8-1822-01 BG4-6746 WF/RC-IF BG8-2683 PCB</t>
  </si>
  <si>
    <t xml:space="preserve">80249</t>
  </si>
  <si>
    <t xml:space="preserve">BG4-7001</t>
  </si>
  <si>
    <t xml:space="preserve">BH8-1837-01 PCB</t>
  </si>
  <si>
    <t xml:space="preserve">106230</t>
  </si>
  <si>
    <t xml:space="preserve">BG4-8594</t>
  </si>
  <si>
    <t xml:space="preserve">FPA 3000 SERIES iA scope objective lens unit, Left</t>
  </si>
  <si>
    <t xml:space="preserve">106229</t>
  </si>
  <si>
    <t xml:space="preserve">BG4-8595</t>
  </si>
  <si>
    <t xml:space="preserve">FPA 3000 series, iA scope objective lens unit, RIGHT</t>
  </si>
  <si>
    <t xml:space="preserve">106238</t>
  </si>
  <si>
    <t xml:space="preserve">BG4-8597</t>
  </si>
  <si>
    <t xml:space="preserve">Electro-optical assembly from iA scope for FPA 3000 Ex4,5,6</t>
  </si>
  <si>
    <t xml:space="preserve">see attached photos for details
 </t>
  </si>
  <si>
    <t xml:space="preserve">106232</t>
  </si>
  <si>
    <t xml:space="preserve">BG4-8599</t>
  </si>
  <si>
    <t xml:space="preserve">FPA 3000 series iA scope shutter unit</t>
  </si>
  <si>
    <t xml:space="preserve">106234</t>
  </si>
  <si>
    <t xml:space="preserve">BG4-8601</t>
  </si>
  <si>
    <t xml:space="preserve">Electro-Optical part for FPA 3000 EX series iA scope</t>
  </si>
  <si>
    <t xml:space="preserve">109092</t>
  </si>
  <si>
    <t xml:space="preserve">BG5-1262</t>
  </si>
  <si>
    <t xml:space="preserve">MLE-IF2 PCB for Canon FPA 5000 ES2, 3 etc.</t>
  </si>
  <si>
    <t xml:space="preserve">WILL SHIP FROM OUR NAPOLI, 80123 ITALY OFFICE</t>
  </si>
  <si>
    <t xml:space="preserve">53056</t>
  </si>
  <si>
    <t xml:space="preserve">BG9-4757, BH8--1069-01</t>
  </si>
  <si>
    <t xml:space="preserve">AF DRV board for Canon FPA 1550 series</t>
  </si>
  <si>
    <t xml:space="preserve">AF driver board from Canon 1550 MarkIV series</t>
  </si>
  <si>
    <t xml:space="preserve">53062</t>
  </si>
  <si>
    <t xml:space="preserve">BG9-4758, BG8-3109, BH8-1070-02</t>
  </si>
  <si>
    <t xml:space="preserve">SC/RC board for Canon FPA series steppers</t>
  </si>
  <si>
    <t xml:space="preserve">SC/RC board, fits into Canon 1550MarkIV series.
</t>
  </si>
  <si>
    <t xml:space="preserve">53063</t>
  </si>
  <si>
    <t xml:space="preserve">BG9-4759, BG8-3110, BH8-1070-02</t>
  </si>
  <si>
    <t xml:space="preserve">SC/RC board for Canon fpa</t>
  </si>
  <si>
    <t xml:space="preserve">SC/RC board, fits into Canon FPA SERIES</t>
  </si>
  <si>
    <t xml:space="preserve">53057</t>
  </si>
  <si>
    <t xml:space="preserve">BG9-4760, BG83111, BH8-1071-02</t>
  </si>
  <si>
    <t xml:space="preserve">SH/RH board for Canon FPA 1550</t>
  </si>
  <si>
    <t xml:space="preserve">SH/RH board suitable to Canon 1550MarkIV series</t>
  </si>
  <si>
    <t xml:space="preserve">53058</t>
  </si>
  <si>
    <t xml:space="preserve">BG9-4761, BG8-3112, BH8-1071-01</t>
  </si>
  <si>
    <t xml:space="preserve">SH/RH board FOR CANON FPA SERIES STEPPERS</t>
  </si>
  <si>
    <t xml:space="preserve">SH/RH board suitable for Canon FPA SERIES</t>
  </si>
  <si>
    <t xml:space="preserve">53061</t>
  </si>
  <si>
    <t xml:space="preserve">BG9-4762, BG8-3113, BH8-1072-01</t>
  </si>
  <si>
    <t xml:space="preserve">PA STAGE board for Canon 1550MarkIV series</t>
  </si>
  <si>
    <t xml:space="preserve">PA STAGE board suitable for Canon 1550MarkIV series</t>
  </si>
  <si>
    <t xml:space="preserve">53060</t>
  </si>
  <si>
    <t xml:space="preserve">BG9-4764, BH8-1074-01</t>
  </si>
  <si>
    <t xml:space="preserve">PA CCD board for Canon FPA series steppers</t>
  </si>
  <si>
    <t xml:space="preserve">PA CCD board, suitable for Canon 1550MarkIV series</t>
  </si>
  <si>
    <t xml:space="preserve">53059</t>
  </si>
  <si>
    <t xml:space="preserve">BH8-1073-01, BG9-4763, BG8-3114</t>
  </si>
  <si>
    <t xml:space="preserve">PA SENSER board</t>
  </si>
  <si>
    <t xml:space="preserve">PA SENSER board, suitable FOR Canon 1550MarkIV series.
REV D
SENSOR V1.0 4J BH6-1240</t>
  </si>
  <si>
    <t xml:space="preserve">53049</t>
  </si>
  <si>
    <t xml:space="preserve">BH8-1768-02</t>
  </si>
  <si>
    <t xml:space="preserve">Library Sub Board for Canon FPA 3000 series iw i4 i5 ex3 ex4 ex5 ex6</t>
  </si>
  <si>
    <t xml:space="preserve">Library brd suitable for Canon FPA3000 series (P/N BH8-1768-02, BG4-8194)</t>
  </si>
  <si>
    <t xml:space="preserve">53050</t>
  </si>
  <si>
    <t xml:space="preserve">BH8-1818-01</t>
  </si>
  <si>
    <t xml:space="preserve">LD/PD board for Canon FPA 3000 series iw i4 i5 ex3 ex4 ex5 ex6</t>
  </si>
  <si>
    <t xml:space="preserve">LD/PD board suitable for Canon FPA3000 series (P/N BH8-1818-01, BG4-6789)</t>
  </si>
  <si>
    <t xml:space="preserve">52347</t>
  </si>
  <si>
    <t xml:space="preserve">BH8-1938-01BG4-9386 BG8-2694</t>
  </si>
  <si>
    <t xml:space="preserve">CD90-CD PCB assembly</t>
  </si>
  <si>
    <t xml:space="preserve">Board suitable for Canon FPA3000 series</t>
  </si>
  <si>
    <t xml:space="preserve">52342</t>
  </si>
  <si>
    <t xml:space="preserve">BH8-1979-01</t>
  </si>
  <si>
    <t xml:space="preserve">EASLCD Board for Canon FPA 3000 series iw i4 i5 ex3 ex4 ex5 ex6</t>
  </si>
  <si>
    <t xml:space="preserve">EASLCD suitable for Canon FPA3000 Series  iw i4 i5 ex3 ex4 ex5 ex6</t>
  </si>
  <si>
    <t xml:space="preserve">52341</t>
  </si>
  <si>
    <t xml:space="preserve">BH8-1980-01</t>
  </si>
  <si>
    <t xml:space="preserve">EASRCD Board for Canon FPA 3000 series iw i4 i5 ex3 ex4 ex5 ex6</t>
  </si>
  <si>
    <t xml:space="preserve">EASRCD Board from Canon series</t>
  </si>
  <si>
    <t xml:space="preserve">52338</t>
  </si>
  <si>
    <t xml:space="preserve">BH8-2017-01</t>
  </si>
  <si>
    <t xml:space="preserve">IL3-CD-PCB for Canon FPA 3000 series iw i4 i5 ex3 ex4 ex5 ex6</t>
  </si>
  <si>
    <t xml:space="preserve">IL3-CD Board for FPA3000 Canon series for Canon FPA 3000 series iw i4 i5 
ex3 ex4 ex5 ex6</t>
  </si>
  <si>
    <t xml:space="preserve">52346</t>
  </si>
  <si>
    <t xml:space="preserve">BH8-2022-01, BG8-3369, BG4-8680</t>
  </si>
  <si>
    <t xml:space="preserve">EXP-CD Board for Canon FPA 3000 series iw i4 i5 ex3 ex4 ex5 ex6</t>
  </si>
  <si>
    <t xml:space="preserve">EXP-CD Board suitable for Canon FPA3000 series for Canon FPA 3000 series iw 
i4 i5 ex3 ex4 ex5 ex6</t>
  </si>
  <si>
    <t xml:space="preserve">52348</t>
  </si>
  <si>
    <t xml:space="preserve">BH8-2065-02, BG4-8805, BG8-3375</t>
  </si>
  <si>
    <t xml:space="preserve">CD90-INTLK board for Canon FPA 3000 series iw i4 i5 ex3 ex4 ex5 ex6</t>
  </si>
  <si>
    <t xml:space="preserve">CD90-INTLK board siutable for Canon FPA3000 series, (P/N BH8-2065-02, 
BG4-8805, BG8-3375</t>
  </si>
  <si>
    <t xml:space="preserve">109099</t>
  </si>
  <si>
    <t xml:space="preserve">BY8-4615-0E0</t>
  </si>
  <si>
    <t xml:space="preserve">Canon FPA3000 EX3 Maintenance Guide</t>
  </si>
  <si>
    <t xml:space="preserve">ORIGINAL CANON MANUAL ON CLEANROOM PAPER.
WILL SHIP TO YOUR FROM OUR WAREHOUSE IN AVEZZANO 67051 ITALY</t>
  </si>
  <si>
    <t xml:space="preserve">109100</t>
  </si>
  <si>
    <t xml:space="preserve">BY8-6168-1E0</t>
  </si>
  <si>
    <t xml:space="preserve">Canon FPA3000 EX3 Operation Guide - operational manual</t>
  </si>
  <si>
    <t xml:space="preserve">109101</t>
  </si>
  <si>
    <t xml:space="preserve">BY8-6168-2E0</t>
  </si>
  <si>
    <t xml:space="preserve">Canon FPA3000 EX3 Parameter Guide 1 - operational manual</t>
  </si>
  <si>
    <t xml:space="preserve">109102</t>
  </si>
  <si>
    <t xml:space="preserve">BY8-6168-3E0</t>
  </si>
  <si>
    <t xml:space="preserve">Canon FPA3000 EX3 Parameter Guide 2 - operational manual</t>
  </si>
  <si>
    <t xml:space="preserve">109098</t>
  </si>
  <si>
    <t xml:space="preserve">BY8-6168-4E0</t>
  </si>
  <si>
    <t xml:space="preserve">Canon FPA3000 EX3 Command Guide - operational manual</t>
  </si>
  <si>
    <t xml:space="preserve">109103</t>
  </si>
  <si>
    <t xml:space="preserve">BY8-6168-5E0</t>
  </si>
  <si>
    <t xml:space="preserve">Canon FPA3000 EX3 Reticle Guide2 - operational manual</t>
  </si>
  <si>
    <t xml:space="preserve">52367</t>
  </si>
  <si>
    <t xml:space="preserve">Chino ES-600</t>
  </si>
  <si>
    <t xml:space="preserve">Chart Recorder for Canon FPA 3000 series iw i4 i5 ex3 ex4 ex5 ex6</t>
  </si>
  <si>
    <t xml:space="preserve">Chart recorder suitable for Canon FPA3000 series, see pictures for details. 
see this link for technical details: chino.co.jp/english/products/06_ES.htm</t>
  </si>
  <si>
    <t xml:space="preserve">52153</t>
  </si>
  <si>
    <t xml:space="preserve">Chuck Tool</t>
  </si>
  <si>
    <t xml:space="preserve">Chuck Tool for EX3, EX4, i4, i5</t>
  </si>
  <si>
    <t xml:space="preserve">Chuck tool for maintenance EX3,ex4, I4, I5 scanner
S/N 142</t>
  </si>
  <si>
    <t xml:space="preserve">84774</t>
  </si>
  <si>
    <t xml:space="preserve">Chuck, 8 inch</t>
  </si>
  <si>
    <t xml:space="preserve">Wafer Chuck for EX3, EX4, i4, i5</t>
  </si>
  <si>
    <t xml:space="preserve">Chuck FOR 8 INCH compatible with Canon  EX3,ex4, I4, I5 scanner
</t>
  </si>
  <si>
    <t xml:space="preserve">80253</t>
  </si>
  <si>
    <t xml:space="preserve">FPA1550 MK4 (Spares)</t>
  </si>
  <si>
    <t xml:space="preserve">Targetting lenses for Canon Stepper qty 2</t>
  </si>
  <si>
    <t xml:space="preserve">qty 2 lenses as shown in the photos, from a Canon FPA 1550 Mark IV stepper.
Will ship to you from our warehouse in Avezzano (AQ) 67051 Italy.</t>
  </si>
  <si>
    <t xml:space="preserve">106205</t>
  </si>
  <si>
    <t xml:space="preserve">FPA3000 EX3 (Spares)</t>
  </si>
  <si>
    <t xml:space="preserve">Complete Illuminator Assembly</t>
  </si>
  <si>
    <t xml:space="preserve">The complete illuminator assembly for a Canon FPA3000 EX3 DUV scanner.
Removed from a working tool using the OEM proceedures.
THE MAIN PARTS INCLUDED IN THIS ASSEMBLY ARE:
Cond. lens
Fly lens
Masking blade
2nd zoom lens
2nd cond lens
Cool mirrors back and front x2
C- lens on front</t>
  </si>
  <si>
    <t xml:space="preserve">108968</t>
  </si>
  <si>
    <t xml:space="preserve">FPA3000 EX3/ i5 (Spares)</t>
  </si>
  <si>
    <t xml:space="preserve">Masking Blade Assembly</t>
  </si>
  <si>
    <t xml:space="preserve">Making blade assembly for a Canon FPA3000 EX3 DUV scanner. Also compatible 
with Canon FPA 3000 i5
Removed from a working tool using the OEM proceedures.
 </t>
  </si>
  <si>
    <t xml:space="preserve">84412</t>
  </si>
  <si>
    <t xml:space="preserve">FPA 1550 Mark IV (Spares)</t>
  </si>
  <si>
    <t xml:space="preserve">Wafer transfer arm INL-WS1 for CANON FPA 1550 MARK 4</t>
  </si>
  <si>
    <t xml:space="preserve">WEIGHT: KG.2,2
DIMENSION: 36 X 31 X 10 (H)</t>
  </si>
  <si>
    <t xml:space="preserve">106233</t>
  </si>
  <si>
    <t xml:space="preserve">FPA 3000 EX3/4/5/6 (Spares)</t>
  </si>
  <si>
    <t xml:space="preserve">FPA 3000 EX series iA scope lens unit</t>
  </si>
  <si>
    <t xml:space="preserve">53042</t>
  </si>
  <si>
    <t xml:space="preserve">FPA 3000 series</t>
  </si>
  <si>
    <t xml:space="preserve">Cassette holder for Canon FPA 3000 series iw i4 i5 ex3 ex4 ex5 ex6</t>
  </si>
  <si>
    <t xml:space="preserve">8" Cassette holder, see pictures for details</t>
  </si>
  <si>
    <t xml:space="preserve">53074</t>
  </si>
  <si>
    <t xml:space="preserve">FPA 3000 series extended reticle library</t>
  </si>
  <si>
    <t xml:space="preserve">extended reticle library</t>
  </si>
  <si>
    <t xml:space="preserve">6 inch</t>
  </si>
  <si>
    <t xml:space="preserve">Extended reticle library. Compatible with Canon EX series, i4, i5, i5+, 
i5++</t>
  </si>
  <si>
    <t xml:space="preserve">102059</t>
  </si>
  <si>
    <t xml:space="preserve">FPA 3000 SERIES i4 i5 EX3 EX4 EX5 EX6</t>
  </si>
  <si>
    <t xml:space="preserve">Various Spare Parts and lenses  for Canon FPA-3000 Series</t>
  </si>
  <si>
    <t xml:space="preserve">27</t>
  </si>
  <si>
    <t xml:space="preserve">All articles are stored in our warehouse in Avezzano, Italy
Manufacturer
Model
Description
Quantity
Vexta/Oriental Motor
PH554-NA Stepping
Stepping Motor
Olympus
BA124L001 DC Motor + D500 Gearhead
DC Motor and geardeah
2
ISSOKU
GTR080+208LC5
Miniature Ballscrew
Vexta/Oriental Motor
PX243-03A
Stepping Motor and Frame Lens
Vexta/Oriental Motor
C6415-0915
Stepping Motor and Precision Mechanic
Lenses
SEE PHOTOS
SEE PHOTOS
-</t>
  </si>
  <si>
    <t xml:space="preserve">52450</t>
  </si>
  <si>
    <t xml:space="preserve">Fuji Denso 4248-E921</t>
  </si>
  <si>
    <t xml:space="preserve">2 channels power supply module for Canon FPA 3000 series iw i4 i5 ex3 ex4 ex5 ex6</t>
  </si>
  <si>
    <t xml:space="preserve">2 channels power supply module both ch 5V-20A</t>
  </si>
  <si>
    <t xml:space="preserve">53045</t>
  </si>
  <si>
    <t xml:space="preserve">Fuji Electric PE-LA 5 D</t>
  </si>
  <si>
    <t xml:space="preserve">Inductive Linear Sensor for Canon FPA 3000 series iw i4 i5 ex3 ex4 ex5 ex6</t>
  </si>
  <si>
    <t xml:space="preserve">Inductive linear sensor module for Canon FPA 3000 series iw i4 i5 ex3 ex4 
ex5 ex6</t>
  </si>
  <si>
    <t xml:space="preserve">53046</t>
  </si>
  <si>
    <t xml:space="preserve">inductive linear sensor module for Canon FPA 3000 series iw i4 i5 ex3 ex4 
ex5 ex6</t>
  </si>
  <si>
    <t xml:space="preserve">53047</t>
  </si>
  <si>
    <t xml:space="preserve">52379</t>
  </si>
  <si>
    <t xml:space="preserve">FUJITSU DENSO 4247-E924</t>
  </si>
  <si>
    <t xml:space="preserve">1ch power supply module for Canon FPA 3000 series iw i4 i5 ex3 ex4 ex5 ex6</t>
  </si>
  <si>
    <t xml:space="preserve">1 channel power supply module, 24V 10A out</t>
  </si>
  <si>
    <t xml:space="preserve">52380</t>
  </si>
  <si>
    <t xml:space="preserve">Fujitsu Denso 4247-E924</t>
  </si>
  <si>
    <t xml:space="preserve">52381</t>
  </si>
  <si>
    <t xml:space="preserve">52384</t>
  </si>
  <si>
    <t xml:space="preserve">52448</t>
  </si>
  <si>
    <t xml:space="preserve">FUJITSU DENSO 4248-E922</t>
  </si>
  <si>
    <t xml:space="preserve">2 channels power supply module for canon fpa 3000 series </t>
  </si>
  <si>
    <t xml:space="preserve">2 channels power supply module, both channel 12V-8A</t>
  </si>
  <si>
    <t xml:space="preserve">52446</t>
  </si>
  <si>
    <t xml:space="preserve">Fujitsu Denso 4249-E922</t>
  </si>
  <si>
    <t xml:space="preserve">4 channel power supply module for Canon FPA 3000 series iw i4 i5 ex3 ex4 ex5 ex6</t>
  </si>
  <si>
    <t xml:space="preserve">4 channels power supply module 12V-1.5A each</t>
  </si>
  <si>
    <t xml:space="preserve">52447</t>
  </si>
  <si>
    <t xml:space="preserve">Fujitsu Denso 4249-E923</t>
  </si>
  <si>
    <t xml:space="preserve">4 channels power supply module 15V-1.5A each</t>
  </si>
  <si>
    <t xml:space="preserve">53020</t>
  </si>
  <si>
    <t xml:space="preserve">Fujitsu denso 4250-E921</t>
  </si>
  <si>
    <t xml:space="preserve">Hi-Voltage power supply for Canon FPA 3000 series iw i4 i5 ex3 ex4 ex5 ex6</t>
  </si>
  <si>
    <t xml:space="preserve">4 OUT channels 220-380VDC, 2,5KW</t>
  </si>
  <si>
    <t xml:space="preserve">53021</t>
  </si>
  <si>
    <t xml:space="preserve">Fujitsu Denso 4250-E921</t>
  </si>
  <si>
    <t xml:space="preserve">4 channels Hi voltage power supply 220-380VDC-2.5KW</t>
  </si>
  <si>
    <t xml:space="preserve">53023</t>
  </si>
  <si>
    <t xml:space="preserve">4 channels high voltage power supply, 220-380VDC, 2.5KW</t>
  </si>
  <si>
    <t xml:space="preserve">52382</t>
  </si>
  <si>
    <t xml:space="preserve">FUJITU DENSO 4247-E924</t>
  </si>
  <si>
    <t xml:space="preserve">1ch power supply module for  i4, iW, i5, i5+, EX3, EX4, EX5, EX6</t>
  </si>
  <si>
    <t xml:space="preserve">1 channel power supply module, 24V 10A out.
For models i4, iW, i5, i5+, EX3, EX4, EX5, EX6</t>
  </si>
  <si>
    <t xml:space="preserve">106237</t>
  </si>
  <si>
    <t xml:space="preserve">iA scope for FPA 3000 Ex4,5,6 (Spares)</t>
  </si>
  <si>
    <t xml:space="preserve">Issoku FG199 lead screw</t>
  </si>
  <si>
    <t xml:space="preserve">see attached photos for details
includes mounting flange as shown in the photos</t>
  </si>
  <si>
    <t xml:space="preserve">106235</t>
  </si>
  <si>
    <t xml:space="preserve">Texas Instruments MC780P CCD EX Camera (Left)</t>
  </si>
  <si>
    <t xml:space="preserve">106236</t>
  </si>
  <si>
    <t xml:space="preserve">Texas Instruments MC780P CCD EX Camera (Right)</t>
  </si>
  <si>
    <t xml:space="preserve">53032</t>
  </si>
  <si>
    <t xml:space="preserve">Omron APR-S</t>
  </si>
  <si>
    <t xml:space="preserve">Reverse Phase Relay for Canon FPA 3000 series iw i4 i5 ex3 ex4 ex5 ex6</t>
  </si>
  <si>
    <t xml:space="preserve">Reverse Phase Relay, see picture for details for Canon FPA 3000 series iw 
i4 i5 ex3 ex4 ex5 ex6</t>
  </si>
  <si>
    <t xml:space="preserve">103741</t>
  </si>
  <si>
    <t xml:space="preserve">ROCKY KS-112</t>
  </si>
  <si>
    <t xml:space="preserve">SCSI EXT PCB FOR CANON FPA  SERIES I-LINE STEPPERS</t>
  </si>
  <si>
    <t xml:space="preserve">-Canon / Rocky KS-112 SCSI EXT PCB
Also marked with the following markings:-
DS3695
6416
665C0475</t>
  </si>
  <si>
    <t xml:space="preserve">52365</t>
  </si>
  <si>
    <t xml:space="preserve">Shimaden SR25-2P-N-00699609</t>
  </si>
  <si>
    <t xml:space="preserve">PDI CONTROLLER for Canon FPA 3000 series iw i4 i5 ex3 ex4 ex5 ex6</t>
  </si>
  <si>
    <t xml:space="preserve">Temperature controller that fits in Canon FPA3000 series
canon pn y75-1143-000</t>
  </si>
  <si>
    <t xml:space="preserve">52366</t>
  </si>
  <si>
    <t xml:space="preserve">Temperature controller that fits ino Canon FPA3000 series
CANON P /N Y75-1143-000</t>
  </si>
  <si>
    <t xml:space="preserve">53041</t>
  </si>
  <si>
    <t xml:space="preserve">Wafer Cassette holder for FPA 3000 SERIES iw i4 i5 ex3 ex4 ex5 ex6</t>
  </si>
  <si>
    <t xml:space="preserve">8" cassette holder, see pictures for details</t>
  </si>
  <si>
    <t xml:space="preserve">52265</t>
  </si>
  <si>
    <t xml:space="preserve">video impedance adapter</t>
  </si>
  <si>
    <t xml:space="preserve">5 channel video impedance adapter</t>
  </si>
  <si>
    <t xml:space="preserve">Video swotch, video impedance adapter, 5 channels for Canon FPA3000 series, 
see pictures for details.</t>
  </si>
  <si>
    <t xml:space="preserve">52360</t>
  </si>
  <si>
    <t xml:space="preserve">Zenith ZPS-250</t>
  </si>
  <si>
    <t xml:space="preserve">Multiple voltage power supply 250Watts</t>
  </si>
  <si>
    <t xml:space="preserve">Multiple voltage power supply, submodule on Canon FPA3000 series</t>
  </si>
  <si>
    <t xml:space="preserve">83551</t>
  </si>
  <si>
    <t xml:space="preserve">Celerity</t>
  </si>
  <si>
    <t xml:space="preserve">UFC-1660</t>
  </si>
  <si>
    <t xml:space="preserve">MFC C2F6 5SLPM</t>
  </si>
  <si>
    <t xml:space="preserve">Used UFC-1660 with calibration data from 2009
RNG: 5SLPM
Gas: C2F6
includes port for monitoring via PC.
See photos.
</t>
  </si>
  <si>
    <t xml:space="preserve">109968</t>
  </si>
  <si>
    <t xml:space="preserve">Celtec</t>
  </si>
  <si>
    <t xml:space="preserve">CD1-12</t>
  </si>
  <si>
    <t xml:space="preserve">109967</t>
  </si>
  <si>
    <t xml:space="preserve">109970</t>
  </si>
  <si>
    <t xml:space="preserve">CK180-6</t>
  </si>
  <si>
    <t xml:space="preserve">109969</t>
  </si>
  <si>
    <t xml:space="preserve">109971</t>
  </si>
  <si>
    <t xml:space="preserve">CM13</t>
  </si>
  <si>
    <t xml:space="preserve">Sold Ex-Works, UK Office , Part Number:CM13-6</t>
  </si>
  <si>
    <t xml:space="preserve">77190</t>
  </si>
  <si>
    <t xml:space="preserve">Centrotherm</t>
  </si>
  <si>
    <t xml:space="preserve">Quartz Door</t>
  </si>
  <si>
    <t xml:space="preserve">Centrotherm/semco(?) Quartz Door, new</t>
  </si>
  <si>
    <t xml:space="preserve">New in the box, like new
Centrotherm quartz door, believed to have been made by Semco Engineering
 </t>
  </si>
  <si>
    <t xml:space="preserve">115382</t>
  </si>
  <si>
    <t xml:space="preserve">CHANG MIN CO., LTD.</t>
  </si>
  <si>
    <t xml:space="preserve">SR1000N </t>
  </si>
  <si>
    <t xml:space="preserve">AUTO CONTACT SYSTEM [ASIS]</t>
  </si>
  <si>
    <t xml:space="preserve">83874</t>
  </si>
  <si>
    <t xml:space="preserve">CKD</t>
  </si>
  <si>
    <t xml:space="preserve">M4SB080-M5</t>
  </si>
  <si>
    <t xml:space="preserve">AHM-850 SOLENOID VALVE</t>
  </si>
  <si>
    <t xml:space="preserve">D3-7-3
VOLTS: DC24V
WEIGHT: 250 GR.
DIMENSION: 10 CM. X 10 CM. X 7,5 CM. (H) FOR EACH
</t>
  </si>
  <si>
    <t xml:space="preserve">83870</t>
  </si>
  <si>
    <t xml:space="preserve">CKD CYCLINDER</t>
  </si>
  <si>
    <t xml:space="preserve">CSD2-L-32-20</t>
  </si>
  <si>
    <t xml:space="preserve">CYLYNDER</t>
  </si>
  <si>
    <t xml:space="preserve">0</t>
  </si>
  <si>
    <t xml:space="preserve">CKD CYLINDER
WEIGHT: 400 GR.
DIMENSION:5 CM. X 5 CM. X 6,5 CM.(H)</t>
  </si>
  <si>
    <t xml:space="preserve">83871</t>
  </si>
  <si>
    <t xml:space="preserve">CKD CYLINDER
WEIGHT: 150 GR.
DIMENSION:3 CM. X 3 CM. X 7 CM.(H)</t>
  </si>
  <si>
    <t xml:space="preserve">21122</t>
  </si>
  <si>
    <t xml:space="preserve">CLEAN ROOM TABLE</t>
  </si>
  <si>
    <t xml:space="preserve">CLEANROOM TABLE</t>
  </si>
  <si>
    <t xml:space="preserve">STEEL CLEANROOM TABLE</t>
  </si>
  <si>
    <t xml:space="preserve">DIMS: 50CM X 90CM X 60 CM (HEIGHT)
WEIGHT: ABOUT 20 KG
HAS AN EARTH POINT
LOCATED IN AVEZZANO, ITALY. Looks really post-industrial IMHO.</t>
  </si>
  <si>
    <t xml:space="preserve">109975</t>
  </si>
  <si>
    <t xml:space="preserve">Comdel</t>
  </si>
  <si>
    <t xml:space="preserve">CB300</t>
  </si>
  <si>
    <t xml:space="preserve">Sold Ex-Works, UK Office , Part Number:FP7114R3</t>
  </si>
  <si>
    <t xml:space="preserve">109974</t>
  </si>
  <si>
    <t xml:space="preserve">Sold Ex-Works, UK Office , Part Number:FP7114R2</t>
  </si>
  <si>
    <t xml:space="preserve">109973</t>
  </si>
  <si>
    <t xml:space="preserve">109972</t>
  </si>
  <si>
    <t xml:space="preserve">109995</t>
  </si>
  <si>
    <t xml:space="preserve">CB600</t>
  </si>
  <si>
    <t xml:space="preserve">Sold Ex-Works, UK Office , Part Number:FP7124R7</t>
  </si>
  <si>
    <t xml:space="preserve">109994</t>
  </si>
  <si>
    <t xml:space="preserve">Sold Ex-Works, UK Office , Part Number:FP7124R4</t>
  </si>
  <si>
    <t xml:space="preserve">109993</t>
  </si>
  <si>
    <t xml:space="preserve">Sold Ex-Works, UK Office , Part Number:FP7121R1</t>
  </si>
  <si>
    <t xml:space="preserve">109992</t>
  </si>
  <si>
    <t xml:space="preserve">110000</t>
  </si>
  <si>
    <t xml:space="preserve">CB600A</t>
  </si>
  <si>
    <t xml:space="preserve">Sold Ex-Works, UK Office , Part Number:FP7149R3</t>
  </si>
  <si>
    <t xml:space="preserve">109999</t>
  </si>
  <si>
    <t xml:space="preserve">Sold Ex-Works, UK Office , Part Number:FP7149R1</t>
  </si>
  <si>
    <t xml:space="preserve">109998</t>
  </si>
  <si>
    <t xml:space="preserve">109997</t>
  </si>
  <si>
    <t xml:space="preserve">109996</t>
  </si>
  <si>
    <t xml:space="preserve">110001</t>
  </si>
  <si>
    <t xml:space="preserve">CB600S</t>
  </si>
  <si>
    <t xml:space="preserve">Sold Ex-Works, UK Office , Part Number:FP7117R1</t>
  </si>
  <si>
    <t xml:space="preserve">109977</t>
  </si>
  <si>
    <t xml:space="preserve">CB4000</t>
  </si>
  <si>
    <t xml:space="preserve">Sold Ex-Works, UK Office , Part Number:FP7566R1</t>
  </si>
  <si>
    <t xml:space="preserve">109976</t>
  </si>
  <si>
    <t xml:space="preserve">Sold Ex-Works, UK Office , Part Number:FP7563R1</t>
  </si>
  <si>
    <t xml:space="preserve">109991</t>
  </si>
  <si>
    <t xml:space="preserve">CB5000</t>
  </si>
  <si>
    <t xml:space="preserve">Sold Ex-Works, UK Office , Part Number:FP7514RB , Secondary 
P/N:27-314671-00</t>
  </si>
  <si>
    <t xml:space="preserve">109990</t>
  </si>
  <si>
    <t xml:space="preserve">109989</t>
  </si>
  <si>
    <t xml:space="preserve">Sold Ex-Works, UK Office , Part Number:FP7511-01R1 , Secondary 
P/N:190005621</t>
  </si>
  <si>
    <t xml:space="preserve">109988</t>
  </si>
  <si>
    <t xml:space="preserve">Sold Ex-Works, UK Office , Part Number:FP7511-01R1 , Secondary 
P/N:190005621R</t>
  </si>
  <si>
    <t xml:space="preserve">109987</t>
  </si>
  <si>
    <t xml:space="preserve">109986</t>
  </si>
  <si>
    <t xml:space="preserve">109985</t>
  </si>
  <si>
    <t xml:space="preserve">109984</t>
  </si>
  <si>
    <t xml:space="preserve">109983</t>
  </si>
  <si>
    <t xml:space="preserve">109982</t>
  </si>
  <si>
    <t xml:space="preserve">109981</t>
  </si>
  <si>
    <t xml:space="preserve">109980</t>
  </si>
  <si>
    <t xml:space="preserve">109979</t>
  </si>
  <si>
    <t xml:space="preserve">109978</t>
  </si>
  <si>
    <t xml:space="preserve">Sold Ex-Works, UK Office , Part Number:FP7507R1</t>
  </si>
  <si>
    <t xml:space="preserve">110002</t>
  </si>
  <si>
    <t xml:space="preserve">CD-1500</t>
  </si>
  <si>
    <t xml:space="preserve">Sold Ex-Works, UK Office , Part Number:CD-1500/13.56/400</t>
  </si>
  <si>
    <t xml:space="preserve">110003</t>
  </si>
  <si>
    <t xml:space="preserve">CDX-1000</t>
  </si>
  <si>
    <t xml:space="preserve">Sold Ex-Works, UK Office , Part Number:FP5201R1 , Secondary P/N:0190-07242</t>
  </si>
  <si>
    <t xml:space="preserve">110004</t>
  </si>
  <si>
    <t xml:space="preserve">CLF 5000</t>
  </si>
  <si>
    <t xml:space="preserve">Sold Ex-Works, UK Office , Part Number:CLF 5000/400 , Secondary 
P/N:FP1540RD</t>
  </si>
  <si>
    <t xml:space="preserve">110005</t>
  </si>
  <si>
    <t xml:space="preserve">CLX 600</t>
  </si>
  <si>
    <t xml:space="preserve">Sold Ex-Works, UK Office , Part Number: , Secondary P/N:FP1245R1</t>
  </si>
  <si>
    <t xml:space="preserve">110007</t>
  </si>
  <si>
    <t xml:space="preserve">CLX 600H</t>
  </si>
  <si>
    <t xml:space="preserve">Sold Ex-Works, UK Office , Part Number:CLX600 , Secondary P/N:FP1241R3</t>
  </si>
  <si>
    <t xml:space="preserve">110006</t>
  </si>
  <si>
    <t xml:space="preserve">Sold Ex-Works, UK Office , Part Number:CLX600 , Secondary P/N:FP1244R1</t>
  </si>
  <si>
    <t xml:space="preserve">110008</t>
  </si>
  <si>
    <t xml:space="preserve">Sold Ex-Works, UK Office , Part Number:RPM-1</t>
  </si>
  <si>
    <t xml:space="preserve">110009</t>
  </si>
  <si>
    <t xml:space="preserve">CPM 1000</t>
  </si>
  <si>
    <t xml:space="preserve">Sold Ex-Works, UK Office , Part Number:CPM-1000/R</t>
  </si>
  <si>
    <t xml:space="preserve">110010</t>
  </si>
  <si>
    <t xml:space="preserve">CPM-1000/REMOTE</t>
  </si>
  <si>
    <t xml:space="preserve">110012</t>
  </si>
  <si>
    <t xml:space="preserve">CPM-5000/REMOTE</t>
  </si>
  <si>
    <t xml:space="preserve">110011</t>
  </si>
  <si>
    <t xml:space="preserve">110016</t>
  </si>
  <si>
    <t xml:space="preserve">CPMX REMOTE CONTROLLER</t>
  </si>
  <si>
    <t xml:space="preserve">Sold Ex-Works, UK Office , Part Number:FP2000RC</t>
  </si>
  <si>
    <t xml:space="preserve">110015</t>
  </si>
  <si>
    <t xml:space="preserve">110014</t>
  </si>
  <si>
    <t xml:space="preserve">110013</t>
  </si>
  <si>
    <t xml:space="preserve">Sold Ex-Works, UK Office , Part Number:FP2000-01R1</t>
  </si>
  <si>
    <t xml:space="preserve">110020</t>
  </si>
  <si>
    <t xml:space="preserve">CPMX-1000</t>
  </si>
  <si>
    <t xml:space="preserve">Sold Ex-Works, UK Office , Part Number:CPMX1000 , Secondary P/N:FP2125R3</t>
  </si>
  <si>
    <t xml:space="preserve">110019</t>
  </si>
  <si>
    <t xml:space="preserve">Sold Ex-Works, UK Office , Part Number:CPMX1000 , Secondary P/N:FP2125R4</t>
  </si>
  <si>
    <t xml:space="preserve">110018</t>
  </si>
  <si>
    <t xml:space="preserve">110017</t>
  </si>
  <si>
    <t xml:space="preserve">110022</t>
  </si>
  <si>
    <t xml:space="preserve">CPS 1000 </t>
  </si>
  <si>
    <t xml:space="preserve">Sold Ex-Works, UK Office , Part Number:CPS-1000/60</t>
  </si>
  <si>
    <t xml:space="preserve">110021</t>
  </si>
  <si>
    <t xml:space="preserve">Sold Ex-Works, UK Office , Part Number:CPS-1000</t>
  </si>
  <si>
    <t xml:space="preserve">110023</t>
  </si>
  <si>
    <t xml:space="preserve">CPS 3000</t>
  </si>
  <si>
    <t xml:space="preserve">Sold Ex-Works, UK Office , Part Number:CPS-3000/13.56</t>
  </si>
  <si>
    <t xml:space="preserve">110026</t>
  </si>
  <si>
    <t xml:space="preserve">CV 1000</t>
  </si>
  <si>
    <t xml:space="preserve">Sold Ex-Works, UK Office , Part Number:FP3263R2</t>
  </si>
  <si>
    <t xml:space="preserve">110025</t>
  </si>
  <si>
    <t xml:space="preserve">Sold Ex-Works, UK Office , Part Number:FP3261R1</t>
  </si>
  <si>
    <t xml:space="preserve">110024</t>
  </si>
  <si>
    <t xml:space="preserve">Sold Ex-Works, UK Office , Part Number:FP3259R2</t>
  </si>
  <si>
    <t xml:space="preserve">110033</t>
  </si>
  <si>
    <t xml:space="preserve">CX2500</t>
  </si>
  <si>
    <t xml:space="preserve">Sold Ex-Works, UK Office , Part Number:FP3331R4</t>
  </si>
  <si>
    <t xml:space="preserve">110032</t>
  </si>
  <si>
    <t xml:space="preserve">Sold Ex-Works, UK Office , Part Number:FP3331R2</t>
  </si>
  <si>
    <t xml:space="preserve">110031</t>
  </si>
  <si>
    <t xml:space="preserve">Sold Ex-Works, UK Office , Part Number:FP3322R1</t>
  </si>
  <si>
    <t xml:space="preserve">110034</t>
  </si>
  <si>
    <t xml:space="preserve">CX2500S</t>
  </si>
  <si>
    <t xml:space="preserve">Sold Ex-Works, UK Office , Part Number:FP3331R1</t>
  </si>
  <si>
    <t xml:space="preserve">110030</t>
  </si>
  <si>
    <t xml:space="preserve">CX 600H</t>
  </si>
  <si>
    <t xml:space="preserve">Sold Ex-Works, UK Office , Part Number:FP3117R1</t>
  </si>
  <si>
    <t xml:space="preserve">110029</t>
  </si>
  <si>
    <t xml:space="preserve">CX 2500S</t>
  </si>
  <si>
    <t xml:space="preserve">Sold Ex-Works, UK Office , Part Number:CX2500 , Secondary P/N:FP3308R1</t>
  </si>
  <si>
    <t xml:space="preserve">110036</t>
  </si>
  <si>
    <t xml:space="preserve">ESC-2</t>
  </si>
  <si>
    <t xml:space="preserve">Sold Ex-Works, UK Office , Part Number:FP6251RD</t>
  </si>
  <si>
    <t xml:space="preserve">110035</t>
  </si>
  <si>
    <t xml:space="preserve">Sold Ex-Works, UK Office , Part Number:FP6251RB</t>
  </si>
  <si>
    <t xml:space="preserve">110037</t>
  </si>
  <si>
    <t xml:space="preserve">LFMN8/5</t>
  </si>
  <si>
    <t xml:space="preserve">Excellent fully refurbished condition with warranty.
Sold Ex-Works, UK Office , Part Number:FP2246R1 , Secondary 
P/N:27-296658-00</t>
  </si>
  <si>
    <t xml:space="preserve">110028</t>
  </si>
  <si>
    <t xml:space="preserve">Comdel </t>
  </si>
  <si>
    <t xml:space="preserve">CV 500</t>
  </si>
  <si>
    <t xml:space="preserve">Sold Ex-Works, UK Office , Part Number:FP3180R1</t>
  </si>
  <si>
    <t xml:space="preserve">110027</t>
  </si>
  <si>
    <t xml:space="preserve">Sold Ex-Works, UK Office , Part Number:CV500/AT , Secondary P/N:FP3141R1</t>
  </si>
  <si>
    <t xml:space="preserve">53025</t>
  </si>
  <si>
    <t xml:space="preserve">COMPUMOTOR</t>
  </si>
  <si>
    <t xml:space="preserve">M57-51</t>
  </si>
  <si>
    <t xml:space="preserve">Lead screw, KLA p/n 655-026035-00</t>
  </si>
  <si>
    <t xml:space="preserve">Stepping motor complete with Lead screw/shaft (brass holder P/N 655 026035 
00)</t>
  </si>
  <si>
    <t xml:space="preserve">82179</t>
  </si>
  <si>
    <t xml:space="preserve">Concoa</t>
  </si>
  <si>
    <t xml:space="preserve">806 6530</t>
  </si>
  <si>
    <t xml:space="preserve">Singe stage Oxygen regulator valve w/ guage</t>
  </si>
  <si>
    <t xml:space="preserve">   Brand new in the box, Concoa Oxygen regulator with valve and guage
single stage
CGA 540
200 PSI
sold as-is, NOS
</t>
  </si>
  <si>
    <t xml:space="preserve">84021</t>
  </si>
  <si>
    <t xml:space="preserve">Condor</t>
  </si>
  <si>
    <t xml:space="preserve">B24-1.2</t>
  </si>
  <si>
    <t xml:space="preserve">DC power supply</t>
  </si>
  <si>
    <t xml:space="preserve">Input: 115V A/C Output: 24V DC at 1.2 AMPS.
Unused and in original packing materials.
Will ship to you from our warehouse in Avezzano 67051 Italy</t>
  </si>
  <si>
    <t xml:space="preserve">21665</t>
  </si>
  <si>
    <t xml:space="preserve">CONDOR</t>
  </si>
  <si>
    <t xml:space="preserve">HCC15 3A +</t>
  </si>
  <si>
    <t xml:space="preserve">POWER SUPPLY UNIT FOR KLA 7700 SURFSCAN</t>
  </si>
  <si>
    <t xml:space="preserve">I/P 100/120 230/240V OP +/- 15V 3A OR +/-12V 3.4 A 30 day return warranty</t>
  </si>
  <si>
    <t xml:space="preserve">13143</t>
  </si>
  <si>
    <t xml:space="preserve">COSEL</t>
  </si>
  <si>
    <t xml:space="preserve">MMC100-2</t>
  </si>
  <si>
    <t xml:space="preserve">IN ORIGINAL PACKAGING
SWITCHING REGULATOR
PIN: 142W MAX
IN: 100-120 V AC
47-440 Hz
2.4 A
2 PIECES
WEIGHT FOR EACH : 1 KG.
DIMENSION : 22 CM. X 10 CM. X 6 CM. (H)</t>
  </si>
  <si>
    <t xml:space="preserve">83631</t>
  </si>
  <si>
    <t xml:space="preserve">Credence</t>
  </si>
  <si>
    <t xml:space="preserve">071-1022-01</t>
  </si>
  <si>
    <t xml:space="preserve">Duo &amp; Logic 100 Test System Service Manual</t>
  </si>
  <si>
    <t xml:space="preserve">MANUAL</t>
  </si>
  <si>
    <t xml:space="preserve">Complete service manual and wiring diagrams for Credence Duo SX and Logic 
100 systems. Excellent condition
Located at our Avezzano 67051 Italy warehouse.
 </t>
  </si>
  <si>
    <t xml:space="preserve">81829</t>
  </si>
  <si>
    <t xml:space="preserve">202-2000-00</t>
  </si>
  <si>
    <t xml:space="preserve">Credence Duo SX controller</t>
  </si>
  <si>
    <t xml:space="preserve">Removed from working system, in Texas warehouse
This is the main Credence tester controller with cables.  
Ships from our Boerne, TX Warehouse</t>
  </si>
  <si>
    <t xml:space="preserve">80271</t>
  </si>
  <si>
    <t xml:space="preserve">670-9426-05</t>
  </si>
  <si>
    <t xml:space="preserve">DUO SX Controller I/O PCB</t>
  </si>
  <si>
    <t xml:space="preserve">Controller I/O Board, removed from working tester.
P.C.B.for immediate sale.
De-installed from a working system. Located at our Avezzano 67051 Italy 
warehouse.</t>
  </si>
  <si>
    <t xml:space="preserve">106934</t>
  </si>
  <si>
    <t xml:space="preserve">Controller I/O Board, removed from working CREDENCE DUO tester.</t>
  </si>
  <si>
    <t xml:space="preserve">80272</t>
  </si>
  <si>
    <t xml:space="preserve">671-0693-04</t>
  </si>
  <si>
    <t xml:space="preserve">Duo SX DMA2 Controller PCB</t>
  </si>
  <si>
    <t xml:space="preserve">DMA2 Controller for Credence Duo SX Tester
P.C.B.for immediate sale.
De-installed from a working system. Located at our Avezzano 67051 Italy 
warehouse.</t>
  </si>
  <si>
    <t xml:space="preserve">106935</t>
  </si>
  <si>
    <t xml:space="preserve">DMA2 Controller for Credence Duo SX Tester</t>
  </si>
  <si>
    <t xml:space="preserve">106937</t>
  </si>
  <si>
    <t xml:space="preserve">671-0951-04</t>
  </si>
  <si>
    <t xml:space="preserve">DUO SX Analog I/O Board</t>
  </si>
  <si>
    <t xml:space="preserve">Credence Duo SX Analog I/O Board, removed from working tester
qty 3 available in stock in AVEZZANO ITALY</t>
  </si>
  <si>
    <t xml:space="preserve">84099</t>
  </si>
  <si>
    <t xml:space="preserve">671-1376-02</t>
  </si>
  <si>
    <t xml:space="preserve">Analog Power Monitor PCB 584-02</t>
  </si>
  <si>
    <t xml:space="preserve">Credence Duo SX board for immediate sale.
De-installed from a working system. Located at our Avezzano 67051 Italy 
warehouse.</t>
  </si>
  <si>
    <t xml:space="preserve">82168</t>
  </si>
  <si>
    <t xml:space="preserve">671-1461-04</t>
  </si>
  <si>
    <t xml:space="preserve">Intersegment communications board</t>
  </si>
  <si>
    <t xml:space="preserve">Credence Intersegment communications board, for credence duo SX tester
De-installed from a working system. Located at our Avezzano 67051 Italy 
warehouse.</t>
  </si>
  <si>
    <t xml:space="preserve">106927</t>
  </si>
  <si>
    <t xml:space="preserve">671-2119-00</t>
  </si>
  <si>
    <t xml:space="preserve">Analog Support Air flow / Bus Grant</t>
  </si>
  <si>
    <t xml:space="preserve">Crecende Analog Support Air Flow / Bus Grant
U4700 U6700
   </t>
  </si>
  <si>
    <t xml:space="preserve">80317</t>
  </si>
  <si>
    <t xml:space="preserve">Analog Support Air flow Bus Grant PCB , for Credence DUO tester</t>
  </si>
  <si>
    <t xml:space="preserve">Credence Analog Support Air Flow / Bus Grant PCB.
REMOVED FROM A WORKING SYSTEM.
U4700 U6700
   </t>
  </si>
  <si>
    <t xml:space="preserve">80273</t>
  </si>
  <si>
    <t xml:space="preserve">671-4043-01</t>
  </si>
  <si>
    <t xml:space="preserve">DUO SX FUNCTIONAL TEST CONTROLLER PCB</t>
  </si>
  <si>
    <t xml:space="preserve">Credence Duo SX Test controller board for immediate sale.
De-installed from a working system. Located at our Avezzano 67051 Italy 
warehouse.
 </t>
  </si>
  <si>
    <t xml:space="preserve">106936</t>
  </si>
  <si>
    <t xml:space="preserve">671-4043-01 REV A</t>
  </si>
  <si>
    <t xml:space="preserve">Credence Duo SX SX Test controller board, removed from working service.</t>
  </si>
  <si>
    <t xml:space="preserve">81864</t>
  </si>
  <si>
    <t xml:space="preserve">671-4098-02</t>
  </si>
  <si>
    <t xml:space="preserve">DUO SX Master Clock Dist. PCB</t>
  </si>
  <si>
    <t xml:space="preserve">Credence Duo SX Clock Dist Board
S9-4006-00671-4098-02
Has Techtrol M4001-1000J onboard.</t>
  </si>
  <si>
    <t xml:space="preserve">80274</t>
  </si>
  <si>
    <t xml:space="preserve">671-4098-952707</t>
  </si>
  <si>
    <t xml:space="preserve">DUO SX Master Clock Dist.</t>
  </si>
  <si>
    <t xml:space="preserve">Credence Duo SX Duo Logic 100 board</t>
  </si>
  <si>
    <t xml:space="preserve">106931</t>
  </si>
  <si>
    <t xml:space="preserve">80311</t>
  </si>
  <si>
    <t xml:space="preserve">671-4127-00</t>
  </si>
  <si>
    <t xml:space="preserve">Scan Memory</t>
  </si>
  <si>
    <t xml:space="preserve">Scan Memory board, removed from working Credence Duo SX Tester.
QTY 15 AVAILABLE.
LOCATION: AVEZZANO 67051 ITALY</t>
  </si>
  <si>
    <t xml:space="preserve">106938</t>
  </si>
  <si>
    <t xml:space="preserve">Scan Memory PCB FOR A CREDENCE DUO SX TESTER</t>
  </si>
  <si>
    <t xml:space="preserve">Scan Memory board, removed from working Credence Duo SX Tester</t>
  </si>
  <si>
    <t xml:space="preserve">106930</t>
  </si>
  <si>
    <t xml:space="preserve">671-4155-05</t>
  </si>
  <si>
    <t xml:space="preserve">Analog Support Module VHF PCB</t>
  </si>
  <si>
    <t xml:space="preserve">Credence VHF Analog support card, Credence Duo DuoSX Logic 100 systems</t>
  </si>
  <si>
    <t xml:space="preserve">80318</t>
  </si>
  <si>
    <t xml:space="preserve">Analog Support Module VHF PCB for Credence Duo Tester</t>
  </si>
  <si>
    <t xml:space="preserve">Credence VHF Analog support card, Credence Duo DuoSX Logic 100 systems.
De-installed from a working system. Located at our Avezzano 67051 Italy 
warehouse.</t>
  </si>
  <si>
    <t xml:space="preserve">106925</t>
  </si>
  <si>
    <t xml:space="preserve">671-4177-04</t>
  </si>
  <si>
    <t xml:space="preserve">Support Module Interface PCB</t>
  </si>
  <si>
    <t xml:space="preserve">Credence Duo SX Support Module interface board, removed from working system
Will ship from Avezzano 67051 Italy</t>
  </si>
  <si>
    <t xml:space="preserve">84279</t>
  </si>
  <si>
    <t xml:space="preserve">671-4270-02</t>
  </si>
  <si>
    <t xml:space="preserve">Capture Processor board 1A</t>
  </si>
  <si>
    <t xml:space="preserve">Credence Duo SX Capture Processor board, removed from working system
Located at our Avezzano 67051 Italy warehouse.</t>
  </si>
  <si>
    <t xml:space="preserve">80316</t>
  </si>
  <si>
    <t xml:space="preserve">671-4270-03</t>
  </si>
  <si>
    <t xml:space="preserve">Capture Processor</t>
  </si>
  <si>
    <t xml:space="preserve">Credence Duo SX Capture Processor board, removed from working system
Ships Fedex from our Boerne, TX 78006 warehouse.
</t>
  </si>
  <si>
    <t xml:space="preserve">106929</t>
  </si>
  <si>
    <t xml:space="preserve">671-4270-03 rev A</t>
  </si>
  <si>
    <t xml:space="preserve">Capture Processor 1a pcb</t>
  </si>
  <si>
    <t xml:space="preserve">Credence Duo SX Capture Processor 1A PC board, removed from working system
</t>
  </si>
  <si>
    <t xml:space="preserve">83559</t>
  </si>
  <si>
    <t xml:space="preserve">671-4276-50</t>
  </si>
  <si>
    <t xml:space="preserve">PIN card FOR CREDENCE DUO SX TESTER</t>
  </si>
  <si>
    <t xml:space="preserve">   Digital PIN card 
qty 1 671-4276-50
qty 1 671-4276-52 REV A
678-1659-9911018L
Removed from working tester.
Located at our Avezzano 67051 Italy warehouse.
qty 3 available</t>
  </si>
  <si>
    <t xml:space="preserve">80269</t>
  </si>
  <si>
    <t xml:space="preserve">671-4283-01</t>
  </si>
  <si>
    <t xml:space="preserve">Duo SX ROM Sequencer TPI/PD</t>
  </si>
  <si>
    <t xml:space="preserve">P.C.B.for immediate sale.
De-installed from a working system. Located at our Avezzano 67051 Italy 
warehouse.</t>
  </si>
  <si>
    <t xml:space="preserve">106932</t>
  </si>
  <si>
    <t xml:space="preserve">671-4283-01 REV 4</t>
  </si>
  <si>
    <t xml:space="preserve">Duo SX ROM Sequencer TPI/PD PCB</t>
  </si>
  <si>
    <t xml:space="preserve">106933</t>
  </si>
  <si>
    <t xml:space="preserve">671-4331-01</t>
  </si>
  <si>
    <t xml:space="preserve">DUO SX ROM Sequencer  PCB</t>
  </si>
  <si>
    <t xml:space="preserve">FROM A CREDENCE DUO
 </t>
  </si>
  <si>
    <t xml:space="preserve">80270</t>
  </si>
  <si>
    <t xml:space="preserve">DUO SX ROM Sequencer PCB</t>
  </si>
  <si>
    <t xml:space="preserve">Credence Duo SX P.C.B.for immediate sale.
De-installed from a working system. Located at our Avezzano 67051 Italy 
warehouse.</t>
  </si>
  <si>
    <t xml:space="preserve">80320</t>
  </si>
  <si>
    <t xml:space="preserve">671-4351-00</t>
  </si>
  <si>
    <t xml:space="preserve">Intersegment Communications Connector</t>
  </si>
  <si>
    <t xml:space="preserve">Credence Duo SX Intersegment Communications Connector, removed from working 
tester.
Ships FEDEX from our Boerne, TX 78006 warehouse
</t>
  </si>
  <si>
    <t xml:space="preserve">106926</t>
  </si>
  <si>
    <t xml:space="preserve">671-4351-00 rev A</t>
  </si>
  <si>
    <t xml:space="preserve">Credence Duo SX Intersegment Communications Connector, removed from working 
tester.
Ships from Avezzano 67051 Italy.</t>
  </si>
  <si>
    <t xml:space="preserve">80312</t>
  </si>
  <si>
    <t xml:space="preserve">671-4359-00</t>
  </si>
  <si>
    <t xml:space="preserve">DPAC Parallel Pattern Memory</t>
  </si>
  <si>
    <t xml:space="preserve">35</t>
  </si>
  <si>
    <t xml:space="preserve">Credence Duo SX DPAC Parallel Pattern Memory card, removed from working 
system.
total qty 33 available.
location: Avezzano 67051 Italy</t>
  </si>
  <si>
    <t xml:space="preserve">106924</t>
  </si>
  <si>
    <t xml:space="preserve">671-4359-00 REV 3</t>
  </si>
  <si>
    <t xml:space="preserve">Credence Duo SX DPAC Parallel Pattern Memory PCB, removed from working 
system.</t>
  </si>
  <si>
    <t xml:space="preserve">83819</t>
  </si>
  <si>
    <t xml:space="preserve">671-4359-01</t>
  </si>
  <si>
    <t xml:space="preserve">DPAC Parallel Pattern Memory PCB</t>
  </si>
  <si>
    <t xml:space="preserve">Credence Duo SX DPAC Parallel Pattern Memory card, removed from working 
system.</t>
  </si>
  <si>
    <t xml:space="preserve">84278</t>
  </si>
  <si>
    <t xml:space="preserve">671-4394-01</t>
  </si>
  <si>
    <t xml:space="preserve">Test head connector board</t>
  </si>
  <si>
    <t xml:space="preserve">Credence Duo SX test head board, removed from working system
Located at our Avezzano 67051 Italy warehouse.</t>
  </si>
  <si>
    <t xml:space="preserve">84280</t>
  </si>
  <si>
    <t xml:space="preserve">671-4394-04</t>
  </si>
  <si>
    <t xml:space="preserve">Credence Duo SX test head board, removed from working system
AT AVEZZANO 67051 ITALY</t>
  </si>
  <si>
    <t xml:space="preserve">106939</t>
  </si>
  <si>
    <t xml:space="preserve">671-4394-05 REV A</t>
  </si>
  <si>
    <t xml:space="preserve">Test head connector PCB</t>
  </si>
  <si>
    <t xml:space="preserve">Credence Duo SX test head board, removed from working system
</t>
  </si>
  <si>
    <t xml:space="preserve">81866</t>
  </si>
  <si>
    <t xml:space="preserve">671-4635-01</t>
  </si>
  <si>
    <t xml:space="preserve">Testhead connector PCB  board, from a Credence Duo SX test system</t>
  </si>
  <si>
    <t xml:space="preserve">Credence Duo SX board,
De-installed from a working system. Located at our Avezzano 67051 Italy 
warehouse.</t>
  </si>
  <si>
    <t xml:space="preserve">80313</t>
  </si>
  <si>
    <t xml:space="preserve">672-4359-00</t>
  </si>
  <si>
    <t xml:space="preserve">84281</t>
  </si>
  <si>
    <t xml:space="preserve">672-6051-01</t>
  </si>
  <si>
    <t xml:space="preserve">Support Module Interface</t>
  </si>
  <si>
    <t xml:space="preserve">Credence Duo SX Support Module Interface board, removed from working tester
also have -03 version</t>
  </si>
  <si>
    <t xml:space="preserve">106940</t>
  </si>
  <si>
    <t xml:space="preserve">Support Module Interface tpi / td pcb</t>
  </si>
  <si>
    <t xml:space="preserve">Credence Duo SX Support Module Interface board, removed from working tester
also have -03 version
</t>
  </si>
  <si>
    <t xml:space="preserve">80314</t>
  </si>
  <si>
    <t xml:space="preserve">672-6051-03</t>
  </si>
  <si>
    <t xml:space="preserve">Support Module Interface PCB for a Credence Duo tester</t>
  </si>
  <si>
    <t xml:space="preserve">Credence Duo SX Support Module Interface board, removed from working tester
also have -03 version
Location: Avezzano 67051 Italy</t>
  </si>
  <si>
    <t xml:space="preserve">80211</t>
  </si>
  <si>
    <t xml:space="preserve">Duo SX (Spare Parts)</t>
  </si>
  <si>
    <t xml:space="preserve">Credence Duo SX Main PC</t>
  </si>
  <si>
    <t xml:space="preserve">Removed from working system.
This is the main Credence Duo PC that was removed from a working Credence 
Duo PC.
Powers up, see photos with lights next to connectors, and CD-ROM shows 
power.
The following parts are included with the unit:-
1. Iomega JAZ 2GB drive
2. Plextore 12/20 CD drive
3. Astec LPQ252 Power Supply, 100-250 V at 4.5 A
THE FOLLOWING BOARDS ARE LOCATED IN THE SYSTEMS' CARD CAGE:
4. National Instruments GPIB-1014P Assembly 180150 F02 rev 2
5. Tektronix Handler Interface, Credence P/N 671-4033-01
6. Motorola MVME340B SINGLE-BOARD COMPUTER
7. Performance technologies PT-SBS915 VME Board
8. Credence 671-4031-04 DMA-W controllers qty 2
Dims (Packed up in a cardboard box): 50 cm x 30 cm x 52 cm, weight 16.5 KG</t>
  </si>
  <si>
    <t xml:space="preserve">78638</t>
  </si>
  <si>
    <t xml:space="preserve">SPARE PARTS FROM AUTOMATED TEST SYSTEM</t>
  </si>
  <si>
    <t xml:space="preserve">-A set of boards only which came from a Credence Duo SX test system
Warehoused in Boerne, TX, 78006 USA..
Can be inspected by appointment
Please refer to the attached photos for details.
-Includes service manual , Duo and Logic 100 test system PN 071-1022-01.
-Includes Wavecrest Digital Time System
-Power supplies:: Astec</t>
  </si>
  <si>
    <t xml:space="preserve">106928</t>
  </si>
  <si>
    <t xml:space="preserve">Credence </t>
  </si>
  <si>
    <t xml:space="preserve">671-4270-02 REV A</t>
  </si>
  <si>
    <t xml:space="preserve">Capture Processor PCB 1A</t>
  </si>
  <si>
    <t xml:space="preserve">Credence Duo SX Capture Processor board, removed from working system
Ships from our AVEZZANO 67051 ITALY  warehouse.</t>
  </si>
  <si>
    <t xml:space="preserve">69855</t>
  </si>
  <si>
    <t xml:space="preserve">CTI Cryogenics</t>
  </si>
  <si>
    <t xml:space="preserve">Cryotorr 100</t>
  </si>
  <si>
    <t xml:space="preserve">Cryopump</t>
  </si>
  <si>
    <t xml:space="preserve">pump</t>
  </si>
  <si>
    <t xml:space="preserve">Part number 8103055G001 s/n 4L9307922 Last serviced date 6/6/97 In working 
condition CE marked</t>
  </si>
  <si>
    <t xml:space="preserve">54562</t>
  </si>
  <si>
    <t xml:space="preserve">CTI cryogenics</t>
  </si>
  <si>
    <t xml:space="preserve">CRYOTORR-100</t>
  </si>
  <si>
    <t xml:space="preserve">PUMP</t>
  </si>
  <si>
    <t xml:space="preserve">Suitable for ion implant systems</t>
  </si>
  <si>
    <t xml:space="preserve">115383</t>
  </si>
  <si>
    <t xml:space="preserve">CUBIC</t>
  </si>
  <si>
    <t xml:space="preserve">RFG-4 L163426 RE </t>
  </si>
  <si>
    <t xml:space="preserve">GENERATOR USED</t>
  </si>
  <si>
    <t xml:space="preserve">83892</t>
  </si>
  <si>
    <t xml:space="preserve">CVC</t>
  </si>
  <si>
    <t xml:space="preserve">GTC-036</t>
  </si>
  <si>
    <t xml:space="preserve">TERMOCOUPLE GAUGE TUBE</t>
  </si>
  <si>
    <t xml:space="preserve">WEIGHT: GR.80
DIMENSION 5 CM. X 5 CM. 5 X 10,5 (H)
3 PIECES (1 A PART)
THE PRICE IS FOR EACH</t>
  </si>
  <si>
    <t xml:space="preserve">106018</t>
  </si>
  <si>
    <t xml:space="preserve">Cymer</t>
  </si>
  <si>
    <t xml:space="preserve">01-13500-07</t>
  </si>
  <si>
    <t xml:space="preserve">Paddle for Cymer 4300 laser</t>
  </si>
  <si>
    <t xml:space="preserve">-see photos for details.
-will ship to you from our warehouse in Avezzano (AQ) 67051 Italy</t>
  </si>
  <si>
    <t xml:space="preserve">52159</t>
  </si>
  <si>
    <t xml:space="preserve">ELS 4300</t>
  </si>
  <si>
    <t xml:space="preserve">Maintenance Tool kit and spare parts</t>
  </si>
  <si>
    <t xml:space="preserve">OEM original supplied maintenance kit for Cymer ELS 4300 248 nm DUV Excimer 
laser.
Includes Laser chamber window replacement kit p/n 1300-050 and many other 
spare parts. PLEASE REFER TO THE ATTACHED PHOTOS FOR DETAILS OF WHAT IS 
INCLUDED WITH THE KIT.
Cymer part number of parts included (not a complete list):
Cajon NI 4-VCR-2-GR-VS qty 10
Canon 50 Y75-6010-000 000 Beam Splitter, Chamber window qty 1 (Cymer p/n 
04-06044-0)
Cymer 7202-0608 qty 5
Cymer 7962-0400 qty 5
Cymer 7202-1008 qty 5
Cymer 7962-0600 qty 5
Cymer 7962-1000 qty 5
Cymer 7201-0406 qty 5
Cymer 2801-175 qty 2
Cymer 2517-015 3/8 in brass ferrule qty 4
Cymer 2517-010 1/4 in brass ferrule qty 2
Cymer 2524-001 Rod
Cymer 2805-030 Washer qty 4
Cymer 7202-1012 bolt qty 5
Cymer 2801-170 qty 1
Cymer 7202-1006 bolt qty 5
Cymer 7202-0806 qty 10
Cymer 7202-0808 qty 10
Cymer 7207-0606 qty 5
Cymer 31-03-13100 Diagnostic Pc user's manual
Cymer 2450-010 Bulb, indicating qty 2
Cymer 2450-005 Midget Bulb qty 5
Cymer 2450-015 Lamp, 24V qty 3
Cymer 2400-096 Gasket, strainer qty 1
Cymer 2400-097 Screen, Strainer qty 1
Cymer 3000-030 Fisher lens paper Cat No. 11-995 qty 100 sheets
Cymer 04-01136-1 qty 2
Cymer 1402-001 CaF2 40 x 7 mm lens qty 1
Cymer 2320-00083-0 qty 1
Cymer 01-13568-37 laser Paddle qty 1
Cymer 1150-001 qty 1
Cymer 04-06051-0 qty 2
Cymer 04-01118-0 qty 2</t>
  </si>
  <si>
    <t xml:space="preserve">69789</t>
  </si>
  <si>
    <t xml:space="preserve">Dage</t>
  </si>
  <si>
    <t xml:space="preserve">4000-HK-5-2</t>
  </si>
  <si>
    <t xml:space="preserve">160-OT12-PTP-02 PULL TEST hook</t>
  </si>
  <si>
    <t xml:space="preserve">DAGE 4000-HK-5-2 160-OT12-PTP-02 PULL TEST PIN FOR THE DAGE 4000 
MULTI-PURPOSE BOND TESTER NEW / SURPLUS STOCK INCLUDES ONLY WHAT IS 
PICTURED!</t>
  </si>
  <si>
    <t xml:space="preserve">115385</t>
  </si>
  <si>
    <t xml:space="preserve">DAIHEN</t>
  </si>
  <si>
    <t xml:space="preserve">AGA-50B2 DGP-120A2 </t>
  </si>
  <si>
    <t xml:space="preserve">GENERATOR [ASIS]</t>
  </si>
  <si>
    <t xml:space="preserve">115384</t>
  </si>
  <si>
    <t xml:space="preserve">110039</t>
  </si>
  <si>
    <t xml:space="preserve">Daihen</t>
  </si>
  <si>
    <t xml:space="preserve">Daihen Match</t>
  </si>
  <si>
    <t xml:space="preserve">Sold Ex-Works, UK Office , Part Number:RNM-50N6</t>
  </si>
  <si>
    <t xml:space="preserve">110038</t>
  </si>
  <si>
    <t xml:space="preserve">Sold Ex-Works, UK Office , Part Number:RNM-20E2</t>
  </si>
  <si>
    <t xml:space="preserve">110040</t>
  </si>
  <si>
    <t xml:space="preserve">Sold Ex-Works, UK Office , Part Number:RMN-40A</t>
  </si>
  <si>
    <t xml:space="preserve">110041</t>
  </si>
  <si>
    <t xml:space="preserve">MFM 20SA</t>
  </si>
  <si>
    <t xml:space="preserve">Sold Ex-Works, UK Office , Part Number:MFM 20SA2</t>
  </si>
  <si>
    <t xml:space="preserve">110043</t>
  </si>
  <si>
    <t xml:space="preserve">NMN-20A1</t>
  </si>
  <si>
    <t xml:space="preserve">Sold Ex-Works, UK Office , Part Number:TC13941R</t>
  </si>
  <si>
    <t xml:space="preserve">110045</t>
  </si>
  <si>
    <t xml:space="preserve">WMN-25</t>
  </si>
  <si>
    <t xml:space="preserve">Sold Ex-Works, UK Office , Part Number:WMN-25B3</t>
  </si>
  <si>
    <t xml:space="preserve">110042</t>
  </si>
  <si>
    <t xml:space="preserve">Daihen </t>
  </si>
  <si>
    <t xml:space="preserve">NGA-30C</t>
  </si>
  <si>
    <t xml:space="preserve">Sold Ex-Works, UK Office , Part Number:NGA-30C1</t>
  </si>
  <si>
    <t xml:space="preserve">110044</t>
  </si>
  <si>
    <t xml:space="preserve">WGA-20A</t>
  </si>
  <si>
    <t xml:space="preserve">Sold Ex-Works, UK Office , Part Number:WGA-20A5</t>
  </si>
  <si>
    <t xml:space="preserve">84375</t>
  </si>
  <si>
    <t xml:space="preserve">DELL</t>
  </si>
  <si>
    <t xml:space="preserve">PWB 9578D</t>
  </si>
  <si>
    <t xml:space="preserve">GX B-V0A</t>
  </si>
  <si>
    <t xml:space="preserve">94V-0</t>
  </si>
  <si>
    <t xml:space="preserve">
WEIGHT:20 GR.
DIMENSION: 13,5 X 0,1 CM X 2,3 (H)
</t>
  </si>
  <si>
    <t xml:space="preserve">77204</t>
  </si>
  <si>
    <t xml:space="preserve">Delta</t>
  </si>
  <si>
    <t xml:space="preserve">??</t>
  </si>
  <si>
    <t xml:space="preserve">Impulse Driver Board, 5000V, 3A, for PECVD</t>
  </si>
  <si>
    <t xml:space="preserve">   Unknown Impulse Driver Board
For 10MW Solar line PECVD tool.
Used, in box, ships from our Boerne, TX warehouse
Sold as-is, where-is.</t>
  </si>
  <si>
    <t xml:space="preserve">83627</t>
  </si>
  <si>
    <t xml:space="preserve">DENSAN</t>
  </si>
  <si>
    <t xml:space="preserve">DSB-S17</t>
  </si>
  <si>
    <t xml:space="preserve">OUTPUT BOARD SDB-S17</t>
  </si>
  <si>
    <t xml:space="preserve">RAD 2500 F/8
2 PIECES IN BOX
NEW</t>
  </si>
  <si>
    <t xml:space="preserve">77187</t>
  </si>
  <si>
    <t xml:space="preserve">Despatch</t>
  </si>
  <si>
    <t xml:space="preserve">164700</t>
  </si>
  <si>
    <t xml:space="preserve">Thermocouple</t>
  </si>
  <si>
    <t xml:space="preserve">new, unused.
Located at our Avezzano 67051 Italy warehouse. </t>
  </si>
  <si>
    <t xml:space="preserve">108995</t>
  </si>
  <si>
    <t xml:space="preserve">CDF 7210 (SPARES)</t>
  </si>
  <si>
    <t xml:space="preserve">55 cm length of furnace belt</t>
  </si>
  <si>
    <t xml:space="preserve">see photos for details.
New unused.
width 25.5 CM</t>
  </si>
  <si>
    <t xml:space="preserve">77186</t>
  </si>
  <si>
    <t xml:space="preserve">KK33UH-009-00-4,MC</t>
  </si>
  <si>
    <t xml:space="preserve">Thermocouple sensor probe</t>
  </si>
  <si>
    <t xml:space="preserve">Like new, with extra plugs</t>
  </si>
  <si>
    <t xml:space="preserve">81837</t>
  </si>
  <si>
    <t xml:space="preserve">Deublin</t>
  </si>
  <si>
    <t xml:space="preserve">55-000-003</t>
  </si>
  <si>
    <t xml:space="preserve">Deublin,  Rotary Union 5/8" NEW</t>
  </si>
  <si>
    <t xml:space="preserve">Deublin rotary union, new in the box, unused
Ships from our AVEZZANO 67051 ITALY Warehouse
  Brand new  </t>
  </si>
  <si>
    <t xml:space="preserve">76954</t>
  </si>
  <si>
    <t xml:space="preserve">Dimetric</t>
  </si>
  <si>
    <t xml:space="preserve">JGT-10F</t>
  </si>
  <si>
    <t xml:space="preserve">Relay 380V 80A</t>
  </si>
  <si>
    <t xml:space="preserve">Box of qty 4 brand new relays
Sold as-is where is</t>
  </si>
  <si>
    <t xml:space="preserve">105871</t>
  </si>
  <si>
    <t xml:space="preserve">DNS</t>
  </si>
  <si>
    <t xml:space="preserve">2-39-06099</t>
  </si>
  <si>
    <t xml:space="preserve">NISSHIN VACUUM  gauge 0-76 cmHg</t>
  </si>
  <si>
    <t xml:space="preserve">105872</t>
  </si>
  <si>
    <t xml:space="preserve">2-39-06106</t>
  </si>
  <si>
    <t xml:space="preserve">NISSHIN pressure gauge 0-0.5 kgf cm2</t>
  </si>
  <si>
    <t xml:space="preserve">83876</t>
  </si>
  <si>
    <t xml:space="preserve">DOMNICK HUNTER</t>
  </si>
  <si>
    <t xml:space="preserve">QR 010 REV.4.0</t>
  </si>
  <si>
    <t xml:space="preserve">FILTER</t>
  </si>
  <si>
    <t xml:space="preserve">QR 010 Rev.4.0
DELIVERY DOCKET No.A03-4075-10
DIRECT TO STOCK
WEIGTH: 100 GR.
DIMENSION: 16 CM.X 7 CM. X 7 CM. (H) FOR EACH
THE IS FOR EACH</t>
  </si>
  <si>
    <t xml:space="preserve">110049</t>
  </si>
  <si>
    <t xml:space="preserve">Dressler</t>
  </si>
  <si>
    <t xml:space="preserve">Cesar 133</t>
  </si>
  <si>
    <t xml:space="preserve">110056</t>
  </si>
  <si>
    <t xml:space="preserve">110055</t>
  </si>
  <si>
    <t xml:space="preserve">110054</t>
  </si>
  <si>
    <t xml:space="preserve">110053</t>
  </si>
  <si>
    <t xml:space="preserve">110052</t>
  </si>
  <si>
    <t xml:space="preserve">110051</t>
  </si>
  <si>
    <t xml:space="preserve">110048</t>
  </si>
  <si>
    <t xml:space="preserve">110047</t>
  </si>
  <si>
    <t xml:space="preserve">110046</t>
  </si>
  <si>
    <t xml:space="preserve">110050</t>
  </si>
  <si>
    <t xml:space="preserve">Cesar 1330</t>
  </si>
  <si>
    <t xml:space="preserve">110057</t>
  </si>
  <si>
    <t xml:space="preserve">Cesar 2740</t>
  </si>
  <si>
    <t xml:space="preserve">Sold Ex-Works, UK Office: fully refurbished, 1 month warranty</t>
  </si>
  <si>
    <t xml:space="preserve">110058</t>
  </si>
  <si>
    <t xml:space="preserve">Hilight</t>
  </si>
  <si>
    <t xml:space="preserve">Sold Ex-Works, UK Office , Part Number:HILIGHT 012PSVC0</t>
  </si>
  <si>
    <t xml:space="preserve">110060</t>
  </si>
  <si>
    <t xml:space="preserve">110059</t>
  </si>
  <si>
    <t xml:space="preserve">110070</t>
  </si>
  <si>
    <t xml:space="preserve">VM 700 A</t>
  </si>
  <si>
    <t xml:space="preserve">110069</t>
  </si>
  <si>
    <t xml:space="preserve">110068</t>
  </si>
  <si>
    <t xml:space="preserve">110067</t>
  </si>
  <si>
    <t xml:space="preserve">110066</t>
  </si>
  <si>
    <t xml:space="preserve">110065</t>
  </si>
  <si>
    <t xml:space="preserve">110064</t>
  </si>
  <si>
    <t xml:space="preserve">110063</t>
  </si>
  <si>
    <t xml:space="preserve">110062</t>
  </si>
  <si>
    <t xml:space="preserve">110061</t>
  </si>
  <si>
    <t xml:space="preserve">110071</t>
  </si>
  <si>
    <t xml:space="preserve">Drytech</t>
  </si>
  <si>
    <t xml:space="preserve">13.56Mhz Power Source</t>
  </si>
  <si>
    <t xml:space="preserve">Sold Ex-Works, UK Office , Part Number:2600560</t>
  </si>
  <si>
    <t xml:space="preserve">105864</t>
  </si>
  <si>
    <t xml:space="preserve">DWYER</t>
  </si>
  <si>
    <t xml:space="preserve">RMA-10-SSV</t>
  </si>
  <si>
    <t xml:space="preserve">AIR FLOWMETER,1/8 NPT CONN.,UP TO 100PSI</t>
  </si>
  <si>
    <t xml:space="preserve">NEW IN BOX
WITH INSTRUCTIONS</t>
  </si>
  <si>
    <t xml:space="preserve">70304</t>
  </si>
  <si>
    <t xml:space="preserve">EBARA</t>
  </si>
  <si>
    <t xml:space="preserve">30024-02</t>
  </si>
  <si>
    <t xml:space="preserve">RING, ONE PIECE EBARA FREX 200</t>
  </si>
  <si>
    <t xml:space="preserve">FOR EBARA FREX 200</t>
  </si>
  <si>
    <t xml:space="preserve">79394</t>
  </si>
  <si>
    <t xml:space="preserve">Ebara</t>
  </si>
  <si>
    <t xml:space="preserve">A30W</t>
  </si>
  <si>
    <t xml:space="preserve">Vacuum Pump</t>
  </si>
  <si>
    <t xml:space="preserve">Pump</t>
  </si>
  <si>
    <t xml:space="preserve">Manufacturer: Ebara
Model: A30W
s/n:C80183
Description:
Comments:
Lube Oil: Fomblin Y-L Vac 25/6
Weight 330 kg
96 cm x 46 cm x 85 cm (h)
Ultimate pressure: 0.27/0.40Pa
Pumping Speed: 3600 / 3000 l/min
Current rating: 18.5/ 19.7 A
Power Supply:  Ph 200-220V 200V 60 Hz 50 Hz
Made in Japan
Location: Avezzano, Italy</t>
  </si>
  <si>
    <t xml:space="preserve">79395</t>
  </si>
  <si>
    <t xml:space="preserve">Manufacturer: Ebara
Model: A30W
s/n:CC0005
Description:
Comments:
Lube Oil: Fomblin Y-L Vac 25/6
Weight 330 kg
Dimensions: 96 cm x 46 cm x 85 cm (h)
Ultimate pressure: 0.27/0.40Pa
Pumping Speed: 3600 / 3000 l/min
Current rating: 18.5/ 19.7 A
Power Supply:  Ph 200-220V 200V 60 Hz 50 Hz
Made in Japan
Location: Avezzano, Italy</t>
  </si>
  <si>
    <t xml:space="preserve">70305</t>
  </si>
  <si>
    <t xml:space="preserve">C-1120-008-0001</t>
  </si>
  <si>
    <t xml:space="preserve">BALL SCREW, APROX 170 CM LENGTH, FOR EBARA FREX 200</t>
  </si>
  <si>
    <t xml:space="preserve">NEW IN BOX
FOR EBARA FREX 200
S/N 070066401
</t>
  </si>
  <si>
    <t xml:space="preserve">70306</t>
  </si>
  <si>
    <t xml:space="preserve">FREX 200 (Spares)</t>
  </si>
  <si>
    <t xml:space="preserve">PRESSURE SENSITIVE VALVE  FOR EBARA FREX 200</t>
  </si>
  <si>
    <t xml:space="preserve">pressure sensitive valve, 20 TO 350 Pa
FOR EBARA FREX 200</t>
  </si>
  <si>
    <t xml:space="preserve">80031</t>
  </si>
  <si>
    <t xml:space="preserve">EDA Industries</t>
  </si>
  <si>
    <t xml:space="preserve">PCBA 05431</t>
  </si>
  <si>
    <t xml:space="preserve">DRIVER module for BIB oven</t>
  </si>
  <si>
    <t xml:space="preserve">Reliability</t>
  </si>
  <si>
    <t xml:space="preserve">POWER SUPPLY MODULE FOR RELIABILITY OVEN MANUFACTURED BY EDA INDUSTRIES SpA 
Italy.
WEIGHT AND DIMS OF BOX CONTAINING QTY 6 PSUs: 21 cm x 40 cm x 17 cm weight 
2 KG
Location: Avezzano (AQ) 67051 Italy.
Warehoused and crated.
</t>
  </si>
  <si>
    <t xml:space="preserve">80082</t>
  </si>
  <si>
    <t xml:space="preserve">PCBA 05568 REV 1.2</t>
  </si>
  <si>
    <t xml:space="preserve">Pattern test Driver module for BIB oven with 3 x PSU</t>
  </si>
  <si>
    <t xml:space="preserve">DRIVER MODULE FOR RELIABILITY OVEN MANUFACTURED BY EDA INDUSTRIES SpA 
Italy.
With 3 Burn-in power supplies model PCBA05431 Rev 21.2 and 25.2
Un-crated Dimensions of board: 60 cm (l) x 53 cm (w) x 6 cm (h)
Weight of board: 7.5 KG
Location: Avezzano (AQ) 67051 Italy.
Warehoused and crated.
Other parts included with board:-
EDA PCBA 05719 rev 1.6 PTDM TESTPOINT BOARD
EDA-PCBD-04509 TITLE DCP IIIE
EDA PCBA 05615 PTDM SUPPORT BOARD rev 1.1
PROCESSOR: ALTERA STRATIX
ON-BOARD MEMORY MODULE TYPE: MICRON 512 MB DDR 266 CL. 2.5</t>
  </si>
  <si>
    <t xml:space="preserve">80042</t>
  </si>
  <si>
    <t xml:space="preserve">Pattern test Driver module for BIB oven with 6 drivers</t>
  </si>
  <si>
    <t xml:space="preserve">DRIVER MODULE FOR RELIABILITY OVEN MANUFACTURED BY EDA INDUSTRIES SpA 
Italy.
With 6 Burn-in power supplies model PCBA05431 Rev 21.2
Un-crated Dimensions of board: 60 cm (l) x 53 cm (w) x 6 cm (h)
Weight of board: 7.5 KG
Location: Avezzano (AQ) 67051 Italy.
Warehoused and crated.
Other parts included with board:-
EDA PCBA 05719 PTDM DIGITAL I/O
EDA PCBD 04509  TITLE DCP IIIE
EDA-PCBA-05615 PTDW SUPPORT BOARD
PROCESSOR: ALTERA STRATIX
ON-BOARD MEMORY MODULE TYPE: MICRON 512 MB DDR 266 CL2.5</t>
  </si>
  <si>
    <t xml:space="preserve">80052</t>
  </si>
  <si>
    <t xml:space="preserve">PCBA 05568 REV 1.3</t>
  </si>
  <si>
    <t xml:space="preserve">DRIVER MODULE FOR RELIABILITY OVEN MANUFACTURED BY EDA INDUSTRIES SpA 
Italy.
With 3 Burn-in power supplies model PCBA05431 Rev 21.2
Un-crated Dimensions of board: 60 cm (l) x 53 cm (w) x 6 cm (h)
Weight of board: 7.5 KG
Location: Avezzano (AQ) 67051 Italy.
Warehoused and crated.
Other parts included with board:-
EDA PCBA 05719 rev 1.6 PTDM TESTPOINT BOARD
EDA-PCBD-04509 TITLE DCP IIIE
EDA PCBA 05615 REV 1.3
PROCESSOR: ALTERA STRATIX
ON-BOARD MEMORY MODULE TYPE: MICRON 512 MB DDR 266 CL. 2.5</t>
  </si>
  <si>
    <t xml:space="preserve">80040</t>
  </si>
  <si>
    <t xml:space="preserve">PCBA 05568 REV 1.4</t>
  </si>
  <si>
    <t xml:space="preserve">Pattern test Driver module for BIB oven</t>
  </si>
  <si>
    <t xml:space="preserve">DRIVER MODULE FOR RELIABILITY OVEN MANUFACTURED BY EDA INDUSTRIES SpA 
Italy.
With 3 Burn-in power supplies model PCBA05431 Rev 21.3
Un-crated Dimensions of board: 60 cm (l) x 53 cm (w) x 6 cm (h)
Weight of board: 7.5 KG
Location: Avezzano (AQ) 67051 Italy.
Warehoused and crated.
Other parts included with board:-
EDA PCBA 05719 rev 1.6
EDA PCBA 05615 REV 1.4
PROCESSOR: ALTERA STRATIX
ON-BOARD MEMORY MODULE TYPE: MICRON 512 MB DDR 333 CLR 22.55</t>
  </si>
  <si>
    <t xml:space="preserve">80041</t>
  </si>
  <si>
    <t xml:space="preserve">DRIVER MODULE FOR RELIABILITY OVEN MANUFACTURED BY EDA INDUSTRIES SpA 
Italy.
With 3 Burn-in power supplies model PCBA05431 Rev 21.3
Un-crated Dimensions of board: 60 cm (l) x 53 cm (w) x 6 cm (h)
Weight of board: 7.5 KG
Location: Avezzano (AQ) 67051 Italy.
Warehoused and crated.
Other parts included with board:-
EDA PCBA 05719 rev 1.6 PTDM TESTPOINT BOARD
EDA PCBA 05615 REV 1.4
PROCESSOR: ALTERA STRATIX
ON-BOARD MEMORY MODULE TYPE: MICRON 512 MB DDR 266 CL. 2.5</t>
  </si>
  <si>
    <t xml:space="preserve">80080</t>
  </si>
  <si>
    <t xml:space="preserve">Pattern test Driver PCB for BIB oven</t>
  </si>
  <si>
    <t xml:space="preserve">DRIVER MODULE FOR RELIABILITY OVEN MANUFACTURED BY EDA INDUSTRIES SpA 
Italy.
Without Burn-in power supplies model PCBA05431 Rev 21.2
Un-crated Dimensions of board: 60 cm (l) x 53 cm (w) x 6 cm (h)
Weight of board: 7.5 KG
Location: Avezzano (AQ) 67051 Italy.
Warehoused and crated.
Other parts included with board:-
EDA PCBA 05719  PTDM DIGITAL I/O  BOARD
EDA-PCBD-04509 TITLE DCP IIIE
EDA PCBA 05615 REV 1.4 PTDM SUPPORT BOARD
PROCESSOR: ALTERA STRATIX
ON-BOARD MEMORY MODULE TYPE: MICRON 512 MB DDR 266 CL. 2.5</t>
  </si>
  <si>
    <t xml:space="preserve">80001</t>
  </si>
  <si>
    <t xml:space="preserve">PCBA 05568 REV 1.6</t>
  </si>
  <si>
    <t xml:space="preserve">DRIVER MODULE FOR RELIABILITY OVEN MANUFACTURED BY EDA INDUSTRIES SpA 
Italy.
With 6 Burn-in power supplies model PCBA05431 Rev 21.3
Un-crated Dimensions of board: 60 cm (l) x 53 cm (w) x 6 cm (h)
Weight of board: 7.5 KG
Location: Avezzano (AQ) 67051 Italy.
Warehoused and crated.
Power-up test available.
Other parts included with board:-
EDA PCBA 05719
EDA PCBD 04509  TITLE DCP IIIE
PROCESSOR: ALTERA STRATIX
ON-BOARD MEMORY MODULE TYPE: MICRON 512 MB DDR 266 CL2.5</t>
  </si>
  <si>
    <t xml:space="preserve">80030</t>
  </si>
  <si>
    <t xml:space="preserve">DRIVER MODULE FOR RELIABILITY OVEN MANUFACTURED BY EDA INDUSTRIES SpA 
Italy.
With 6 Burn-in power supplies model PCBA05431 Rev 26.3
Un-crated Dimensions of board: 60 cm (l) x 53 cm (w) x 6 cm (h)
Weight of board: 7.5 KG
Location: Avezzano (AQ) 67051 Italy.
Warehoused and crated.
Power-up test available.
Other parts included with board:-
EDA PCBA 05715 REV 1.6 support board
EDA PCBD 04509  TITLE DCP IIIE
PROCESSOR: ALTERA STRATIX
ON-BOARD MEMORY MODULE TYPE: MICRON 512 MB DDR 266 CL2.5EDA PCBA 05719 PTDM 
DIGITAL I/O</t>
  </si>
  <si>
    <t xml:space="preserve">80045</t>
  </si>
  <si>
    <t xml:space="preserve">DRIVER MODULE FOR RELIABILITY OVEN MANUFACTURED BY EDA INDUSTRIES SpA 
Italy.
With 6 Burn-in power supplies model PCBA05431
Un-crated Dimensions of board: 60 cm (l) x 53 cm (w) x 6 cm (h)
Weight of board: 7.5 KG
Location: Avezzano (AQ) 67051 Italy.
Warehoused and crated.
Other parts included with board:-
EDA PCBA 05719 PTDM DIGITAL I/O
EDA PCBD 04509  TITLE DCP IIIE
EDA-PCBA-05615 PTDW SUPPORT BOARD
EDA-PCBA-05615 REV 1.6
PROCESSOR: ALTERA STRATIX
ON-BOARD MEMORY MODULE TYPE: MICRON 512 MB DDR 333 CL2.5</t>
  </si>
  <si>
    <t xml:space="preserve">80081</t>
  </si>
  <si>
    <t xml:space="preserve">Pattern test Driver PCB for BIB oven with 6 drivers</t>
  </si>
  <si>
    <t xml:space="preserve">DRIVER MODULE FOR RELIABILITY OVEN MANUFACTURED BY EDA INDUSTRIES SpA 
Italy.
With 6 Burn-in power supplies model PCBA05431
Un-crated Dimensions of board: 60 cm (l) x 53 cm (w) x 6 cm (h)
Weight of board: 7.5 KG
Location: Avezzano (AQ) 67051 Italy.
Warehoused and crated.
Other parts included with board:-
EDA PCBA 05719 PTDM DIGITAL I/O
EDA PCBD 04509  TITLE DCP IIIE
EDA-PCBA-05615 PTDW SUPPORT BOARD
EDA-PCBA-05615 REV 1.6
PROCESSOR: ALTERA STRATIX
ON-BOARD MEMORY MODULE TYPE: MICRON 512 MB DDR 266 CL2.5</t>
  </si>
  <si>
    <t xml:space="preserve">80084</t>
  </si>
  <si>
    <t xml:space="preserve">DRIVER MODULE FOR RELIABILITY OVEN MANUFACTURED BY EDA INDUSTRIES SpA 
Italy.
With 6 Burn-in power supplies model PCBA05431 REV 21.3
Un-crated Dimensions of board: 60 cm (l) x 53 cm (w) x 6 cm (h)
Weight of board: 7.5 KG
Location: Avezzano (AQ) 67051 Italy.
Warehoused and crated.
Other parts included with board:-
EDA PCBA 05719 PTDM DIGITAL I/O
EDA PCBD 04509  TITLE DCP IIIE
EDA-PCBA-05615 PTDW SUPPORT BOARD
EDA-PCBA-05615 REV 1.6
PROCESSOR: ALTERA STRATIX
ON-BOARD MEMORY MODULE TYPE: MICRON 512 MB DDR 266 CL2.5</t>
  </si>
  <si>
    <t xml:space="preserve">80029</t>
  </si>
  <si>
    <t xml:space="preserve">PCBA 05758 </t>
  </si>
  <si>
    <t xml:space="preserve">UBTS Diagnostic Board for BIB oven</t>
  </si>
  <si>
    <t xml:space="preserve">UBTS DIAGNOSTIC BOARD FOR RELIABILITY OVEN MANUFACTURED BY EDA INDUSTRIES 
SpA Italy.
Un-crated Dimensions of board: 60 cm (l) x 53 cm (w) x 6 cm (h)
Weight of board: 7.5 KG
Location: Avezzano (AQ) 67051 Italy.
Warehoused and crated.
Power-up test available.
Other parts included with board:-
PCBA-06781/1.1</t>
  </si>
  <si>
    <t xml:space="preserve">80032</t>
  </si>
  <si>
    <t xml:space="preserve">PCBA 07009</t>
  </si>
  <si>
    <t xml:space="preserve">PTDM TO ART 200 EXTENDER CARD</t>
  </si>
  <si>
    <t xml:space="preserve">EXTENDER CARD FOR  RELIABILITY OVEN MANUFACTURED BY EDA INDUSTRIES SpA 
Italy.
Dimensions of box containing board: 60 cm (l) x 18 cm (w) x 8 cm (h)
Weight of board: 2 KG
Location: Avezzano (AQ) 67051 Italy.
Warehoused and crated.</t>
  </si>
  <si>
    <t xml:space="preserve">80033</t>
  </si>
  <si>
    <t xml:space="preserve">EDA Industries ERNI</t>
  </si>
  <si>
    <t xml:space="preserve">914796 RC</t>
  </si>
  <si>
    <t xml:space="preserve">BURN IN BOARD SOCKET Hard Metric Connectors (154 Contacts, Vertical, Gold Plated). </t>
  </si>
  <si>
    <t xml:space="preserve">256</t>
  </si>
  <si>
    <t xml:space="preserve">NEW UNUSED.
FOR  RELIABILITY OVEN MANUFACTURED BY EDA INDUSTRIES SpA Italy.
Dimensions of box containing SOCKETS: 34 cm (l) x 35 cm (w) x 15 cm (h)
Location: Avezzano (AQ) 67051 Italy.
Warehoused and crated.
ERNI 914796  Hard Metric Connectors (154 Contacts, Vertical, Gold Plated).</t>
  </si>
  <si>
    <t xml:space="preserve">72128</t>
  </si>
  <si>
    <t xml:space="preserve">Edwards</t>
  </si>
  <si>
    <t xml:space="preserve">040020030</t>
  </si>
  <si>
    <t xml:space="preserve">Cable, motor drive, 5M seiko</t>
  </si>
  <si>
    <t xml:space="preserve">115386</t>
  </si>
  <si>
    <t xml:space="preserve">EDWARDS</t>
  </si>
  <si>
    <t xml:space="preserve">E2M175</t>
  </si>
  <si>
    <t xml:space="preserve"> VACUUM PUMP</t>
  </si>
  <si>
    <t xml:space="preserve">De-installed and warehoused. Can be inspected by appointment.
Sold "as is".</t>
  </si>
  <si>
    <t xml:space="preserve">115387</t>
  </si>
  <si>
    <t xml:space="preserve">VACUUM PUMP</t>
  </si>
  <si>
    <t xml:space="preserve">115389</t>
  </si>
  <si>
    <t xml:space="preserve">EH2600</t>
  </si>
  <si>
    <t xml:space="preserve">MECHANICAL BOOSTER VACUUM PUMP</t>
  </si>
  <si>
    <t xml:space="preserve">115388</t>
  </si>
  <si>
    <t xml:space="preserve">77209</t>
  </si>
  <si>
    <t xml:space="preserve">Flange</t>
  </si>
  <si>
    <t xml:space="preserve">Edwards pump flange 5 1/8" OD 4" ID</t>
  </si>
  <si>
    <t xml:space="preserve">Inner Dimension 4" Outer Dimension 5 1/8"
Stainless steel
Boerne,TX Warehouse </t>
  </si>
  <si>
    <t xml:space="preserve">82180</t>
  </si>
  <si>
    <t xml:space="preserve">Edwards pump flange 10 7/8" i.d. 11 3/8" O.D.</t>
  </si>
  <si>
    <t xml:space="preserve">  Inner Dimension 10 7/8" Outer Dimension 11 3/8"
27.5cm I.D. 29cm o.d.
Stainless steel, used
Boerne,TX Warehouse </t>
  </si>
  <si>
    <t xml:space="preserve">95559</t>
  </si>
  <si>
    <t xml:space="preserve">iQDP40</t>
  </si>
  <si>
    <t xml:space="preserve">Dry Mechanical Pump</t>
  </si>
  <si>
    <t xml:space="preserve">-in excellent condition
-At our warehouse in Avezzano, 67051 (AQ) ,near to Rome, in Italy.
-EU voltage setup
Code A532-40-905
Weight: 186 KG
S/N: 006467491
CE MARKED
-SEE ATTACHED PHOTOS FOR DETAILS
-INCLUDES Electrics Module p/n D37207000 with dongle.
-Dims: 90 cm x 44 cm x 70 cm (h)
The iQDP40 Dry pumping System is a microprocessor controlled, modular, dry 
pump package that provides unparalleled control and monitoring facilities. 
The iQ pumping system can be locally controlled by a hand held LCD control 
panel or remotely controlled through a fully customized tool interface. All 
major control elements are located within the footprint of the pumping 
system.The iQ dry pumping system has integrated sensors, which continuously 
monitor key system performance parameters and give advanced warning of 
problems. These pumps have pump and motor temperature sensors installed.
The iQ pumpset parameters can be monitored and displayed through a variety 
of output devices including: Hand-held or panel mounted control module; 
Local PC or laptop computer; OEM specified tool interface; PC as part of a 
fab-wide network. This is a hand held LCD control panel module provides 
access to: system control and configuration; system status and monitored 
values; diagnostics and recommended corrective action. A tool interface 
module can be used to provide a fully customized interface to your process 
tool. It communicates with the iQ pumping system through a screened twisted 
pair cable. It has integral system configuration which check process pump 
service history log, process/tool specific settings, updated on power-on, 
giving maximum pump interchangeability between process tools.</t>
  </si>
  <si>
    <t xml:space="preserve">54217</t>
  </si>
  <si>
    <t xml:space="preserve">iQDP80 / QMB1200</t>
  </si>
  <si>
    <t xml:space="preserve">Dry Vacuum Pump combo</t>
  </si>
  <si>
    <t xml:space="preserve">p/n 810-08442R Was used for doped Poly process
Location: Avezzano (AQ) 67051 Italy</t>
  </si>
  <si>
    <t xml:space="preserve">54218</t>
  </si>
  <si>
    <t xml:space="preserve">p/n 810-08442R Was used for doped Poly process Stock photos for 
illustrative puposes only.
Location: Avezzano (AQ) 67051 Italy</t>
  </si>
  <si>
    <t xml:space="preserve">54219</t>
  </si>
  <si>
    <t xml:space="preserve">p/n 810-08442R Was used for doped Poly process.
Location: Avezzano (AQ) 67051 Italy</t>
  </si>
  <si>
    <t xml:space="preserve">106974</t>
  </si>
  <si>
    <t xml:space="preserve">QDP40 + QMB250F</t>
  </si>
  <si>
    <t xml:space="preserve">Dry Vacuum pump combo with power box</t>
  </si>
  <si>
    <t xml:space="preserve">-deinstalled from working condition
-CE MARKED
-208V 3 PH 50/60 HZ
-see attached photos for details</t>
  </si>
  <si>
    <t xml:space="preserve">106973</t>
  </si>
  <si>
    <t xml:space="preserve">QDP80 + QMB250F</t>
  </si>
  <si>
    <t xml:space="preserve">106975</t>
  </si>
  <si>
    <t xml:space="preserve">106972</t>
  </si>
  <si>
    <t xml:space="preserve">QDP80 Drystar</t>
  </si>
  <si>
    <t xml:space="preserve">Dry Vacuum pump with power box</t>
  </si>
  <si>
    <t xml:space="preserve">-deinstalled from working condition
-233 kg, 40 cm x 97 cm x 90 cm (H)
-CE MARKED
-208V 3 PH 30A 50/60 HZ
-see attached photos for details</t>
  </si>
  <si>
    <t xml:space="preserve">72127</t>
  </si>
  <si>
    <t xml:space="preserve">Speedivalve</t>
  </si>
  <si>
    <t xml:space="preserve">SPEEDI VALVE</t>
  </si>
  <si>
    <t xml:space="preserve">106919</t>
  </si>
  <si>
    <t xml:space="preserve">STP-A1303C</t>
  </si>
  <si>
    <t xml:space="preserve">TURBOMOLECULAR PUMP</t>
  </si>
  <si>
    <t xml:space="preserve">ONLY THE PUMP.
CABLES AND CONTROLLER NOT INCLUDED.
HAS BEEN USED WITH BCl3 Cl2, HBr, SF6.
HAS NOT BEEN DECONTAMINATED. WILL REQUIRE CLEANING BEFORE USE.</t>
  </si>
  <si>
    <t xml:space="preserve">115390</t>
  </si>
  <si>
    <t xml:space="preserve">STP-H1000C </t>
  </si>
  <si>
    <t xml:space="preserve">TURBOMOLECULAR PUMP [ASIS]</t>
  </si>
  <si>
    <t xml:space="preserve">83582</t>
  </si>
  <si>
    <t xml:space="preserve">Trace heating Control Unit</t>
  </si>
  <si>
    <t xml:space="preserve">Scrubber Trace heating control unit</t>
  </si>
  <si>
    <t xml:space="preserve">Facilities</t>
  </si>
  <si>
    <t xml:space="preserve">Part of the Edwards Smarth Thermal management Solution.
The complete solution comprises electrical pipeline heaters, insulation 
jackets, and this Smart Thermal Management Control Unit
WEIGHT 10 KG.
DIMENSION: 43 CM. X 24 CM. X 12 CM.(H)</t>
  </si>
  <si>
    <t xml:space="preserve">69878</t>
  </si>
  <si>
    <t xml:space="preserve">Edwards / Seiko Seiki</t>
  </si>
  <si>
    <t xml:space="preserve">STP 1000C</t>
  </si>
  <si>
    <t xml:space="preserve">TURBO PUMP TMP 100C 250 ISO-K/KF40</t>
  </si>
  <si>
    <t xml:space="preserve">S/N 0000014025 LOCATED IN AVEZZANO, ITALY 67051 (NEAR ROME) USED
REQUIRES REFURBISHMENT AND CLEANING PRIOR TO USE.
CAN BE SOLD REFURBISHED AT EXTRA COST.
THE CONTROLLER AND THE CONTROL CABLE ARE ALSO AVAILABLE FOR PURCHASE IF 
REQUIRED.
AXCELIS PART NUMBER
3100353</t>
  </si>
  <si>
    <t xml:space="preserve">79521</t>
  </si>
  <si>
    <t xml:space="preserve">Efector</t>
  </si>
  <si>
    <t xml:space="preserve">500</t>
  </si>
  <si>
    <t xml:space="preserve">Pressure sensor switch, programmable</t>
  </si>
  <si>
    <t xml:space="preserve">Like new in a box, in the Boerne,TX warehouse</t>
  </si>
  <si>
    <t xml:space="preserve">15658</t>
  </si>
  <si>
    <t xml:space="preserve">ELCO</t>
  </si>
  <si>
    <t xml:space="preserve">MMC50-1</t>
  </si>
  <si>
    <t xml:space="preserve">V1-G1 5V 0.75~5A V2-G2 12V 1.5A V3 12V 0.5A AC IN 85~132V PIN: 73W MAX
WEIGHT:500 GR.
DIMENSION: 18 CM. X 10 CM. X 4 CM. (H)</t>
  </si>
  <si>
    <t xml:space="preserve">83639</t>
  </si>
  <si>
    <t xml:space="preserve">ELCO CO. LTD</t>
  </si>
  <si>
    <t xml:space="preserve">K SERIES</t>
  </si>
  <si>
    <t xml:space="preserve">K100 A-12</t>
  </si>
  <si>
    <t xml:space="preserve">SWITCHING REGULATOR
K100A-12
ACIN 85-132V
12V85A
PIN: 137W MAX
WEIGHT: 0,7 KG.. X 10 CM. X 6 CM. (H)
DIMENSION: 20 CM</t>
  </si>
  <si>
    <t xml:space="preserve">83636</t>
  </si>
  <si>
    <t xml:space="preserve">K50A-15</t>
  </si>
  <si>
    <t xml:space="preserve">15V3.4A</t>
  </si>
  <si>
    <t xml:space="preserve">POWER SUPPLY
ELCO CO.LTD
K50A-15
ACIN 85-132V
PIN: 77W MAX
15V3.4A
0352499A (2)
9S009SA  (1)
WEIGHT FOR EACH: 0,5 KG.
DIMENSION: 17 CM. X 10 CM. X 4 CM. (H)  FOR ONE</t>
  </si>
  <si>
    <t xml:space="preserve">110074</t>
  </si>
  <si>
    <t xml:space="preserve">Electrotech</t>
  </si>
  <si>
    <t xml:space="preserve">LF A48257</t>
  </si>
  <si>
    <t xml:space="preserve">110073</t>
  </si>
  <si>
    <t xml:space="preserve">110072</t>
  </si>
  <si>
    <t xml:space="preserve">79887</t>
  </si>
  <si>
    <t xml:space="preserve">Elind</t>
  </si>
  <si>
    <t xml:space="preserve">328</t>
  </si>
  <si>
    <t xml:space="preserve">Laboratory power supply 0-0,8A current adj - 0 - 32 V voltage adj</t>
  </si>
  <si>
    <t xml:space="preserve">Lab Equipment</t>
  </si>
  <si>
    <t xml:space="preserve">In good working condition
Location: Avezzano, Italy
Warehoused
Can be inspected by appointment
</t>
  </si>
  <si>
    <t xml:space="preserve">79885</t>
  </si>
  <si>
    <t xml:space="preserve">3232</t>
  </si>
  <si>
    <t xml:space="preserve">Laboratory power supply 0-3,2A current adj - 0 - 32 V voltage adj</t>
  </si>
  <si>
    <t xml:space="preserve">In good working condition
Location: Avezzano, Italy
Warehoused
Can be inspected by appointment</t>
  </si>
  <si>
    <t xml:space="preserve">79596</t>
  </si>
  <si>
    <t xml:space="preserve">KL 1200W</t>
  </si>
  <si>
    <t xml:space="preserve">Laboratory Power supply</t>
  </si>
  <si>
    <t xml:space="preserve">I have a total of Qty 8 available for immediate consignment.
The exact model of the KL 1200W power supplies I have in stock is 30KL 
38/80
These power supplies are 0-30V /0-80A, 960 to 1080 W rated.
-Switching power supply with auto-ranging
-Auto ranging allows the maximum output power for an extended range of 
voltages and currents
-More units can be joined together in series, parallel or for 
auto-tracking.
-Input and output protection.
-Temperature protection
-Soft-start function
-Possibility to set voltage and temperature limits without connecting the 
load.
-Regulation with 10 turn potentiometer.
-Remote sensing
-See attached detailed technical specification
-Shipping information:-
-weight: 10 kg dimensions: 500 mm x 300 mm x 400 mm
Location: Avezzano, Italy.</t>
  </si>
  <si>
    <t xml:space="preserve">110093</t>
  </si>
  <si>
    <t xml:space="preserve">ENI</t>
  </si>
  <si>
    <t xml:space="preserve">ACG-3</t>
  </si>
  <si>
    <t xml:space="preserve">Sold Ex-Works, UK Office , Part Number:ACG-3LP4</t>
  </si>
  <si>
    <t xml:space="preserve">110092</t>
  </si>
  <si>
    <t xml:space="preserve">Sold Ex-Works, UK Office , Part Number:ACG-3LP2</t>
  </si>
  <si>
    <t xml:space="preserve">110091</t>
  </si>
  <si>
    <t xml:space="preserve">110090</t>
  </si>
  <si>
    <t xml:space="preserve">110089</t>
  </si>
  <si>
    <t xml:space="preserve">110088</t>
  </si>
  <si>
    <t xml:space="preserve">110087</t>
  </si>
  <si>
    <t xml:space="preserve">110097</t>
  </si>
  <si>
    <t xml:space="preserve">ACG-3B</t>
  </si>
  <si>
    <t xml:space="preserve">Sold Ex-Works, UK Office , Part Number:ACG-3B-09</t>
  </si>
  <si>
    <t xml:space="preserve">110096</t>
  </si>
  <si>
    <t xml:space="preserve">Sold Ex-Works, UK Office , Part Number:ACG-3B-06</t>
  </si>
  <si>
    <t xml:space="preserve">110095</t>
  </si>
  <si>
    <t xml:space="preserve">Sold Ex-Works, UK Office , Part Number:ACG-3B-01M7</t>
  </si>
  <si>
    <t xml:space="preserve">110094</t>
  </si>
  <si>
    <t xml:space="preserve">110099</t>
  </si>
  <si>
    <t xml:space="preserve">ACG-3DC</t>
  </si>
  <si>
    <t xml:space="preserve">Sold Ex-Works, UK Office , Part Number:ACG-3PDC-11701</t>
  </si>
  <si>
    <t xml:space="preserve">110098</t>
  </si>
  <si>
    <t xml:space="preserve">110100</t>
  </si>
  <si>
    <t xml:space="preserve">ACG-5</t>
  </si>
  <si>
    <t xml:space="preserve">110101</t>
  </si>
  <si>
    <t xml:space="preserve">ACG-6</t>
  </si>
  <si>
    <t xml:space="preserve">Sold Ex-Works, UK Office , Part Number:ACG-6M5</t>
  </si>
  <si>
    <t xml:space="preserve">110102</t>
  </si>
  <si>
    <t xml:space="preserve">For sale refurbished with warranty, ex-works, UK Office.
Part Number: ACG-6M5</t>
  </si>
  <si>
    <t xml:space="preserve">110077</t>
  </si>
  <si>
    <t xml:space="preserve">ACG-10</t>
  </si>
  <si>
    <t xml:space="preserve">Sold Ex-Works, UK Office , Part Number:ACG-10-11631-50</t>
  </si>
  <si>
    <t xml:space="preserve">110076</t>
  </si>
  <si>
    <t xml:space="preserve">Sold Ex-Works, UK Office , Part Number:ACG-10-01 , Secondary P/N:MRC</t>
  </si>
  <si>
    <t xml:space="preserve">110075</t>
  </si>
  <si>
    <t xml:space="preserve">110085</t>
  </si>
  <si>
    <t xml:space="preserve">ACG-10B</t>
  </si>
  <si>
    <t xml:space="preserve">Sold Ex-Works, UK Office , Part Number:ACG-10B-07</t>
  </si>
  <si>
    <t xml:space="preserve">110084</t>
  </si>
  <si>
    <t xml:space="preserve">110083</t>
  </si>
  <si>
    <t xml:space="preserve">Sold Ex-Works, UK Office , Part Number:ACG-10B-03</t>
  </si>
  <si>
    <t xml:space="preserve">110082</t>
  </si>
  <si>
    <t xml:space="preserve">Sold Ex-Works, UK Office , Part Number:ACG-10B-02</t>
  </si>
  <si>
    <t xml:space="preserve">110081</t>
  </si>
  <si>
    <t xml:space="preserve">Sold Ex-Works, UK Office , Part Number:ACG-10B-02 , Secondary P/N:MRC</t>
  </si>
  <si>
    <t xml:space="preserve">110080</t>
  </si>
  <si>
    <t xml:space="preserve">Sold Ex-Works, UK Office , Part Number:ACG-10B-01-M9</t>
  </si>
  <si>
    <t xml:space="preserve">110079</t>
  </si>
  <si>
    <t xml:space="preserve">Sold Ex-Works, UK Office , Part Number:ACG-10B-01M9</t>
  </si>
  <si>
    <t xml:space="preserve">110078</t>
  </si>
  <si>
    <t xml:space="preserve">Sold Ex-Works, UK Office , Part Number:ACG-10B-01</t>
  </si>
  <si>
    <t xml:space="preserve">110086</t>
  </si>
  <si>
    <t xml:space="preserve">ACG-10XL</t>
  </si>
  <si>
    <t xml:space="preserve">Sold Ex-Works, UK Office , Part Number:ACG-10-04-XL</t>
  </si>
  <si>
    <t xml:space="preserve">110105</t>
  </si>
  <si>
    <t xml:space="preserve">DCG 200</t>
  </si>
  <si>
    <t xml:space="preserve">Sold Ex-Works, UK Office , Part Number:DC26M-Z011300010</t>
  </si>
  <si>
    <t xml:space="preserve">110104</t>
  </si>
  <si>
    <t xml:space="preserve">Sold Ex-Works, UK Office , Part Number:DC26M-Z011100010C</t>
  </si>
  <si>
    <t xml:space="preserve">110106</t>
  </si>
  <si>
    <t xml:space="preserve">DOFBC2-078 </t>
  </si>
  <si>
    <t xml:space="preserve">Sold Ex-Works, UK Office , Part Number:DOFBC2-078 , Secondary 
P/N:000-1103-078</t>
  </si>
  <si>
    <t xml:space="preserve">110107</t>
  </si>
  <si>
    <t xml:space="preserve">Dual Match 2.27Mhz</t>
  </si>
  <si>
    <t xml:space="preserve">Sold Ex-Works, UK Office , Part Number:000-1103-075 , Secondary 
P/N:660-002296-002</t>
  </si>
  <si>
    <t xml:space="preserve">115391</t>
  </si>
  <si>
    <t xml:space="preserve">GHW12Z-12018 GHW-12 </t>
  </si>
  <si>
    <t xml:space="preserve">GENESIS RF GENERATOR [ASIS]</t>
  </si>
  <si>
    <t xml:space="preserve">110109</t>
  </si>
  <si>
    <t xml:space="preserve">GHW-25</t>
  </si>
  <si>
    <t xml:space="preserve">Sold Ex-Works, UK Office , Part Number:GHW25A-13DF3N0-001</t>
  </si>
  <si>
    <t xml:space="preserve">110108</t>
  </si>
  <si>
    <t xml:space="preserve">110110</t>
  </si>
  <si>
    <t xml:space="preserve">Harmonic Filter</t>
  </si>
  <si>
    <t xml:space="preserve">Sold Ex-Works, UK Office , Part Number:HF-3000-50</t>
  </si>
  <si>
    <t xml:space="preserve">83625</t>
  </si>
  <si>
    <t xml:space="preserve">HF-3000-50</t>
  </si>
  <si>
    <t xml:space="preserve">HARMONIC FILTER ASSY</t>
  </si>
  <si>
    <t xml:space="preserve">HARMONIC FILTER
HF-3000-50
DATE OF MFG 03.29.94
FREQUENCY 13.56 MHz
MAXUMUM POWER 3 KW
MAX AMBIENT TEMP. 45° C
INSERTION LOSS 2,8%
REFLECTED POWER 0076%
WEIGHT: 2 KG.
DIMENSION: 22 CM. X 20 CM. X 19 CM. (H)</t>
  </si>
  <si>
    <t xml:space="preserve">110112</t>
  </si>
  <si>
    <t xml:space="preserve">HPG-2</t>
  </si>
  <si>
    <t xml:space="preserve">Sold Ex-Works, UK Office , Part Number:HPG-2</t>
  </si>
  <si>
    <t xml:space="preserve">110111</t>
  </si>
  <si>
    <t xml:space="preserve">110122</t>
  </si>
  <si>
    <t xml:space="preserve">LPG-6</t>
  </si>
  <si>
    <t xml:space="preserve">Sold Ex-Works, UK Office , Part Number:LPG-6PT</t>
  </si>
  <si>
    <t xml:space="preserve">110124</t>
  </si>
  <si>
    <t xml:space="preserve">LPG-6A</t>
  </si>
  <si>
    <t xml:space="preserve">110123</t>
  </si>
  <si>
    <t xml:space="preserve">110119</t>
  </si>
  <si>
    <t xml:space="preserve">LPG-12A</t>
  </si>
  <si>
    <t xml:space="preserve">Sold Ex-Works, UK Office , Part Number:LPG15ALX-21051</t>
  </si>
  <si>
    <t xml:space="preserve">110118</t>
  </si>
  <si>
    <t xml:space="preserve">110117</t>
  </si>
  <si>
    <t xml:space="preserve">Sold Ex-Works, UK Office , Part Number:LPG-15ALX-20151-50</t>
  </si>
  <si>
    <t xml:space="preserve">110116</t>
  </si>
  <si>
    <t xml:space="preserve">Sold Ex-Works, UK Office , Part Number:LPG12ALX-21051-50</t>
  </si>
  <si>
    <t xml:space="preserve">110115</t>
  </si>
  <si>
    <t xml:space="preserve">Sold Ex-Works, UK Office , Part Number:LPG-12A-21051-50</t>
  </si>
  <si>
    <t xml:space="preserve">110114</t>
  </si>
  <si>
    <t xml:space="preserve">110113</t>
  </si>
  <si>
    <t xml:space="preserve">Sold Ex-Works, UK Office , Part Number:LPG-12A-21051-30</t>
  </si>
  <si>
    <t xml:space="preserve">110134</t>
  </si>
  <si>
    <t xml:space="preserve">MW Controller</t>
  </si>
  <si>
    <t xml:space="preserve">Sold Ex-Works, UK Office , Part Number:MWC-01</t>
  </si>
  <si>
    <t xml:space="preserve">110133</t>
  </si>
  <si>
    <t xml:space="preserve">110132</t>
  </si>
  <si>
    <t xml:space="preserve">110131</t>
  </si>
  <si>
    <t xml:space="preserve">110130</t>
  </si>
  <si>
    <t xml:space="preserve">110129</t>
  </si>
  <si>
    <t xml:space="preserve">110128</t>
  </si>
  <si>
    <t xml:space="preserve">110127</t>
  </si>
  <si>
    <t xml:space="preserve">Sold Ex-Works, UK Office , Part Number:MW-0113C</t>
  </si>
  <si>
    <t xml:space="preserve">110153</t>
  </si>
  <si>
    <t xml:space="preserve">MW-5</t>
  </si>
  <si>
    <t xml:space="preserve">Sold Ex-Works, UK Office , Part Number:MW-5-21021</t>
  </si>
  <si>
    <t xml:space="preserve">110152</t>
  </si>
  <si>
    <t xml:space="preserve">Sold Ex-Works, UK Office , Part Number:MW-5 3</t>
  </si>
  <si>
    <t xml:space="preserve">110158</t>
  </si>
  <si>
    <t xml:space="preserve">MW-5 Controller</t>
  </si>
  <si>
    <t xml:space="preserve">Sold Ex-Works, UK Office , Part Number:MW-5DM11</t>
  </si>
  <si>
    <t xml:space="preserve">110157</t>
  </si>
  <si>
    <t xml:space="preserve">110156</t>
  </si>
  <si>
    <t xml:space="preserve">110159</t>
  </si>
  <si>
    <t xml:space="preserve">MW-5 Controller </t>
  </si>
  <si>
    <t xml:space="preserve">Sold Ex-Works, UK Office , Part Number:MW-5N-21021</t>
  </si>
  <si>
    <t xml:space="preserve">110155</t>
  </si>
  <si>
    <t xml:space="preserve">110154</t>
  </si>
  <si>
    <t xml:space="preserve">110171</t>
  </si>
  <si>
    <t xml:space="preserve">MW-5D</t>
  </si>
  <si>
    <t xml:space="preserve">Sold Ex-Works, UK Office , Part Number:MW-5-DM13</t>
  </si>
  <si>
    <t xml:space="preserve">110170</t>
  </si>
  <si>
    <t xml:space="preserve">Sold Ex-Works, UK Office , Part Number:MW-5-DM11</t>
  </si>
  <si>
    <t xml:space="preserve">110169</t>
  </si>
  <si>
    <t xml:space="preserve">110168</t>
  </si>
  <si>
    <t xml:space="preserve">110167</t>
  </si>
  <si>
    <t xml:space="preserve">110166</t>
  </si>
  <si>
    <t xml:space="preserve">110165</t>
  </si>
  <si>
    <t xml:space="preserve">110164</t>
  </si>
  <si>
    <t xml:space="preserve">Sold Ex-Works, UK Office , Part Number:MW-5D-01M5</t>
  </si>
  <si>
    <t xml:space="preserve">110163</t>
  </si>
  <si>
    <t xml:space="preserve">Sold Ex-Works, UK Office , Part Number:MW-5D-01</t>
  </si>
  <si>
    <t xml:space="preserve">110162</t>
  </si>
  <si>
    <t xml:space="preserve">110161</t>
  </si>
  <si>
    <t xml:space="preserve">110177</t>
  </si>
  <si>
    <t xml:space="preserve">MW-5D Controller</t>
  </si>
  <si>
    <t xml:space="preserve">Sold Ex-Works, UK Office , Part Number:MW-5DM13</t>
  </si>
  <si>
    <t xml:space="preserve">110176</t>
  </si>
  <si>
    <t xml:space="preserve">110175</t>
  </si>
  <si>
    <t xml:space="preserve">110174</t>
  </si>
  <si>
    <t xml:space="preserve">110173</t>
  </si>
  <si>
    <t xml:space="preserve">110172</t>
  </si>
  <si>
    <t xml:space="preserve">110137</t>
  </si>
  <si>
    <t xml:space="preserve">MW-10</t>
  </si>
  <si>
    <t xml:space="preserve">Sold Ex-Works, UK Office , Part Number:MW-10D</t>
  </si>
  <si>
    <t xml:space="preserve">110136</t>
  </si>
  <si>
    <t xml:space="preserve">110135</t>
  </si>
  <si>
    <t xml:space="preserve">Sold Ex-Works, UK Office , Part Number:MW-10</t>
  </si>
  <si>
    <t xml:space="preserve">110146</t>
  </si>
  <si>
    <t xml:space="preserve">MW-10 Controller</t>
  </si>
  <si>
    <t xml:space="preserve">110145</t>
  </si>
  <si>
    <t xml:space="preserve">110144</t>
  </si>
  <si>
    <t xml:space="preserve">110143</t>
  </si>
  <si>
    <t xml:space="preserve">110142</t>
  </si>
  <si>
    <t xml:space="preserve">110141</t>
  </si>
  <si>
    <t xml:space="preserve">MW-10 Controller </t>
  </si>
  <si>
    <t xml:space="preserve">Sold Ex-Works, UK Office , Part Number:MW-10-23194</t>
  </si>
  <si>
    <t xml:space="preserve">110140</t>
  </si>
  <si>
    <t xml:space="preserve">110139</t>
  </si>
  <si>
    <t xml:space="preserve">Sold Ex-Works, UK Office , Part Number:MW-10-21191</t>
  </si>
  <si>
    <t xml:space="preserve">110138</t>
  </si>
  <si>
    <t xml:space="preserve">110148</t>
  </si>
  <si>
    <t xml:space="preserve">MW-10D</t>
  </si>
  <si>
    <t xml:space="preserve">Sold Ex-Works, UK Office , Part Number:MW-10DM6</t>
  </si>
  <si>
    <t xml:space="preserve">110147</t>
  </si>
  <si>
    <t xml:space="preserve">Sold Ex-Works, UK Office , Part Number:MW-10DM1</t>
  </si>
  <si>
    <t xml:space="preserve">110150</t>
  </si>
  <si>
    <t xml:space="preserve">MW-10D Controller</t>
  </si>
  <si>
    <t xml:space="preserve">110149</t>
  </si>
  <si>
    <t xml:space="preserve">110160</t>
  </si>
  <si>
    <t xml:space="preserve">MW-50W</t>
  </si>
  <si>
    <t xml:space="preserve">110178</t>
  </si>
  <si>
    <t xml:space="preserve">MWD-25</t>
  </si>
  <si>
    <t xml:space="preserve">Sold Ex-Works, UK Office , Part Number:MWD-25LD-02</t>
  </si>
  <si>
    <t xml:space="preserve">110180</t>
  </si>
  <si>
    <t xml:space="preserve">MWD-25LD</t>
  </si>
  <si>
    <t xml:space="preserve">Sold Ex-Works, UK Office , Part Number:MWD-25D-06</t>
  </si>
  <si>
    <t xml:space="preserve">110179</t>
  </si>
  <si>
    <t xml:space="preserve">110190</t>
  </si>
  <si>
    <t xml:space="preserve">MWH-5</t>
  </si>
  <si>
    <t xml:space="preserve">Sold Ex-Works, UK Office , Part Number:MWH-5-01M1</t>
  </si>
  <si>
    <t xml:space="preserve">110192</t>
  </si>
  <si>
    <t xml:space="preserve">MWH-5 Controller</t>
  </si>
  <si>
    <t xml:space="preserve">Sold Ex-Works, UK Office , Part Number:MWH-5-01M3</t>
  </si>
  <si>
    <t xml:space="preserve">110191</t>
  </si>
  <si>
    <t xml:space="preserve">110189</t>
  </si>
  <si>
    <t xml:space="preserve">MWH-25</t>
  </si>
  <si>
    <t xml:space="preserve">Sold Ex-Works, UK Office , Part Number:MWH-25-04 , Secondary 
P/N:685-096202-002</t>
  </si>
  <si>
    <t xml:space="preserve">110188</t>
  </si>
  <si>
    <t xml:space="preserve">Sold Ex-Works, UK Office, Part Number: MWH-25-04, Secondary P/N: 
685-096-202-002</t>
  </si>
  <si>
    <t xml:space="preserve">110187</t>
  </si>
  <si>
    <t xml:space="preserve">Sold Ex-Works, UK Office , Part Number:MWH-25-04 , Secondary 
P/N:685-096-202-002</t>
  </si>
  <si>
    <t xml:space="preserve">110186</t>
  </si>
  <si>
    <t xml:space="preserve">MWH-100</t>
  </si>
  <si>
    <t xml:space="preserve">Sold Ex-Works, UK Office , Part Number:MWH-100-01 , Secondary 
P/N:02-143555-00</t>
  </si>
  <si>
    <t xml:space="preserve">110185</t>
  </si>
  <si>
    <t xml:space="preserve">110184</t>
  </si>
  <si>
    <t xml:space="preserve">110183</t>
  </si>
  <si>
    <t xml:space="preserve">Sold Ex-Works, UK Office , Part Number:MWH-100-01 , Secondary 
P/N:27-105212-00</t>
  </si>
  <si>
    <t xml:space="preserve">110182</t>
  </si>
  <si>
    <t xml:space="preserve">110181</t>
  </si>
  <si>
    <t xml:space="preserve">110195</t>
  </si>
  <si>
    <t xml:space="preserve">MWM-25-02</t>
  </si>
  <si>
    <t xml:space="preserve">Sold Ex-Works, UK Office , Part Number:MWM-25-02X , Secondary 
P/N:685-140283-012</t>
  </si>
  <si>
    <t xml:space="preserve">110194</t>
  </si>
  <si>
    <t xml:space="preserve">110193</t>
  </si>
  <si>
    <t xml:space="preserve">110233</t>
  </si>
  <si>
    <t xml:space="preserve">OEM-6</t>
  </si>
  <si>
    <t xml:space="preserve">Sold Ex-Works, UK Office , Part Number:OEM-6M</t>
  </si>
  <si>
    <t xml:space="preserve">110232</t>
  </si>
  <si>
    <t xml:space="preserve">Sold Ex-Works, UK Office , Part Number:OEM-6L</t>
  </si>
  <si>
    <t xml:space="preserve">110231</t>
  </si>
  <si>
    <t xml:space="preserve">Sold Ex-Works, UK Office , Part Number:OEM-6AM-1B</t>
  </si>
  <si>
    <t xml:space="preserve">110230</t>
  </si>
  <si>
    <t xml:space="preserve">110229</t>
  </si>
  <si>
    <t xml:space="preserve">110228</t>
  </si>
  <si>
    <t xml:space="preserve">110227</t>
  </si>
  <si>
    <t xml:space="preserve">Sold Ex-Works, UK Office , Part Number:OEM-6AM</t>
  </si>
  <si>
    <t xml:space="preserve">110226</t>
  </si>
  <si>
    <t xml:space="preserve">OEM-6 </t>
  </si>
  <si>
    <t xml:space="preserve">110225</t>
  </si>
  <si>
    <t xml:space="preserve">110224</t>
  </si>
  <si>
    <t xml:space="preserve">110223</t>
  </si>
  <si>
    <t xml:space="preserve">110222</t>
  </si>
  <si>
    <t xml:space="preserve">110221</t>
  </si>
  <si>
    <t xml:space="preserve">110257</t>
  </si>
  <si>
    <t xml:space="preserve">OEM-6B</t>
  </si>
  <si>
    <t xml:space="preserve">Sold Ex-Works, UK Office , Part Number:OEM-6B-03</t>
  </si>
  <si>
    <t xml:space="preserve">110256</t>
  </si>
  <si>
    <t xml:space="preserve">Sold Ex-Works, UK Office , Part Number:OEM-6B-01</t>
  </si>
  <si>
    <t xml:space="preserve">80368</t>
  </si>
  <si>
    <t xml:space="preserve">OEM-6J</t>
  </si>
  <si>
    <t xml:space="preserve">RF GENERATOR</t>
  </si>
  <si>
    <t xml:space="preserve">ENI OEM 6J, removed from working tool and stored in the SDI warehouse of 
Avezzano Italy. Working condition, but sold as-is.
</t>
  </si>
  <si>
    <t xml:space="preserve">110258</t>
  </si>
  <si>
    <t xml:space="preserve">OEM-6L</t>
  </si>
  <si>
    <t xml:space="preserve">Sold Ex-Works, UK Office , Part Number:4117-1-E-315-988</t>
  </si>
  <si>
    <t xml:space="preserve">110259</t>
  </si>
  <si>
    <t xml:space="preserve">OEM-6M</t>
  </si>
  <si>
    <t xml:space="preserve">110196</t>
  </si>
  <si>
    <t xml:space="preserve">OEM-10B</t>
  </si>
  <si>
    <t xml:space="preserve">Sold Ex-Works, UK Office , Part Number:OEM-10B-08</t>
  </si>
  <si>
    <t xml:space="preserve">110200</t>
  </si>
  <si>
    <t xml:space="preserve">OEM-12</t>
  </si>
  <si>
    <t xml:space="preserve">Sold Ex-Works, UK Office , Part Number:OEM-12L</t>
  </si>
  <si>
    <t xml:space="preserve">110199</t>
  </si>
  <si>
    <t xml:space="preserve">OEM-12 </t>
  </si>
  <si>
    <t xml:space="preserve">110198</t>
  </si>
  <si>
    <t xml:space="preserve">110197</t>
  </si>
  <si>
    <t xml:space="preserve">110217</t>
  </si>
  <si>
    <t xml:space="preserve">OEM-12A</t>
  </si>
  <si>
    <t xml:space="preserve">Sold Ex-Works, UK Office , Part Number:OEM-12AXL-01</t>
  </si>
  <si>
    <t xml:space="preserve">110216</t>
  </si>
  <si>
    <t xml:space="preserve">Sold Ex-Works, UK Office , Part Number:OEM-12AM</t>
  </si>
  <si>
    <t xml:space="preserve">110215</t>
  </si>
  <si>
    <t xml:space="preserve">Sold Ex-Works, UK Office , Part Number:OEM-12AL-21311</t>
  </si>
  <si>
    <t xml:space="preserve">110214</t>
  </si>
  <si>
    <t xml:space="preserve">110213</t>
  </si>
  <si>
    <t xml:space="preserve">Sold Ex-Works, UK Office , Part Number:OEM-12A-21041-51</t>
  </si>
  <si>
    <t xml:space="preserve">110212</t>
  </si>
  <si>
    <t xml:space="preserve">110211</t>
  </si>
  <si>
    <t xml:space="preserve">110210</t>
  </si>
  <si>
    <t xml:space="preserve">110209</t>
  </si>
  <si>
    <t xml:space="preserve">110208</t>
  </si>
  <si>
    <t xml:space="preserve">Sold Ex-Works, UK Office , Part Number:OEM-12A-21041-5</t>
  </si>
  <si>
    <t xml:space="preserve">110207</t>
  </si>
  <si>
    <t xml:space="preserve">Sold Ex-Works, UK Office , Part Number:2041-51</t>
  </si>
  <si>
    <t xml:space="preserve">110219</t>
  </si>
  <si>
    <t xml:space="preserve">OEM-12A XL</t>
  </si>
  <si>
    <t xml:space="preserve">Sold Ex-Works, UK Office , Part Number:OEM-12AL-01</t>
  </si>
  <si>
    <t xml:space="preserve">110218</t>
  </si>
  <si>
    <t xml:space="preserve">110249</t>
  </si>
  <si>
    <t xml:space="preserve">OEM-650A</t>
  </si>
  <si>
    <t xml:space="preserve">Sold Ex-Works, UK Office , Part Number:OEM-6A-11491-52</t>
  </si>
  <si>
    <t xml:space="preserve">110248</t>
  </si>
  <si>
    <t xml:space="preserve">110247</t>
  </si>
  <si>
    <t xml:space="preserve">110246</t>
  </si>
  <si>
    <t xml:space="preserve">110245</t>
  </si>
  <si>
    <t xml:space="preserve">110244</t>
  </si>
  <si>
    <t xml:space="preserve">110243</t>
  </si>
  <si>
    <t xml:space="preserve">110242</t>
  </si>
  <si>
    <t xml:space="preserve">Sold Ex-Works, UK Office , Part Number:OEM-6A-11491-51</t>
  </si>
  <si>
    <t xml:space="preserve">110241</t>
  </si>
  <si>
    <t xml:space="preserve">110240</t>
  </si>
  <si>
    <t xml:space="preserve">110239</t>
  </si>
  <si>
    <t xml:space="preserve">110238</t>
  </si>
  <si>
    <t xml:space="preserve">110237</t>
  </si>
  <si>
    <t xml:space="preserve">110236</t>
  </si>
  <si>
    <t xml:space="preserve">110235</t>
  </si>
  <si>
    <t xml:space="preserve">110234</t>
  </si>
  <si>
    <t xml:space="preserve">Sold Ex-Works, UK Office , Part Number:OEM-6A-11481-51</t>
  </si>
  <si>
    <t xml:space="preserve">110255</t>
  </si>
  <si>
    <t xml:space="preserve">OEM-650A XL</t>
  </si>
  <si>
    <t xml:space="preserve">Sold Ex-Works, UK Office , Part Number:OEM-6A-02</t>
  </si>
  <si>
    <t xml:space="preserve">110254</t>
  </si>
  <si>
    <t xml:space="preserve">110253</t>
  </si>
  <si>
    <t xml:space="preserve">110252</t>
  </si>
  <si>
    <t xml:space="preserve">110251</t>
  </si>
  <si>
    <t xml:space="preserve">110250</t>
  </si>
  <si>
    <t xml:space="preserve">110206</t>
  </si>
  <si>
    <t xml:space="preserve">OEM-1250</t>
  </si>
  <si>
    <t xml:space="preserve">Sold Ex-Works, UK Office , Part Number:OEM-1250-01</t>
  </si>
  <si>
    <t xml:space="preserve">110205</t>
  </si>
  <si>
    <t xml:space="preserve">110204</t>
  </si>
  <si>
    <t xml:space="preserve">110203</t>
  </si>
  <si>
    <t xml:space="preserve">110202</t>
  </si>
  <si>
    <t xml:space="preserve">110201</t>
  </si>
  <si>
    <t xml:space="preserve">115392</t>
  </si>
  <si>
    <t xml:space="preserve">RF GENERATOR [ASIS]</t>
  </si>
  <si>
    <t xml:space="preserve">115393</t>
  </si>
  <si>
    <t xml:space="preserve">OEM-1250M5 </t>
  </si>
  <si>
    <t xml:space="preserve">110220</t>
  </si>
  <si>
    <t xml:space="preserve">OEM-2000</t>
  </si>
  <si>
    <t xml:space="preserve">Sold Ex-Works, UK Office , Part Number:OEM-2000-02</t>
  </si>
  <si>
    <t xml:space="preserve">110265</t>
  </si>
  <si>
    <t xml:space="preserve">PL2-HF</t>
  </si>
  <si>
    <t xml:space="preserve">Sold Ex-Works, UK Office , Part Number:PL-2HFN-01</t>
  </si>
  <si>
    <t xml:space="preserve">110264</t>
  </si>
  <si>
    <t xml:space="preserve">110263</t>
  </si>
  <si>
    <t xml:space="preserve">Sold Ex-Works, UK Office , Part Number:PL-2HF-11451-55</t>
  </si>
  <si>
    <t xml:space="preserve">110262</t>
  </si>
  <si>
    <t xml:space="preserve">110261</t>
  </si>
  <si>
    <t xml:space="preserve">Sold Ex-Works, UK Office , Part Number:PL-2HF-11451-54</t>
  </si>
  <si>
    <t xml:space="preserve">110260</t>
  </si>
  <si>
    <t xml:space="preserve">110279</t>
  </si>
  <si>
    <t xml:space="preserve">POD Interface Box</t>
  </si>
  <si>
    <t xml:space="preserve">Sold Ex-Works, UK Office , Part Number:POD-DNET-00</t>
  </si>
  <si>
    <t xml:space="preserve">110278</t>
  </si>
  <si>
    <t xml:space="preserve">110277</t>
  </si>
  <si>
    <t xml:space="preserve">110276</t>
  </si>
  <si>
    <t xml:space="preserve">110275</t>
  </si>
  <si>
    <t xml:space="preserve">110274</t>
  </si>
  <si>
    <t xml:space="preserve">Sold Ex-Works, UK Office , Part Number:POD-25PIN-01</t>
  </si>
  <si>
    <t xml:space="preserve">110273</t>
  </si>
  <si>
    <t xml:space="preserve">110272</t>
  </si>
  <si>
    <t xml:space="preserve">110271</t>
  </si>
  <si>
    <t xml:space="preserve">110270</t>
  </si>
  <si>
    <t xml:space="preserve">110269</t>
  </si>
  <si>
    <t xml:space="preserve">110268</t>
  </si>
  <si>
    <t xml:space="preserve">110267</t>
  </si>
  <si>
    <t xml:space="preserve">110266</t>
  </si>
  <si>
    <t xml:space="preserve">Sold Ex-Works, UK Office , Part Number:POD-25 PIN , Secondary 
P/N:POD-25PIN-04</t>
  </si>
  <si>
    <t xml:space="preserve">110280</t>
  </si>
  <si>
    <t xml:space="preserve">RFC4T</t>
  </si>
  <si>
    <t xml:space="preserve">110281</t>
  </si>
  <si>
    <t xml:space="preserve">RFC-5 Controller</t>
  </si>
  <si>
    <t xml:space="preserve">Sold Ex-Works, UK Office , Part Number:RFC-5-8</t>
  </si>
  <si>
    <t xml:space="preserve">110287</t>
  </si>
  <si>
    <t xml:space="preserve">RFC-5MW</t>
  </si>
  <si>
    <t xml:space="preserve">Sold Ex-Works, UK Office , Part Number:RFC-5MW</t>
  </si>
  <si>
    <t xml:space="preserve">110286</t>
  </si>
  <si>
    <t xml:space="preserve">110285</t>
  </si>
  <si>
    <t xml:space="preserve">110284</t>
  </si>
  <si>
    <t xml:space="preserve">110283</t>
  </si>
  <si>
    <t xml:space="preserve">110282</t>
  </si>
  <si>
    <t xml:space="preserve">110295</t>
  </si>
  <si>
    <t xml:space="preserve">RFC-6 Controller </t>
  </si>
  <si>
    <t xml:space="preserve">Sold Ex-Works, UK Office , Part Number:RFC-6-03</t>
  </si>
  <si>
    <t xml:space="preserve">110294</t>
  </si>
  <si>
    <t xml:space="preserve">Sold Ex-Works, UK Office , Part Number:RFC-6-01</t>
  </si>
  <si>
    <t xml:space="preserve">110293</t>
  </si>
  <si>
    <t xml:space="preserve">110292</t>
  </si>
  <si>
    <t xml:space="preserve">110291</t>
  </si>
  <si>
    <t xml:space="preserve">110290</t>
  </si>
  <si>
    <t xml:space="preserve">110289</t>
  </si>
  <si>
    <t xml:space="preserve">110288</t>
  </si>
  <si>
    <t xml:space="preserve">110296</t>
  </si>
  <si>
    <t xml:space="preserve">Spectrum 5K 2mhz </t>
  </si>
  <si>
    <t xml:space="preserve">Sold Ex-Works, UK Office , Part Number:B5002-02 , Secondary P/N:190-15320</t>
  </si>
  <si>
    <t xml:space="preserve">110297</t>
  </si>
  <si>
    <t xml:space="preserve">UTF-10</t>
  </si>
  <si>
    <t xml:space="preserve">110306</t>
  </si>
  <si>
    <t xml:space="preserve">VL-400 Controller</t>
  </si>
  <si>
    <t xml:space="preserve">Sold Ex-Works, UK Office , Part Number:VL-400M4</t>
  </si>
  <si>
    <t xml:space="preserve">110305</t>
  </si>
  <si>
    <t xml:space="preserve">110304</t>
  </si>
  <si>
    <t xml:space="preserve">110303</t>
  </si>
  <si>
    <t xml:space="preserve">110302</t>
  </si>
  <si>
    <t xml:space="preserve">Sold Ex-Works, UK Office , Part Number:VL-400-11981</t>
  </si>
  <si>
    <t xml:space="preserve">110301</t>
  </si>
  <si>
    <t xml:space="preserve">110300</t>
  </si>
  <si>
    <t xml:space="preserve">Sold Ex-Works, UK Office , Part Number:VL-400-01</t>
  </si>
  <si>
    <t xml:space="preserve">110299</t>
  </si>
  <si>
    <t xml:space="preserve">110298</t>
  </si>
  <si>
    <t xml:space="preserve">110309</t>
  </si>
  <si>
    <t xml:space="preserve">Voltage Probe</t>
  </si>
  <si>
    <t xml:space="preserve">Sold Ex-Works, UK Office , Part Number:1022036-001</t>
  </si>
  <si>
    <t xml:space="preserve">110308</t>
  </si>
  <si>
    <t xml:space="preserve">110307</t>
  </si>
  <si>
    <t xml:space="preserve">110103</t>
  </si>
  <si>
    <t xml:space="preserve">ENI </t>
  </si>
  <si>
    <t xml:space="preserve">DC Power Generator </t>
  </si>
  <si>
    <t xml:space="preserve">Sold Ex-Works, UK Office , Part Number:1000-089</t>
  </si>
  <si>
    <t xml:space="preserve">110121</t>
  </si>
  <si>
    <t xml:space="preserve">LPG-24</t>
  </si>
  <si>
    <t xml:space="preserve">Sold Ex-Works, UK Office , Part Number:LPG-24</t>
  </si>
  <si>
    <t xml:space="preserve">110120</t>
  </si>
  <si>
    <t xml:space="preserve">110126</t>
  </si>
  <si>
    <t xml:space="preserve">Sold Ex-Works, UK Office , Part Number:MHC2002</t>
  </si>
  <si>
    <t xml:space="preserve">110125</t>
  </si>
  <si>
    <t xml:space="preserve">110151</t>
  </si>
  <si>
    <t xml:space="preserve">MW-10T</t>
  </si>
  <si>
    <t xml:space="preserve">Sold Ex-Works, UK Office , Part Number:MW-10-23191 , Secondary 
P/N:MW-10-23194</t>
  </si>
  <si>
    <t xml:space="preserve">77091</t>
  </si>
  <si>
    <t xml:space="preserve">Enidine</t>
  </si>
  <si>
    <t xml:space="preserve">MB21539</t>
  </si>
  <si>
    <t xml:space="preserve">Shock Absorber</t>
  </si>
  <si>
    <t xml:space="preserve">84080</t>
  </si>
  <si>
    <t xml:space="preserve">ERACOND Z3</t>
  </si>
  <si>
    <t xml:space="preserve">M20 PD 50</t>
  </si>
  <si>
    <t xml:space="preserve">MINIATUR AIR CYLINDER</t>
  </si>
  <si>
    <t xml:space="preserve">ERACOND Z3
MINIATUR AIR CYLINDER
M20 PD50
WEIGHT: 0,4 KG.
DIMENSION: 3 X3 X 17 (H)
</t>
  </si>
  <si>
    <t xml:space="preserve">83739</t>
  </si>
  <si>
    <t xml:space="preserve">ESI</t>
  </si>
  <si>
    <t xml:space="preserve">44</t>
  </si>
  <si>
    <t xml:space="preserve">COMPLETE SET OF LASER TRIMMER SPARE PCBS AND PARTS</t>
  </si>
  <si>
    <t xml:space="preserve">A complete set of known working and tested PCBs and Power Supplies for an 
ESI Model 44 laser component trimmer for immediate sale, including 27 major 
items and a lot of other small parts and accessories. Everything to keep 
your old ESI 44 Laser Trimmer running for a few years more !
Including:
-System control boards
-S/R interface
-LM/LC  2
-IEEE
-Man Functions
-Extenders
-Linear Motor control cards
-Optics
-50 VDC Power supply
-Linear Motor power amp
-Cables
-Assortment of small parts
-All Tested and ready to go parts
See attached list in excel with links for details AND PHOTOS regarding each 
of the items available for purchase.
Will ship from our warehouse in Avezzano Italy.
LIST WITH A SUMMARY OF THE PCBS INCLUDED (OTHER SMALL SPARES ARE ALSO 
INCLUDED BUT NOT LISTED HERE):
SDI ID 	Manufacturer 	Model 	Description 	Quantity
83796 	ESI 	29286 	ESI pcb Servo Preamp 	1
83797 	ESI 	29282 	ESI pcb Transducer Preamp 	1
83798 	ESI 	43175 	4 phase encoder logic assy 	1
83799 	ESI 	929284 	MAX Velocity control board 	1
83801 	ESI 	40898 	ESI pcb Interrupt control 	1
83802 	ESI 	42328 	ESI pcb Precharged Servo Preamp 	1
83803 	ESI 	29278 	ESI pcb Power Amplifier driver 	1
83804 	ESI 	29800 	Driver power supply 	1
83813 	ESI 	41751 	Transducer Buffer PCB for ESI 44 	2
83814 	ESI 	42251 	Approach Control PCB for ESI 44 	1
83815 	ESI 	29292 	ESI pcb Position Encoder Logic 	1
83816 	ESI 	42119 	ESI pcb 4 Phase Control Module 	1
83817 	ESI 	42253 	ESI pcb Power Amplifier driver 	1
83818 	ESI 	42252 	ESI pcb Acceleration Control Assy 	1
83820 	ESI 	24971 	Manual Functions PC Board 	1
83822 	ESI 	41207 	IEEE 488 Interface 	1
83857 	ESI 	48503 	Linear motor/Laser Control PC Board 	2
83858 	ESI 	24961 	Extender Board PC Board w/ cables 	2
83859 	ESI 	42356 	S&amp;R Interface PC Board 	1
83860 	ESI 	24955 	Scanner Module PC Board 	3
83936 	ESI 	41506 	Bridge Caliobrator PCB for ESI 44 	1
84210 	ESI 	Power Assy 	Power supply assy, ESI 44/4400 	1
  	  	  	  	27
 </t>
  </si>
  <si>
    <t xml:space="preserve">83860</t>
  </si>
  <si>
    <t xml:space="preserve">24955</t>
  </si>
  <si>
    <t xml:space="preserve">Scanner Module PC Board for ESI 44 fuser</t>
  </si>
  <si>
    <t xml:space="preserve">Scanner Module Tested good
ESI CKT# 24955
P.C.B.S for immediate sale QTY 3
De-installed from a working system. Located at our Avezzano 67051 Italy 
warehouse.</t>
  </si>
  <si>
    <t xml:space="preserve">83858</t>
  </si>
  <si>
    <t xml:space="preserve">24961</t>
  </si>
  <si>
    <t xml:space="preserve">Extender Board PC Board w/ cables FOR ESI 44 LASER TRIMMER</t>
  </si>
  <si>
    <t xml:space="preserve">ESI CKT# 24961
Extender Board PC Board w/ cables, Refurbished, tested
qty 2 available
Located at our Avezzano 67051 Italy warehouse.</t>
  </si>
  <si>
    <t xml:space="preserve">83820</t>
  </si>
  <si>
    <t xml:space="preserve">24971</t>
  </si>
  <si>
    <t xml:space="preserve">Manual Functions PC Board FOR ESI MODEL 44 LASER TRIMMER</t>
  </si>
  <si>
    <t xml:space="preserve">   Manual Functions Board
CKT ASSY 24971
Tested good by known refurbisher prior to shipping to our warehouse.
Located at our Avezzano 67051 Italy warehouse.</t>
  </si>
  <si>
    <t xml:space="preserve">83803</t>
  </si>
  <si>
    <t xml:space="preserve">29278</t>
  </si>
  <si>
    <t xml:space="preserve">ESI pcb Power Amplifier driver for ESI 44 fuser</t>
  </si>
  <si>
    <t xml:space="preserve">Power Amplifier driver    
Tested good
ESI CKT# 29278
 </t>
  </si>
  <si>
    <t xml:space="preserve">83797</t>
  </si>
  <si>
    <t xml:space="preserve">29282</t>
  </si>
  <si>
    <t xml:space="preserve">ESI pcb Transducer Preamp</t>
  </si>
  <si>
    <t xml:space="preserve">Transducer Preamp board
Tested good
ESI CKT# 29282
 </t>
  </si>
  <si>
    <t xml:space="preserve">83796</t>
  </si>
  <si>
    <t xml:space="preserve">29286</t>
  </si>
  <si>
    <t xml:space="preserve">ESI pcb Servo Preamp</t>
  </si>
  <si>
    <t xml:space="preserve">Servo Preamp board
Tested good
ESI CKT# 29286
 </t>
  </si>
  <si>
    <t xml:space="preserve">83815</t>
  </si>
  <si>
    <t xml:space="preserve">29292</t>
  </si>
  <si>
    <t xml:space="preserve">ESI pcb Position Encoder Logic for ESI 44 fuser</t>
  </si>
  <si>
    <t xml:space="preserve">ESI pcb Position Encoder Logic
Tested good
ESI CKT# 29292
 </t>
  </si>
  <si>
    <t xml:space="preserve">83804</t>
  </si>
  <si>
    <t xml:space="preserve">29800</t>
  </si>
  <si>
    <t xml:space="preserve">Driver power supply</t>
  </si>
  <si>
    <t xml:space="preserve">Good, used, tested working ESI 29800 power supply
See photos for details
USA voltage setup - 110V</t>
  </si>
  <si>
    <t xml:space="preserve">83801</t>
  </si>
  <si>
    <t xml:space="preserve">40898</t>
  </si>
  <si>
    <t xml:space="preserve">ESI pcb Interrupt control pcb</t>
  </si>
  <si>
    <t xml:space="preserve">InterruptControl board
Tested good
ESI CKT# 40898
 </t>
  </si>
  <si>
    <t xml:space="preserve">83822</t>
  </si>
  <si>
    <t xml:space="preserve">41207</t>
  </si>
  <si>
    <t xml:space="preserve">IEEE 488 Interface FOR ESI 44 LASER TRIMMER</t>
  </si>
  <si>
    <t xml:space="preserve">     
IEEE 488 Interface pc board
CKT ASSY 41207
Tested good by known refurbisher prior to shipping to our warehouse.
Located at our Avezzano 67051 Italy warehouse.</t>
  </si>
  <si>
    <t xml:space="preserve">83936</t>
  </si>
  <si>
    <t xml:space="preserve">41506</t>
  </si>
  <si>
    <t xml:space="preserve">Bridge Calibrator PCB for ESI 44 LASER TRIMMER</t>
  </si>
  <si>
    <t xml:space="preserve">Bridge Calibrator                       
 PCB for ESI 44   
CKT ASSY 41506
Tested good by known refurbisher prior to shipping to our warehouse.</t>
  </si>
  <si>
    <t xml:space="preserve">83813</t>
  </si>
  <si>
    <t xml:space="preserve">41751</t>
  </si>
  <si>
    <t xml:space="preserve">Transducer Buffer PCB for ESI model 44 laser fuser</t>
  </si>
  <si>
    <t xml:space="preserve">Transducer Buffer PCB for ESI 44   
CKT ASSY 41751
Tested good by known refurbisher prior to shipping to our warehouse.
qty 2 available</t>
  </si>
  <si>
    <t xml:space="preserve">83816</t>
  </si>
  <si>
    <t xml:space="preserve">42119</t>
  </si>
  <si>
    <t xml:space="preserve">ESI pcb 4 Phase Control Module</t>
  </si>
  <si>
    <t xml:space="preserve">   4 Phase Control Module
Tested good
ESI CKT# 42119
 </t>
  </si>
  <si>
    <t xml:space="preserve">83814</t>
  </si>
  <si>
    <t xml:space="preserve">42251</t>
  </si>
  <si>
    <t xml:space="preserve">Approach Control PCB for ESI 44</t>
  </si>
  <si>
    <t xml:space="preserve">Approach Control PCB for ESI 44   
CKT ASSY 42251
Tested good by known refurbisher prior to shipping to our warehouse.</t>
  </si>
  <si>
    <t xml:space="preserve">83818</t>
  </si>
  <si>
    <t xml:space="preserve">42252</t>
  </si>
  <si>
    <t xml:space="preserve">ESI pcb Acceleration Control Assy for ESI 44 fuser</t>
  </si>
  <si>
    <t xml:space="preserve">Acceleration Control Assy
Tested good
ESI CKT# 42252
 </t>
  </si>
  <si>
    <t xml:space="preserve">83817</t>
  </si>
  <si>
    <t xml:space="preserve">42253</t>
  </si>
  <si>
    <t xml:space="preserve">Power Amplifier driver    
Tested good
ESI CKT# 42253
 </t>
  </si>
  <si>
    <t xml:space="preserve">83802</t>
  </si>
  <si>
    <t xml:space="preserve">42328</t>
  </si>
  <si>
    <t xml:space="preserve">ESI pcb Precharged Servo Preamp</t>
  </si>
  <si>
    <t xml:space="preserve"> ESI pcb Precharged Servo Preamp
Tested good
ESI CKT# 42328
 </t>
  </si>
  <si>
    <t xml:space="preserve">83859</t>
  </si>
  <si>
    <t xml:space="preserve">42356</t>
  </si>
  <si>
    <t xml:space="preserve">S&amp;R Interface PC Board FOR ESI MODEL 44 LASER TRIMMER</t>
  </si>
  <si>
    <t xml:space="preserve">ESI CKT# 42356
S&amp;R Interface PC Board, Refurbished, tested
Located at our Avezzano 67051 Italy warehouse.</t>
  </si>
  <si>
    <t xml:space="preserve">83798</t>
  </si>
  <si>
    <t xml:space="preserve">43175</t>
  </si>
  <si>
    <t xml:space="preserve">4 phase encoder logic assy</t>
  </si>
  <si>
    <t xml:space="preserve">4 phase encoder logic assy
ckt 43175
Tested good by known refurbisher prior to shipping to our warehouse.
 </t>
  </si>
  <si>
    <t xml:space="preserve">83857</t>
  </si>
  <si>
    <t xml:space="preserve">48503</t>
  </si>
  <si>
    <t xml:space="preserve">Linear motor/Laser Control PC Board FROM ESI MODEL 44 TRIMMER</t>
  </si>
  <si>
    <t xml:space="preserve">ESI CKT# 48503
Linear Motor/Laser Control PC Board
qty 2 available, second board shows problems
Located at our Avezzano 67051 Italy warehouse.</t>
  </si>
  <si>
    <t xml:space="preserve">83799</t>
  </si>
  <si>
    <t xml:space="preserve">929284</t>
  </si>
  <si>
    <t xml:space="preserve">MAX Velocity control board</t>
  </si>
  <si>
    <t xml:space="preserve">MAX Velocity control board
CKT ASSY 929284
Tested good by known refurbisher prior to shipping to our warehouse.</t>
  </si>
  <si>
    <t xml:space="preserve">84210</t>
  </si>
  <si>
    <t xml:space="preserve">Power Assy</t>
  </si>
  <si>
    <t xml:space="preserve">Power supply assy, ESI 44/4400</t>
  </si>
  <si>
    <t xml:space="preserve">Good, used, bottom assembly for ESI 44 / 4400 laser trimmers
See photos for details
Fans, power supply, etc.
USA voltage setup - 110V</t>
  </si>
  <si>
    <t xml:space="preserve">79520</t>
  </si>
  <si>
    <t xml:space="preserve">Eurotherm</t>
  </si>
  <si>
    <t xml:space="preserve">2408f</t>
  </si>
  <si>
    <t xml:space="preserve">Temperature controller</t>
  </si>
  <si>
    <t xml:space="preserve">qty 3 in good condition, one like new in a box
 </t>
  </si>
  <si>
    <t xml:space="preserve">110313</t>
  </si>
  <si>
    <t xml:space="preserve">Fenwal</t>
  </si>
  <si>
    <t xml:space="preserve">Sealer</t>
  </si>
  <si>
    <t xml:space="preserve">110312</t>
  </si>
  <si>
    <t xml:space="preserve">110311</t>
  </si>
  <si>
    <t xml:space="preserve">110310</t>
  </si>
  <si>
    <t xml:space="preserve">80169</t>
  </si>
  <si>
    <t xml:space="preserve">Festo</t>
  </si>
  <si>
    <t xml:space="preserve">150857 SME-8-S-LED-24</t>
  </si>
  <si>
    <t xml:space="preserve">Proximity switch</t>
  </si>
  <si>
    <t xml:space="preserve">  New in box, SME-8-S-LED-24 
 Boerne, TX warehouse  </t>
  </si>
  <si>
    <t xml:space="preserve">27877</t>
  </si>
  <si>
    <t xml:space="preserve">FSI</t>
  </si>
  <si>
    <t xml:space="preserve">500539-004</t>
  </si>
  <si>
    <t xml:space="preserve">Parts &amp; Structures Manual</t>
  </si>
  <si>
    <t xml:space="preserve">27829</t>
  </si>
  <si>
    <t xml:space="preserve">904602-200</t>
  </si>
  <si>
    <t xml:space="preserve">Heated Recirculation Prints &amp; Products Structures Manual</t>
  </si>
  <si>
    <t xml:space="preserve">27828</t>
  </si>
  <si>
    <t xml:space="preserve">912629</t>
  </si>
  <si>
    <t xml:space="preserve">FSI Excalibur ISR &amp; EOS Systems SECS/GEM implemntation Manual</t>
  </si>
  <si>
    <t xml:space="preserve">27840</t>
  </si>
  <si>
    <t xml:space="preserve">Booster Pump</t>
  </si>
  <si>
    <t xml:space="preserve">Mercury Booster Pump Manual</t>
  </si>
  <si>
    <t xml:space="preserve">27837</t>
  </si>
  <si>
    <t xml:space="preserve">Manual </t>
  </si>
  <si>
    <t xml:space="preserve">Print &amp; Product Structures</t>
  </si>
  <si>
    <t xml:space="preserve">27822</t>
  </si>
  <si>
    <t xml:space="preserve">Chemfill systems</t>
  </si>
  <si>
    <t xml:space="preserve">manual</t>
  </si>
  <si>
    <t xml:space="preserve">System Manual and prints</t>
  </si>
  <si>
    <t xml:space="preserve">27880</t>
  </si>
  <si>
    <t xml:space="preserve">Model 1000 CDM/ PPS Manual Rev D</t>
  </si>
  <si>
    <t xml:space="preserve">Qty 2 available.
See attached details.
Non-cleanroom paper version.
In Avezzano, Italy
part number 906488-100
</t>
  </si>
  <si>
    <t xml:space="preserve">27881</t>
  </si>
  <si>
    <t xml:space="preserve">Chemfill systems - Manual</t>
  </si>
  <si>
    <t xml:space="preserve">Model 1000-4 PLC CDM Supplementary Training Package </t>
  </si>
  <si>
    <t xml:space="preserve">Advanced training course  - notes , including diagrams etc.
Located in Italy.
See attached photos for details.</t>
  </si>
  <si>
    <t xml:space="preserve">27823</t>
  </si>
  <si>
    <t xml:space="preserve">Excalibur</t>
  </si>
  <si>
    <t xml:space="preserve">In Situ Rinse prints &amp; Product structures manuals</t>
  </si>
  <si>
    <t xml:space="preserve">27835</t>
  </si>
  <si>
    <t xml:space="preserve">Manual 905364-200</t>
  </si>
  <si>
    <t xml:space="preserve">Prints &amp; product structures 905364-200</t>
  </si>
  <si>
    <t xml:space="preserve">27872</t>
  </si>
  <si>
    <t xml:space="preserve">Vapour Phase Processing system Supplementary training manual</t>
  </si>
  <si>
    <t xml:space="preserve">27827</t>
  </si>
  <si>
    <t xml:space="preserve">Excalibur ISR</t>
  </si>
  <si>
    <t xml:space="preserve">ISR Operation &amp; Maintenance Manual</t>
  </si>
  <si>
    <t xml:space="preserve">27836</t>
  </si>
  <si>
    <t xml:space="preserve">Manual Prints &amp; Product  Structures</t>
  </si>
  <si>
    <t xml:space="preserve">27820</t>
  </si>
  <si>
    <t xml:space="preserve">Excalibur ISR &amp; EOS</t>
  </si>
  <si>
    <t xml:space="preserve">Systems operation and Maintenance Manual</t>
  </si>
  <si>
    <t xml:space="preserve">27875</t>
  </si>
  <si>
    <t xml:space="preserve">HELIOS 52</t>
  </si>
  <si>
    <t xml:space="preserve">Prints  &amp; Products structures Manual</t>
  </si>
  <si>
    <t xml:space="preserve">27871</t>
  </si>
  <si>
    <t xml:space="preserve">ISR Maual </t>
  </si>
  <si>
    <t xml:space="preserve">In Situ Rinse Prints &amp; Parts Structures Manual</t>
  </si>
  <si>
    <t xml:space="preserve">27879</t>
  </si>
  <si>
    <t xml:space="preserve">Mercury MP</t>
  </si>
  <si>
    <t xml:space="preserve">Spray Processing system Operation &amp; Maintenance Manual</t>
  </si>
  <si>
    <t xml:space="preserve">MERCURY MP SPRAY PROCESSING SYSTEM Operation and Maintenance Manual - For 
software version 9.07
Manual P/N 908786-200 REV B
ORIGINAL OEM MANUAL.
Location: Avezzano (AQ) 67051 Italy</t>
  </si>
  <si>
    <t xml:space="preserve">27826</t>
  </si>
  <si>
    <t xml:space="preserve">Mercury MP </t>
  </si>
  <si>
    <t xml:space="preserve">Operation and Maintenance Manual</t>
  </si>
  <si>
    <t xml:space="preserve">Spray Processing system Operation and Maintenance manual</t>
  </si>
  <si>
    <t xml:space="preserve">27873</t>
  </si>
  <si>
    <t xml:space="preserve">PLC Expansion</t>
  </si>
  <si>
    <t xml:space="preserve">PLC expansion Project Manual</t>
  </si>
  <si>
    <t xml:space="preserve">95593</t>
  </si>
  <si>
    <t xml:space="preserve">Polaris 3500 (Spares)</t>
  </si>
  <si>
    <t xml:space="preserve">ATEN CS-122 CPU SWITCH FOR PS/2 PC/AT</t>
  </si>
  <si>
    <t xml:space="preserve">see attached photos.
For FSI Polaris track system.
22.5 CM X15.2 CM X 5.5 CM (H) WEIGHT 1.4 KG
 </t>
  </si>
  <si>
    <t xml:space="preserve">95583</t>
  </si>
  <si>
    <t xml:space="preserve">DIGI ACCELPORT PCB 55000534 REV F</t>
  </si>
  <si>
    <t xml:space="preserve">see attached photos.
For FSI Polaris track system.
12 CM X 20 CM X4 CM (H) WEIGHT 0.2 KG
 </t>
  </si>
  <si>
    <t xml:space="preserve">95602</t>
  </si>
  <si>
    <t xml:space="preserve">FSI P/N 05D-0167-03A1 POWER SUPPLY, DC BATTERY BACKUP 05D016703A1</t>
  </si>
  <si>
    <t xml:space="preserve">see attached photos.
For FSI Polaris track system.
MANUFACTURED BY  CONVERSION EQUIPMENT CORP., ANAHEIM, CA.
M/N: 05D-0167-03A1
INPUT 115/230 V 47-63 HZ 7/4 A
OUTPUT: 305 WATTS MAX
28 CM X 16 CM X 34 CM (H) WEIGHT 11.5 KG
 </t>
  </si>
  <si>
    <t xml:space="preserve">95603</t>
  </si>
  <si>
    <t xml:space="preserve">FSI P/N 917410-002C POWER BOX WITH BOARD CT 294159-200C</t>
  </si>
  <si>
    <t xml:space="preserve">See attached photos.
For FSI Polaris track system.
45 CM X 45 CM X 14 CM (H) WEIGHT 4.5 KG
 </t>
  </si>
  <si>
    <t xml:space="preserve">95604</t>
  </si>
  <si>
    <t xml:space="preserve">FSI P/N 917803-001B DWR-DSP CABLE, 25 CM</t>
  </si>
  <si>
    <t xml:space="preserve">see attached photos.
For FSI Polaris track system.
 </t>
  </si>
  <si>
    <t xml:space="preserve">95608</t>
  </si>
  <si>
    <t xml:space="preserve">FSI P/N  8454-AWM-4097-MT BELDEN CABLE, LENGHT 34 CM</t>
  </si>
  <si>
    <t xml:space="preserve">95607</t>
  </si>
  <si>
    <t xml:space="preserve">FSI P/N  POWER CABLE, LENGTH 135 CM</t>
  </si>
  <si>
    <t xml:space="preserve">95605</t>
  </si>
  <si>
    <t xml:space="preserve">FSI P/N IB1-7000T 2 FEET CABLE  0795</t>
  </si>
  <si>
    <t xml:space="preserve">95606</t>
  </si>
  <si>
    <t xml:space="preserve">FSI P/N IB1-7000T , CABLE 2 FEET 0795</t>
  </si>
  <si>
    <t xml:space="preserve">95592</t>
  </si>
  <si>
    <t xml:space="preserve">GAS SENSOR, FSI P/N 841-004-i </t>
  </si>
  <si>
    <t xml:space="preserve">see attached photos.
P/N 841-004-I 1271011
sensor part number:-
55601420 ILA-1487-C 3/00 TEMP Anheim CA
For FSI Polaris track system.
25 CM X 10 CM X 20 CM (H) WEIGHT 1 KG
 </t>
  </si>
  <si>
    <t xml:space="preserve">95585</t>
  </si>
  <si>
    <t xml:space="preserve">PCB, FSI 61-0061-10 EXP-BP5</t>
  </si>
  <si>
    <t xml:space="preserve">see attached photos.
For FSI Polaris track system.
12 CM X 32 CM X 5 CM (H) WEIGHT 0.3 KG
 </t>
  </si>
  <si>
    <t xml:space="preserve">95584</t>
  </si>
  <si>
    <t xml:space="preserve">PCB, FSI 200-0097 REV B MVS 8100 FRAME GRABBER</t>
  </si>
  <si>
    <t xml:space="preserve">see attached photos.
For FSI Polaris track system.
14 CM X 20 CM X4 CM (H) WEIGHT 0.3 KG
 </t>
  </si>
  <si>
    <t xml:space="preserve">95587</t>
  </si>
  <si>
    <t xml:space="preserve">PCB, FSI 10444-01AA</t>
  </si>
  <si>
    <t xml:space="preserve">see attached photos.
For FSI Polaris track system.
13 CM X 13 CM X 4 CM (H) WEIGHT 0.2 KG
 </t>
  </si>
  <si>
    <t xml:space="preserve">95586</t>
  </si>
  <si>
    <t xml:space="preserve">PCB, FSI 33000-472, VME MONOLITHIC 12 SLOT</t>
  </si>
  <si>
    <t xml:space="preserve">see attached photos.
For FSI Polaris track system.
27 CM X 27 CM X 1 CM (H) WEIGHT 1 KG
 </t>
  </si>
  <si>
    <t xml:space="preserve">95582</t>
  </si>
  <si>
    <t xml:space="preserve">PCB, FSI A/N 294084-200C</t>
  </si>
  <si>
    <t xml:space="preserve">see attached photos.
For FSI Polaris track system.
12 CM X 20 CM X 4 CM (H) WEIGHT 0.15 KG
 </t>
  </si>
  <si>
    <t xml:space="preserve">95588</t>
  </si>
  <si>
    <t xml:space="preserve">PCB, FSI SP 586T (00-065-0015 REV D) SINGLE BOARD COMPUTER</t>
  </si>
  <si>
    <t xml:space="preserve">see attached photos.
For FSI Polaris track system.
36 CM X 15 CM X 4 CM (H) WEIGHT 0.5 KG
 </t>
  </si>
  <si>
    <t xml:space="preserve">95581</t>
  </si>
  <si>
    <t xml:space="preserve">PLAST-O-MATIC PRD075B-PP VALVE</t>
  </si>
  <si>
    <t xml:space="preserve">see attached photos.
For FSI Polaris track system.
23 CM X 13 CM X 29 CM (H) WEIGHT 2 KG
 </t>
  </si>
  <si>
    <t xml:space="preserve">95596</t>
  </si>
  <si>
    <t xml:space="preserve">PLASTIC COVER</t>
  </si>
  <si>
    <t xml:space="preserve">see attached photos.
For FSI Polaris track system.
40 CM X 26 CM X 6.5 CM (H) WEIGHT 1.5 KG
 </t>
  </si>
  <si>
    <t xml:space="preserve">95595</t>
  </si>
  <si>
    <t xml:space="preserve">PLATE ASSEMBLY</t>
  </si>
  <si>
    <t xml:space="preserve">see attached photos.
For FSI Polaris track system.
Includes the following part numbers:
411131-001-F
PCB: 400-A/N292030 C/REV
410827-00 /C 0795 JMI
410828-00 /B 0795 JMI
28 CM X 28 CM X 31 CM (H) WEIGHT 12.5 KG
 </t>
  </si>
  <si>
    <t xml:space="preserve">95580</t>
  </si>
  <si>
    <t xml:space="preserve">Power box for 200 mm note track</t>
  </si>
  <si>
    <t xml:space="preserve">see attached photos.
For FSI Polaris track system.
44 CM X 34 CM X 18 CM (H) WEIGHT 6.5 KG
 </t>
  </si>
  <si>
    <t xml:space="preserve">106015</t>
  </si>
  <si>
    <t xml:space="preserve">POWER SUPPLY, CONVERSION EQUIPMENT CORP. M/N 05D-0189-01</t>
  </si>
  <si>
    <t xml:space="preserve">see attached photos.
CONVERSION EQUIPMENT CORP. MODEL NUMBER 05D-0189-01
INPUT 115/230V 47-63 HZ 6/3 A
OUTPUT: 484 W MAX
For FSI Polaris track system.
13 CM X 27 CM X 10 CM (H) WEIGHT 2.5 KG
 </t>
  </si>
  <si>
    <t xml:space="preserve">95591</t>
  </si>
  <si>
    <t xml:space="preserve">Power Supply, Densei-Lambda Alpha 250S</t>
  </si>
  <si>
    <t xml:space="preserve">see attached photos.
Product Name: MA2500069A
Config. name: 250S24, 0,5.0A,Z
INPUT RATINGS: 100-240V , 47-63 Hz.
Max input current: 5 A Max o/p power: 250 W
OUTPUT SETTINGS: 5V, 4 A, 24V 9 A
For FSI Polaris track system.
28 CM X 13 CM X 5 CM (H) WEIGHT 1.5 KG
 </t>
  </si>
  <si>
    <t xml:space="preserve">83516</t>
  </si>
  <si>
    <t xml:space="preserve">Spares for DUV photoresist coater / developer track</t>
  </si>
  <si>
    <t xml:space="preserve">- FSI polaris 3500 spares for immediate sale as follows :-
SDI ID 83516: FSI Polaris 3500 Spare Parts Inspection Report
************************************************************
Location of parts: Warehouse of SDI, Via Nobel, 46A, Aezzano (AQ) 67051, 
Italy.
Aspect of Goods: Packed in a crate
Dimensions of crate: 120 cm x 100 cm x 80 cm (h) , weight 150 KG
List of the parts included with web links to photos
***************************************************
SDI ID WEB LINK Manufacturer/Model Serialnumber Description / Quantity
95574&lt;https://www.fabsurplus.com/sdi_catalog/salesItemDetails.do?id=95574&gt; 
FSI Polaris 3500 (Spares) 294157-200 REV C PCB, MODULE DRIP AND GUARD 
INPUTS QTY 1
95575&lt;https://www.fabsurplus.com/sdi_catalog/salesItemDetails.do?id=95575&gt; 
FSI Polaris 3500 (Spares) IKEGAMI PM-930A PICTURE MONITOR QTY 1
95576&lt;https://www.fabsurplus.com/sdi_catalog/salesItemDetails.do?id=95576&gt; 
FSI Polaris 3500 (Spares) VT106 10 INCH VGA MONOCHROME MONITOR QTY 2
95577&lt;https://www.fabsurplus.com/sdi_catalog/salesItemDetails.do?id=95577&gt; 
FSI Polaris 3500 (Spares) IBM 8228 P/N 6091014 Multistation Access Unit QTY 
2
95578&lt;https://www.fabsurplus.com/sdi_catalog/salesItemDetails.do?id=95578&gt; 
FSI Polaris 3500 (Spares) Proteon P7228 rev h PROTEON PRONET P7228 8 PORT 
QTY 2
95579&lt;https://www.fabsurplus.com/sdi_catalog/salesItemDetails.do?id=95579&gt; 
FSI Polaris 3500 (Spares) Patlite SL-V Signal Tower, 2 color, Amber, Red 
QTY 1
95580&lt;https://www.fabsurplus.com/sdi_catalog/salesItemDetails.do?id=95580&gt; 
FSI Polaris 3500 (Spares) Power box for 200 mm note track QTY 1
95581&lt;https://www.fabsurplus.com/sdi_catalog/salesItemDetails.do?id=95581&gt; 
FSI Polaris 3500 (Spares) PLAST-O-MATIC PRD075B-PP VALVE QTY 2
95582&lt;https://www.fabsurplus.com/sdi_catalog/salesItemDetails.do?id=95582&gt; 
FSI Polaris 3500 (Spares) PCB, FSI A/N 294084-200C QTY 1
95583&lt;https://www.fabsurplus.com/sdi_catalog/salesItemDetails.do?id=95583&gt; 
FSI Polaris 3500 (Spares) DIGI ACCELPORT PCB 55000534 REV F QTY 1
95584&lt;https://www.fabsurplus.com/sdi_catalog/salesItemDetails.do?id=95584&gt; 
FSI Polaris 3500 (Spares) PCB, FSI 200-0097 REV B MVS 8100 FRAME GRABBER 
QTY 1
95585&lt;https://www.fabsurplus.com/sdi_catalog/salesItemDetails.do?id=95585&gt; 
FSI Polaris 3500 (Spares) PCB, FSI 61-0061-10 EXP-BP5 QTY 1
95586&lt;https://www.fabsurplus.com/sdi_catalog/salesItemDetails.do?id=95586&gt; 
FSI Polaris 3500 (Spares) PCB, FSI 33000-472, VME MONOLITHIC 12 SLOT QTY 1
95587&lt;https://www.fabsurplus.com/sdi_catalog/salesItemDetails.do?id=95587&gt; 
FSI Polaris 3500 (Spares) PCB, FSI 10444-01AA QTY 1
95588&lt;https://www.fabsurplus.com/sdi_catalog/salesItemDetails.do?id=95588&gt; 
FSI Polaris 3500 (Spares) PCB, FSI SP 586T (00-065-0015 REV D) SINGLE BOARD 
COMPUTER QTY 1
95591&lt;https://www.fabsurplus.com/sdi_catalog/salesItemDetails.do?id=95591&gt; 
FSI Polaris 3500 (Spares) Power Supply, Densei-Lambda Alpha 250S QTY 1
95592&lt;https://www.fabsurplus.com/sdi_catalog/salesItemDetails.do?id=95592&gt; 
FSI Polaris 3500 (Spares) GAS SENSOR, FSI P/N 841-004-i QTY 1
95593&lt;https://www.fabsurplus.com/sdi_catalog/salesItemDetails.do?id=95593&gt; 
FSI Polaris 3500 (Spares) ATEN CS-122 CPU SWITCH FOR PS/2 PC/AT QTY 1
95595&lt;https://www.fabsurplus.com/sdi_catalog/salesItemDetails.do?id=95595&gt; 
FSI Polaris 3500 (Spares) PLATE ASSEMBLY QTY 1
95596&lt;https://www.fabsurplus.com/sdi_catalog/salesItemDetails.do?id=95596&gt; 
FSI Polaris 3500 (Spares) PLASTIC COVER QTY 1
SOLD 95597
&lt;https://www.fabsurplus.com/sdi_catalog/salesItemDetails.do?id=95597&gt; FSI 
Polaris 3500 (Spares) INTEGRATED DESIGNS PUMPLESS PUMP QTY 1 SOLD
95598&lt;https://www.fabsurplus.com/sdi_catalog/salesItemDetails.do?id=95598&gt; 
FSI Polaris 3500 (Spares) FSI P/N 423466-001 REV B Microcontroller Unit QTY 
2 SOLD
SOLD 95599
&lt;https://www.fabsurplus.com/sdi_catalog/salesItemDetails.do?id=95599&gt; FSI 
Polaris 3500 (Spares) 131530-03 IDS DISPENSER PUMP M/N 302-M6L1-S QTY 1 
SOLD
SOLD 95600
&lt;https://www.fabsurplus.com/sdi_catalog/salesItemDetails.do?id=95600&gt; FSI 
Polaris 3500 (Spares) 131561-03 IDS DISPENSER PUMP M/N 302-M6L1-S QTY 1 
SOLD
SOLD 95601
&lt;https://www.fabsurplus.com/sdi_catalog/salesItemDetails.do?id=95601&gt; FSI 
Polaris 3500 (Spares) 131530-02 IDS DISPENSER PUMP M/N 302-M6L1-S QTY 1 
SOLD
95602&lt;https://www.fabsurplus.com/sdi_catalog/salesItemDetails.do?id=95602&gt; 
FSI Polaris 3500 (Spares) FSI P/N 05D-0167-03A1 PSU, DC BATTERY BACKUP 
05D016703A1 QTY 1
95603&lt;https://www.fabsurplus.com/sdi_catalog/salesItemDetails.do?id=95603&gt; 
FSI Polaris 3500 (Spares) FSI P/N 917410-002C POWER BOX WITH BOARD CT 
294159-200C QTY 1
95604&lt;https://www.fabsurplus.com/sdi_catalog/salesItemDetails.do?id=95604&gt; 
FSI Polaris 3500 (Spares) FSI P/N 917803-001B DWR-DSP CABLE, 25 CM QTY 1
95605&lt;https://www.fabsurplus.com/sdi_catalog/salesItemDetails.do?id=95605&gt; 
FSI Polaris 3500 (Spares) FSI P/N IB1-7000T 2 FEET CABLE 0795 QTY 1
95606&lt;https://www.fabsurplus.com/sdi_catalog/salesItemDetails.do?id=95606&gt; 
FSI Polaris 3500 (Spares) FSI P/N IB1-7000T , CABLE 2 FEET 0795 QTY 1
95607&lt;https://www.fabsurplus.com/sdi_catalog/salesItemDetails.do?id=95607&gt; 
FSI Polaris 3500 (Spares) FSI P/N POWER CABLE, LENGTH 135 CM QTY 1
95608&lt;https://www.fabsurplus.com/sdi_catalog/salesItemDetails.do?id=95608&gt; 
FSI Polaris 3500 (Spares) FSI P/N 8454-AWM-4097-MT BELDEN CABLE, LENGTH 34 
CM QTY1
 </t>
  </si>
  <si>
    <t xml:space="preserve">86277</t>
  </si>
  <si>
    <t xml:space="preserve">staubli rx 90 robot control unit 308998-001 RX 90 CONTR.1</t>
  </si>
  <si>
    <t xml:space="preserve">ELECTRICAL: 208 VAC
30 AMP
3PH
</t>
  </si>
  <si>
    <t xml:space="preserve">95574</t>
  </si>
  <si>
    <t xml:space="preserve">Polaris 3500 (Spares) 294157-200 REV C</t>
  </si>
  <si>
    <t xml:space="preserve">PCB, MODULE DRIP AND GUARD INPUTS</t>
  </si>
  <si>
    <t xml:space="preserve">new unused. see attached photos.
For FSI Polaris track system.
DIMENSIONS: 45cm X 44cm X 6 cm(H)
WEIGHT: 1,5 KG.
 </t>
  </si>
  <si>
    <t xml:space="preserve">95577</t>
  </si>
  <si>
    <t xml:space="preserve">Polaris 3500 (Spares) IBM 8228 P/N 6091014</t>
  </si>
  <si>
    <t xml:space="preserve">Multistation Access Unit</t>
  </si>
  <si>
    <t xml:space="preserve">see attached photos.
For FSI Polaris track system.
DIMENSION: 49 CM X 18 CM  X 7 CM(H)
WEIGHT: 3.20 KG.
IBM 8228 Multistation Access Unit
•Supports STP and UTPcabling
•Offers connections forup to eight devices
• Supports interconnectionwith other hubs
•Offers flexible mountingoptions
•Provides 8 Token-Ring ports
•Offers RI/RO portsThe IBM 8228 Multistation Access Unit is a simple 8-lobe 
wiring concentrator thatcan be installed in a rack in a wiring closet. Each 
8228 allows up to eight attachingdevices to have access to a ring. The 8228 
does not require an external powersource for operation</t>
  </si>
  <si>
    <t xml:space="preserve">95575</t>
  </si>
  <si>
    <t xml:space="preserve">Polaris 3500 (Spares) IKEGAMI PM-930A</t>
  </si>
  <si>
    <t xml:space="preserve">PICURE MONITOR</t>
  </si>
  <si>
    <t xml:space="preserve">new unused. see attached photos.
For FSI Polaris track system.
DIMENSIONS: 25cm X 25cm X 22 cm(H)
WEIGHT: 4.7 KG.
 </t>
  </si>
  <si>
    <t xml:space="preserve">95579</t>
  </si>
  <si>
    <t xml:space="preserve">Polaris 3500 (Spares) Patlite SL-V</t>
  </si>
  <si>
    <t xml:space="preserve">Signal Tower, 2 color, Amber, Red</t>
  </si>
  <si>
    <t xml:space="preserve">see attached photos.
For FSI Polaris track system.
9 CM X 4 CM X 53 CM (H) WEIGHT 1 KG
 </t>
  </si>
  <si>
    <t xml:space="preserve">95578</t>
  </si>
  <si>
    <t xml:space="preserve">Polaris 3500 (Spares) Proteon P7228 rev h</t>
  </si>
  <si>
    <t xml:space="preserve">PROTEON PRONET P7228 8 PORT</t>
  </si>
  <si>
    <t xml:space="preserve">See attached photos.
For FSI Polaris track system.
49 CM X 18 CM X 7 CM (H) WEIGHT 3.2 KG
 </t>
  </si>
  <si>
    <t xml:space="preserve">95576</t>
  </si>
  <si>
    <t xml:space="preserve">Polaris 3500 (Spares) VT106</t>
  </si>
  <si>
    <t xml:space="preserve">10 INCH VGA MONOCHROME MONITOR</t>
  </si>
  <si>
    <t xml:space="preserve"> see attached photos.
For FSI Polaris track system.
25 CM X 24 CM X 22 CM (H) WEIGHT 3.7 KG
 </t>
  </si>
  <si>
    <t xml:space="preserve">27841</t>
  </si>
  <si>
    <t xml:space="preserve">Proteus 1</t>
  </si>
  <si>
    <t xml:space="preserve">27821</t>
  </si>
  <si>
    <t xml:space="preserve">Proteus 11</t>
  </si>
  <si>
    <t xml:space="preserve">DI Water Heater manual Operation and Maintenance</t>
  </si>
  <si>
    <t xml:space="preserve">27878</t>
  </si>
  <si>
    <t xml:space="preserve">Saturn</t>
  </si>
  <si>
    <t xml:space="preserve">Manual General</t>
  </si>
  <si>
    <t xml:space="preserve">27824</t>
  </si>
  <si>
    <t xml:space="preserve">SATURN &amp; TITAN</t>
  </si>
  <si>
    <t xml:space="preserve">Manuals</t>
  </si>
  <si>
    <t xml:space="preserve">Saturn &amp; Titan Spray Processor Manual Operation and Maintenance Manual</t>
  </si>
  <si>
    <t xml:space="preserve">27838</t>
  </si>
  <si>
    <t xml:space="preserve">Saturn MP</t>
  </si>
  <si>
    <t xml:space="preserve">Manual 500539-001</t>
  </si>
  <si>
    <t xml:space="preserve">Operation &amp; Maintenance Manual</t>
  </si>
  <si>
    <t xml:space="preserve">27839</t>
  </si>
  <si>
    <t xml:space="preserve">Manual 500539-004</t>
  </si>
  <si>
    <t xml:space="preserve">Prints &amp; parts Structures</t>
  </si>
  <si>
    <t xml:space="preserve">27842</t>
  </si>
  <si>
    <t xml:space="preserve">Saturn OC</t>
  </si>
  <si>
    <t xml:space="preserve">Manuals </t>
  </si>
  <si>
    <t xml:space="preserve">Operators Guide Manual Operation &amp; Maintenance Manual</t>
  </si>
  <si>
    <t xml:space="preserve">83616</t>
  </si>
  <si>
    <t xml:space="preserve">FSP GROUP INC</t>
  </si>
  <si>
    <t xml:space="preserve">100-240 W</t>
  </si>
  <si>
    <t xml:space="preserve">POWER SUPPLY for a p.c.</t>
  </si>
  <si>
    <t xml:space="preserve">10</t>
  </si>
  <si>
    <t xml:space="preserve">10A 50-60 Hz</t>
  </si>
  <si>
    <t xml:space="preserve">AC IMPUT 100-240 V
10 A
50-60 Hz
MAX OUTPUT POWER 350 W
PART ID LABEL
WEIGHT TOTAL BOX: 19 KG.
DIMENSION: 50CM.X 38 CM. X 23 CM. (H)
S/N ALL: S6421250171/72/73/74/75/76/77/78/79/80
      </t>
  </si>
  <si>
    <t xml:space="preserve">83884</t>
  </si>
  <si>
    <t xml:space="preserve">FUJI</t>
  </si>
  <si>
    <t xml:space="preserve">CP32</t>
  </si>
  <si>
    <t xml:space="preserve">CIRCUIT PROTECTOR</t>
  </si>
  <si>
    <t xml:space="preserve">V 2/W
CP32V/2W
AC 250 V
50/60 Hz
2 A 1000A P-2
500 2V
WEIGHT  150 GR.
DIMENSION:10 CM. X 6,5 CM. X 4 CM.(H)
THE PRICE IS FOR EACH</t>
  </si>
  <si>
    <t xml:space="preserve">84260</t>
  </si>
  <si>
    <t xml:space="preserve">FUJI SEIKI &amp; SILENT</t>
  </si>
  <si>
    <t xml:space="preserve">FA-1612HCB-C</t>
  </si>
  <si>
    <t xml:space="preserve">FA.FWM.</t>
  </si>
  <si>
    <t xml:space="preserve">SOFT ABSORBER FUJI
1612HCB
WEIGHT: 1050 GR.
DIMENSION: 2 X 2 X 12 (H)
</t>
  </si>
  <si>
    <t xml:space="preserve">103814</t>
  </si>
  <si>
    <t xml:space="preserve">Fujikin</t>
  </si>
  <si>
    <t xml:space="preserve">FBSDV-6.35-2B3-BGC</t>
  </si>
  <si>
    <t xml:space="preserve">VALVE BLOCK DIAPH 1/4VCR-F/F/F NC/NC VIM VAR 5RA</t>
  </si>
  <si>
    <t xml:space="preserve">COMPLETELY NEW OEM PART, SEALED IN THE ORIGINAL PACKING MATERIALS.
SEE PHOTOS FOR DETAILS.
LOCATED IN AVEZZANO 67051 ITALY.</t>
  </si>
  <si>
    <t xml:space="preserve">83549</t>
  </si>
  <si>
    <t xml:space="preserve">Fujitsu Denso</t>
  </si>
  <si>
    <t xml:space="preserve">FDS11+11</t>
  </si>
  <si>
    <t xml:space="preserve">750W 34A Power supply FOR ADVANTEST T5335P TESTER</t>
  </si>
  <si>
    <t xml:space="preserve">  Removed from working service from Advantest T5335P tester
 FDS11+11 converter power supply 00952 (3922-D921)
 </t>
  </si>
  <si>
    <t xml:space="preserve">83903</t>
  </si>
  <si>
    <t xml:space="preserve">GACHOT</t>
  </si>
  <si>
    <t xml:space="preserve">DN 15-10</t>
  </si>
  <si>
    <t xml:space="preserve">STAINLSS STEEL BALL VALVE</t>
  </si>
  <si>
    <t xml:space="preserve">+644
Z2CND 7-12
DN 15-10
PN 100
WEIGHT: GR.750
DIMENSION: 21 CM. X 8 CM. X 10 CM. (H)
THE PRICE IS FOR EACH</t>
  </si>
  <si>
    <t xml:space="preserve">84075</t>
  </si>
  <si>
    <t xml:space="preserve">Gasonics</t>
  </si>
  <si>
    <t xml:space="preserve">DTC2280</t>
  </si>
  <si>
    <t xml:space="preserve">ISA IDE control board floppy HDD</t>
  </si>
  <si>
    <t xml:space="preserve">new in the box, old stock
DTC 2280, with manuals, etc.
</t>
  </si>
  <si>
    <t xml:space="preserve">110315</t>
  </si>
  <si>
    <t xml:space="preserve">GASONICS</t>
  </si>
  <si>
    <t xml:space="preserve">Gasonics IPC Match</t>
  </si>
  <si>
    <t xml:space="preserve">Sold Ex-Works, UK Office , Part Number:PM 732 , Secondary P/N:12390-02</t>
  </si>
  <si>
    <t xml:space="preserve">110314</t>
  </si>
  <si>
    <t xml:space="preserve">110316</t>
  </si>
  <si>
    <t xml:space="preserve">Gasonics Match</t>
  </si>
  <si>
    <t xml:space="preserve">Sold Ex-Works, UK Office , Part Number:12390-02</t>
  </si>
  <si>
    <t xml:space="preserve">83926</t>
  </si>
  <si>
    <t xml:space="preserve">GAZEL</t>
  </si>
  <si>
    <t xml:space="preserve">ECF 12</t>
  </si>
  <si>
    <t xml:space="preserve">SUPERCLEAN</t>
  </si>
  <si>
    <t xml:space="preserve">IPE 152</t>
  </si>
  <si>
    <t xml:space="preserve">83924</t>
  </si>
  <si>
    <t xml:space="preserve">ECF 14</t>
  </si>
  <si>
    <t xml:space="preserve">IPE 148</t>
  </si>
  <si>
    <t xml:space="preserve">83927</t>
  </si>
  <si>
    <t xml:space="preserve">ECM 12</t>
  </si>
  <si>
    <t xml:space="preserve">GSI</t>
  </si>
  <si>
    <t xml:space="preserve">IPE 153</t>
  </si>
  <si>
    <t xml:space="preserve">83925</t>
  </si>
  <si>
    <t xml:space="preserve">ECM 14</t>
  </si>
  <si>
    <t xml:space="preserve">SUPERCLEAN-GSI</t>
  </si>
  <si>
    <t xml:space="preserve">IPE 149</t>
  </si>
  <si>
    <t xml:space="preserve">83923</t>
  </si>
  <si>
    <t xml:space="preserve">EMC 38 AB</t>
  </si>
  <si>
    <t xml:space="preserve">IPE 155</t>
  </si>
  <si>
    <t xml:space="preserve">83921</t>
  </si>
  <si>
    <t xml:space="preserve">MG.FC 14</t>
  </si>
  <si>
    <t xml:space="preserve">IPE 145</t>
  </si>
  <si>
    <t xml:space="preserve">83920</t>
  </si>
  <si>
    <t xml:space="preserve">MG.FE 14</t>
  </si>
  <si>
    <t xml:space="preserve">IPE 141</t>
  </si>
  <si>
    <t xml:space="preserve">83922</t>
  </si>
  <si>
    <t xml:space="preserve">MG.FE 38</t>
  </si>
  <si>
    <t xml:space="preserve">IPE 142</t>
  </si>
  <si>
    <t xml:space="preserve">110317</t>
  </si>
  <si>
    <t xml:space="preserve">Gencal</t>
  </si>
  <si>
    <t xml:space="preserve">GenCal Power Meter</t>
  </si>
  <si>
    <t xml:space="preserve">Sold Ex-Works, UK Office , Part Number:3155228-000 E</t>
  </si>
  <si>
    <t xml:space="preserve">110318</t>
  </si>
  <si>
    <t xml:space="preserve">General Electric </t>
  </si>
  <si>
    <t xml:space="preserve">Dummy Load </t>
  </si>
  <si>
    <t xml:space="preserve">Sold Ex-Works, UK Office , Part Number:CAWY-14ACN</t>
  </si>
  <si>
    <t xml:space="preserve">106945</t>
  </si>
  <si>
    <t xml:space="preserve">Genmark</t>
  </si>
  <si>
    <t xml:space="preserve">GB3</t>
  </si>
  <si>
    <t xml:space="preserve">Wafer handling Robot</t>
  </si>
  <si>
    <t xml:space="preserve">Robot</t>
  </si>
  <si>
    <t xml:space="preserve">-Sold "as is".
-See attached photos for the condition
-SOFTWARE FLOPPY DISK INCLUDED .
SHIPPING WEIGHT AND DIMS IN CARDBOARD BOX 53 CM X 53 CM X 56 CM (H) WEIGHT 
25 KG
LOCATED AT OUR WAREHOUSE IN AVEZZANO 67051 ITALY AND AVAILABLE FOR 
IMMEDIATE DELIVERY.</t>
  </si>
  <si>
    <t xml:space="preserve">110319</t>
  </si>
  <si>
    <t xml:space="preserve">Glassman High Voltage, Inc</t>
  </si>
  <si>
    <t xml:space="preserve">PS/FL1.5F1.0</t>
  </si>
  <si>
    <t xml:space="preserve">79892</t>
  </si>
  <si>
    <t xml:space="preserve">Gossen Konstanter</t>
  </si>
  <si>
    <t xml:space="preserve">IEC625</t>
  </si>
  <si>
    <t xml:space="preserve">Laboratory Power supply Gossen Konstanter UOP</t>
  </si>
  <si>
    <t xml:space="preserve">DEINSTALLED
WAREHOUSED
CAN BE INSPECTED BY APPOINTMENT
LOCATION: AVEZZANO 67051 ITALY
</t>
  </si>
  <si>
    <t xml:space="preserve">83800</t>
  </si>
  <si>
    <t xml:space="preserve">GSC</t>
  </si>
  <si>
    <t xml:space="preserve">P140-74</t>
  </si>
  <si>
    <t xml:space="preserve">Gleichstrom Servo Motor</t>
  </si>
  <si>
    <t xml:space="preserve"> GSC P140-74 Nr. 391041
Md 0,3 Nm 3A
n 3000 min
 10V/1000 min Gen. 14V/1000 min
From Zeiss Axiotran microscopes
appears new in the box
Zeiss 5240500
 </t>
  </si>
  <si>
    <t xml:space="preserve">84413</t>
  </si>
  <si>
    <t xml:space="preserve">HAMPTON</t>
  </si>
  <si>
    <t xml:space="preserve">CYCLETROL 240</t>
  </si>
  <si>
    <t xml:space="preserve">CIRCUIT BREAKER</t>
  </si>
  <si>
    <t xml:space="preserve">PART NUMBER: 200100
IMPUT: 240 VAC,10A
10/50/60 Hz
OUTPUT: 0-180 VDC, 1/8 TO 1,5 HP
WEIGHT: KG.3,2
DIMENSION: 16 X 12 X 26,3 (H)</t>
  </si>
  <si>
    <t xml:space="preserve">110321</t>
  </si>
  <si>
    <t xml:space="preserve">Henry</t>
  </si>
  <si>
    <t xml:space="preserve">Henry 2K Controller</t>
  </si>
  <si>
    <t xml:space="preserve">Sold Ex-Works, UK Office , Part Number:2000-D</t>
  </si>
  <si>
    <t xml:space="preserve">110320</t>
  </si>
  <si>
    <t xml:space="preserve">Henry 2k Controller</t>
  </si>
  <si>
    <t xml:space="preserve">Sold Ex-Works, UK Office , Part Number:10000D</t>
  </si>
  <si>
    <t xml:space="preserve">52343</t>
  </si>
  <si>
    <t xml:space="preserve">Hitachi</t>
  </si>
  <si>
    <t xml:space="preserve">377-7592</t>
  </si>
  <si>
    <t xml:space="preserve">Power Supply Module for CD SEM</t>
  </si>
  <si>
    <t xml:space="preserve">Hitachi Power Supply module</t>
  </si>
  <si>
    <t xml:space="preserve">114432</t>
  </si>
  <si>
    <t xml:space="preserve">545-5501</t>
  </si>
  <si>
    <t xml:space="preserve">Power Draw Backplane PCB from a Hitachi S6280H CD SEM</t>
  </si>
  <si>
    <t xml:space="preserve">-De-installed from working condition in about 2005
-See attached photos for details.
This part is mounted in a Hitachi SEM Power Draw, which is SDI ID 102060.</t>
  </si>
  <si>
    <t xml:space="preserve">114434</t>
  </si>
  <si>
    <t xml:space="preserve">545-5504</t>
  </si>
  <si>
    <t xml:space="preserve">INT-PTM PCB from a Hitachi S6280H CD SEM</t>
  </si>
  <si>
    <t xml:space="preserve">111387</t>
  </si>
  <si>
    <t xml:space="preserve">545-5505</t>
  </si>
  <si>
    <t xml:space="preserve">RS232C PCB for Hitachi S6280H CD-SEM</t>
  </si>
  <si>
    <t xml:space="preserve">Deinstalled from a working Hitachi S6280H CD-SEM
See photos for details.
Will ship to your from our warehouse in Avezzano (AQ) 67051 Italy</t>
  </si>
  <si>
    <t xml:space="preserve">111393</t>
  </si>
  <si>
    <t xml:space="preserve">545-5507</t>
  </si>
  <si>
    <t xml:space="preserve">SCAN CONTROL PCB for Hitachi S6280H CD-SEM</t>
  </si>
  <si>
    <t xml:space="preserve">114429</t>
  </si>
  <si>
    <t xml:space="preserve">545-5513</t>
  </si>
  <si>
    <t xml:space="preserve">DEF PS PCB from a Hitachi S6280H CD SEM</t>
  </si>
  <si>
    <t xml:space="preserve">114430</t>
  </si>
  <si>
    <t xml:space="preserve">545-5514</t>
  </si>
  <si>
    <t xml:space="preserve">LENS PS PCB from a Hitachi S6280H CD SEM</t>
  </si>
  <si>
    <t xml:space="preserve">52166</t>
  </si>
  <si>
    <t xml:space="preserve">545-5515</t>
  </si>
  <si>
    <t xml:space="preserve">DC power supply module for CD SEM</t>
  </si>
  <si>
    <t xml:space="preserve">DC power supply module , 5 channels, goes to a Hitachi SEM (P/N 545-5515)</t>
  </si>
  <si>
    <t xml:space="preserve">52301</t>
  </si>
  <si>
    <t xml:space="preserve">545-5516</t>
  </si>
  <si>
    <t xml:space="preserve">7 Channel Power Supply module</t>
  </si>
  <si>
    <t xml:space="preserve">Power Supply module onboard, 7 channels for Hitachi CD-SEM</t>
  </si>
  <si>
    <t xml:space="preserve">52339</t>
  </si>
  <si>
    <t xml:space="preserve">545-5521</t>
  </si>
  <si>
    <t xml:space="preserve">EVAC PCB FOR HITACHI CD-SEM</t>
  </si>
  <si>
    <t xml:space="preserve">EVAC SEQ P/N 545-5521 board for Hitachi CD-SEM</t>
  </si>
  <si>
    <t xml:space="preserve">52312</t>
  </si>
  <si>
    <t xml:space="preserve">545-5522</t>
  </si>
  <si>
    <t xml:space="preserve">VG board for CD SEM</t>
  </si>
  <si>
    <t xml:space="preserve">VG driver board for CD SEM</t>
  </si>
  <si>
    <t xml:space="preserve">52340</t>
  </si>
  <si>
    <t xml:space="preserve">545-5537</t>
  </si>
  <si>
    <t xml:space="preserve">IP-PC2 for cd-sem</t>
  </si>
  <si>
    <t xml:space="preserve">IP-PC2 board for Hitachi CD-SEM</t>
  </si>
  <si>
    <t xml:space="preserve">52168</t>
  </si>
  <si>
    <t xml:space="preserve">545-5540 </t>
  </si>
  <si>
    <t xml:space="preserve">Power Supply unit for S6280H CD SEM</t>
  </si>
  <si>
    <t xml:space="preserve">Hitachi S6280H CD SEM High Voltage Power Supply module, see attached 
pictures for details
PACKED WEIGHT AND DIMS: 39 X 52.5 X 42 (H) CM, WEIGHT 13.5 KG
</t>
  </si>
  <si>
    <t xml:space="preserve">111390</t>
  </si>
  <si>
    <t xml:space="preserve">545-5591</t>
  </si>
  <si>
    <t xml:space="preserve">CRTC (T) PCB for Hitachi S6280H CD-SEM</t>
  </si>
  <si>
    <t xml:space="preserve">111391</t>
  </si>
  <si>
    <t xml:space="preserve">545-5596</t>
  </si>
  <si>
    <t xml:space="preserve">V-AMT (T) PCB for Hitachi S6280H CD-SEM</t>
  </si>
  <si>
    <t xml:space="preserve">111392</t>
  </si>
  <si>
    <t xml:space="preserve">545-5598</t>
  </si>
  <si>
    <t xml:space="preserve">NV-MEM PCB for Hitachi S6280H CD-SEM</t>
  </si>
  <si>
    <t xml:space="preserve">Deinstalled from a working Hitachi S6280H CD-SEM
See photos for details.
Will ship to you from our warehouse in Avezzano (AQ) 67051 Italy</t>
  </si>
  <si>
    <t xml:space="preserve">111386</t>
  </si>
  <si>
    <t xml:space="preserve">565-5506</t>
  </si>
  <si>
    <t xml:space="preserve">MAG. ADJ.   PCB for Hitachi S6280H CD-SEM</t>
  </si>
  <si>
    <t xml:space="preserve">111388</t>
  </si>
  <si>
    <t xml:space="preserve">566-5346</t>
  </si>
  <si>
    <t xml:space="preserve">PANEL I/F PCB for Hitachi S6280H CD-SEM</t>
  </si>
  <si>
    <t xml:space="preserve">114433</t>
  </si>
  <si>
    <t xml:space="preserve">566-5503</t>
  </si>
  <si>
    <t xml:space="preserve">ROM PCB from a Hitachi S6280H CD SEM</t>
  </si>
  <si>
    <t xml:space="preserve">-De-installed from working condition in about 2005
-See attached photos for details.
This part is mounted in a Hitachi SEM Power Draw, which is SDI ID 102060.
This ROM PCB is mounted on the CPU PCB, p/n 566-5504
The ROM versions are S6280H SEM V.53.90</t>
  </si>
  <si>
    <t xml:space="preserve">111385</t>
  </si>
  <si>
    <t xml:space="preserve">566-5504</t>
  </si>
  <si>
    <t xml:space="preserve">CPU PCB for Hitachi S6280H CD-SEM</t>
  </si>
  <si>
    <t xml:space="preserve">Deinstalled from a working Hitachi S6280H CD-SEM
Including:
CPU P/N 566-5504,  ROM P/N 566-5503 piggy-back PCB, with S6280H ROMS QTY 3 
v53.90
See photos for details.
Will ship to your from our warehouse in Avezzano (AQ) 67051 Italy</t>
  </si>
  <si>
    <t xml:space="preserve">111394</t>
  </si>
  <si>
    <t xml:space="preserve">566-5510 with 566-5540</t>
  </si>
  <si>
    <t xml:space="preserve">HV LENS PCB for Hitachi S6280H CD-SEM</t>
  </si>
  <si>
    <t xml:space="preserve">Deinstalled from a working Hitachi S6280H CD-SEM
See photos for details. With LENS N p/n 566-5540
Will ship to your from our warehouse in Avezzano (AQ) 67051 Italy</t>
  </si>
  <si>
    <t xml:space="preserve">111389</t>
  </si>
  <si>
    <t xml:space="preserve">566-5513</t>
  </si>
  <si>
    <t xml:space="preserve">C/G RAM PCB for Hitachi S6280H CD-SEM</t>
  </si>
  <si>
    <t xml:space="preserve">52167</t>
  </si>
  <si>
    <t xml:space="preserve">6280H</t>
  </si>
  <si>
    <t xml:space="preserve">Power Supply Module 4channels </t>
  </si>
  <si>
    <t xml:space="preserve">Power Supply module 4channels for Hitachi SEM 6280H, see pictures for 
details</t>
  </si>
  <si>
    <t xml:space="preserve">102060</t>
  </si>
  <si>
    <t xml:space="preserve">6280H (Parts)</t>
  </si>
  <si>
    <t xml:space="preserve">CD SEM Power Drawer including qty 15 PC  Boards in the rack</t>
  </si>
  <si>
    <t xml:space="preserve">The complete and functional power draw from a Hitachi S6280H CD-SEM.
Including the following Parts:
SDI ID 111385: CPU PCB P/N 566-5504
See Also:
https://www.fabsurplus.com/sdicatalog/salesItemDetails.do?id=111385
SDI ID 114433: ROM PCB P/N 566-5503
See Also:
https://www.fabsurplus.com/sdicatalog/salesItemDetails.do?id=114433
SDI ID 114434: INT/PTM PCB 545-5504
See Also:
https://www.fabsurplus.com/sdicatalog/salesItemDetails.do?id=114434
SDI ID 111386: MAG.ADJ. PCB P/N 565-5506
See Also:
https://www.fabsurplus.com/sdicatalog/salesItemDetails.do?id=111386
SDI ID 111387: RS232C PCB P/N 545-5505
See Also:
https://www.fabsurplus.com/sdicatalog/salesItemDetails.do?id=111387
SDI ID 111388: PANEL/IF PCB 566-5346
See Also:
https://www.fabsurplus.com/sdicatalog/salesItemDetails.do?id=111388
SDI ID 111389: C/G RAM PCB P/N 566-5513
See Also:
https://www.fabsurplus.com/sdicatalog/salesItemDetails.do?id=111389
SDI ID 111390: CRTC(T) PCB P/N 545-5591
See Also:
https://www.fabsurplus.com/sdicatalog/salesItemDetails.do?id=111390
SDI ID 111391: V-AMP (T) PCB P/N 545-5596
See Also:
https://www.fabsurplus.com/sdicatalog/salesItemDetails.do?id=111391
SDI ID 111392: NVMEM PCB P/N 545-5598
See Also:
https://www.fabsurplus.com/sdicatalog/salesItemDetails.do?id=111392
SDI ID 111393: SCAN CONT PCB 545-5507
See Also:
https://www.fabsurplus.com/sdicatalog/salesItemDetails.do?id=111393
SDI ID 111394: HV/LENS PCB P/N 566-5510 LENS N P/N 566-5540
See Also:
https://www.fabsurplus.com/sdicatalog/salesItemDetails.do?id=111394
SDI ID 114429: DEF PS PCB P/N 545-5513
See Also:
https://www.fabsurplus.com/sdicatalog/salesItemDetails.do?id=114429
SDI ID 114430: LENS PS PCB P/N 545-5514
See Also:
https://www.fabsurplus.com/sdicatalog/salesItemDetails.do?id=114430
SDI ID 114431: Nemic Lambda 5V 30A PSU qty 2
See Also:
https://www.fabsurplus.com/sdicatalog/salesItemDetails.do?id=114431
SDI ID 114432: BACKPLANE PCB P/N 545-5501
See Also:
https://www.fabsurplus.com/sdicatalog/salesItemDetails.do?id=114432</t>
  </si>
  <si>
    <t xml:space="preserve">53054</t>
  </si>
  <si>
    <t xml:space="preserve">HITACHI</t>
  </si>
  <si>
    <t xml:space="preserve">6280H (SPARES)</t>
  </si>
  <si>
    <t xml:space="preserve">SORD Computer for cd sem system</t>
  </si>
  <si>
    <t xml:space="preserve">Complete PC assembly with Centronics Key and external FDD 3.5"</t>
  </si>
  <si>
    <t xml:space="preserve">114431</t>
  </si>
  <si>
    <t xml:space="preserve">Nemic-Lambda EWS150-5</t>
  </si>
  <si>
    <t xml:space="preserve">5V 30A Power Supply from a Hitachi S6280H CD SEM</t>
  </si>
  <si>
    <t xml:space="preserve">-De-installed from working condition in about 2005
-See attached photos for details.
-Qty 2 available
These parts are mounted in a Hitachi 6280H CD-SEM Power Draw, which is SDI 
ID 102060.
-Other numbers on these parts: AYN-602M26-0258
-I/P 100-120VAC at 3.7A, 200-240VAC at 2.1 A
-O/P 5VDC at 30A</t>
  </si>
  <si>
    <t xml:space="preserve">86278</t>
  </si>
  <si>
    <t xml:space="preserve">Hitachi </t>
  </si>
  <si>
    <t xml:space="preserve">6280H CONTROL RACK</t>
  </si>
  <si>
    <t xml:space="preserve">CD SEM (PARTS)</t>
  </si>
  <si>
    <t xml:space="preserve">CONTROL RACK REMOVED FROM WORKING CD SEM.
Including the following PCBs:
CPU P/N 566-5504
ROM P/N 566-5503
INT/PTM 545-5504
MAG.ADJ. P/N 565-5506
RS232C P/N 545-5505
PANEL/IF 566-5346
C/G RAM P/N 566-5513
CRTC(T) P/N 545-5591
V-AMP (T) P/N 545-5596
NVMEM P/N 545-5598
SCAN CONT 545-5507
HV/LENS P/N 566-5510 LENS N P/N 566-5540
 </t>
  </si>
  <si>
    <t xml:space="preserve">77264</t>
  </si>
  <si>
    <t xml:space="preserve">HOLADAY</t>
  </si>
  <si>
    <t xml:space="preserve">HI-1801</t>
  </si>
  <si>
    <t xml:space="preserve">MICROWAVE SURVEY METER</t>
  </si>
  <si>
    <t xml:space="preserve">Laboratory</t>
  </si>
  <si>
    <t xml:space="preserve">Holaday Microwave Survey Meter
in case, like new, with all accessories.
Location: Avezzano 67051 Italy</t>
  </si>
  <si>
    <t xml:space="preserve">83579</t>
  </si>
  <si>
    <t xml:space="preserve">HP HEWLETT PACKARD</t>
  </si>
  <si>
    <t xml:space="preserve">9145A</t>
  </si>
  <si>
    <t xml:space="preserve">PC HP HEWLETT PACHARD 9145</t>
  </si>
  <si>
    <t xml:space="preserve">115/230V</t>
  </si>
  <si>
    <t xml:space="preserve">AC LINE
115/230 V
1.6/1.0 A MAX
50/60 Hz
32 TRACK
FUSE: F3A-250 V USA
T3 15A-250 V
EUROPE
SELF TEST
DISPLAY RESULT</t>
  </si>
  <si>
    <t xml:space="preserve">82181</t>
  </si>
  <si>
    <t xml:space="preserve">hps mks</t>
  </si>
  <si>
    <t xml:space="preserve">90 degree flange</t>
  </si>
  <si>
    <t xml:space="preserve">HPS MKS Stainless Steel VACUUM FITTING</t>
  </si>
  <si>
    <t xml:space="preserve">HPS MKS Stainless Steel VACUUM FITTING 90 Degree ELBOW Flange Size KF-40
OD 5" elbow already attached to straight pump flange also 5"
Stainless steel
Boerne,TX Warehouse </t>
  </si>
  <si>
    <t xml:space="preserve">77156</t>
  </si>
  <si>
    <t xml:space="preserve">HTC</t>
  </si>
  <si>
    <t xml:space="preserve">ISO1010OCRVSA</t>
  </si>
  <si>
    <t xml:space="preserve">Pump flange PN 192112412</t>
  </si>
  <si>
    <t xml:space="preserve">   ISO100OCRVSA
   P/N 192112412LOT#MO0610088
New in a package of 2 each
Ships from our Boerne, TX Location</t>
  </si>
  <si>
    <t xml:space="preserve">110323</t>
  </si>
  <si>
    <t xml:space="preserve">Huttinger</t>
  </si>
  <si>
    <t xml:space="preserve">PFM 1500 A</t>
  </si>
  <si>
    <t xml:space="preserve">Sold Ex-Works, UK Office , Part Number:1000/003</t>
  </si>
  <si>
    <t xml:space="preserve">110322</t>
  </si>
  <si>
    <t xml:space="preserve">Huttinger </t>
  </si>
  <si>
    <t xml:space="preserve">PFG 300</t>
  </si>
  <si>
    <t xml:space="preserve">Sold Ex-Works, UK Office , Part Number:24037402-010001</t>
  </si>
  <si>
    <t xml:space="preserve">110324</t>
  </si>
  <si>
    <t xml:space="preserve">ICP</t>
  </si>
  <si>
    <t xml:space="preserve">R48870</t>
  </si>
  <si>
    <t xml:space="preserve">77004</t>
  </si>
  <si>
    <t xml:space="preserve">ICP DAS Omega</t>
  </si>
  <si>
    <t xml:space="preserve">DB-16R</t>
  </si>
  <si>
    <t xml:space="preserve">Daughter Board</t>
  </si>
  <si>
    <t xml:space="preserve">DB-16R Daughter Board like new with cables </t>
  </si>
  <si>
    <t xml:space="preserve">84238</t>
  </si>
  <si>
    <t xml:space="preserve">IGUS</t>
  </si>
  <si>
    <t xml:space="preserve">07.10.038.0</t>
  </si>
  <si>
    <t xml:space="preserve">Belt</t>
  </si>
  <si>
    <t xml:space="preserve">Pack of 100 belt pieces, sold as a pack of 100
IGUS P#07.10.038.0</t>
  </si>
  <si>
    <t xml:space="preserve">13025</t>
  </si>
  <si>
    <t xml:space="preserve">IKO</t>
  </si>
  <si>
    <t xml:space="preserve">LWES 15 C1 R460 S2</t>
  </si>
  <si>
    <t xml:space="preserve">Linear way with single bearing block,set of 4</t>
  </si>
  <si>
    <t xml:space="preserve">New in original box</t>
  </si>
  <si>
    <t xml:space="preserve">83619</t>
  </si>
  <si>
    <t xml:space="preserve">IKO NIPPON THOMPSON</t>
  </si>
  <si>
    <t xml:space="preserve">BCS H S2</t>
  </si>
  <si>
    <t xml:space="preserve">LINEAR BEARING AND RAIL</t>
  </si>
  <si>
    <t xml:space="preserve">LWLF 42 C2 R550
BCS H S2
A 5 18122003
WEIGHT : 2,5 KG.
DIMENSION: 73 CM.X9 CM.X4,5 CM.(H)</t>
  </si>
  <si>
    <t xml:space="preserve">83617</t>
  </si>
  <si>
    <t xml:space="preserve">LWHT 20 C1 R760 B T1 H S2</t>
  </si>
  <si>
    <t xml:space="preserve">LWHT 20 C1 R760 B
T1 H S2
A 5 18122003
WEIGHT : 3 KG.
DIMENSION: 91 CM.X9 CM.X5 CM.(H)</t>
  </si>
  <si>
    <t xml:space="preserve">84222</t>
  </si>
  <si>
    <t xml:space="preserve">LWL 12 C2</t>
  </si>
  <si>
    <t xml:space="preserve">LWL 12 C2 R240 BCS
T1 H S2
WEIGHT : 200 GR.
DIMENSION: 32 CM.X CM.X2,5 CM.(H)</t>
  </si>
  <si>
    <t xml:space="preserve">83626</t>
  </si>
  <si>
    <t xml:space="preserve">PS1</t>
  </si>
  <si>
    <t xml:space="preserve">LINEAR BEARING </t>
  </si>
  <si>
    <t xml:space="preserve">LWH 15 C1
R 180
WEIGHT : 1 KG.
DIMENSION: 39 CM.X16 CM.X 7 CM.(H)</t>
  </si>
  <si>
    <t xml:space="preserve">83618</t>
  </si>
  <si>
    <t xml:space="preserve">T1 H S2</t>
  </si>
  <si>
    <t xml:space="preserve">LWHS 25 C2 R580 B
T1 H S2
18122003
WEIGHT : 3 KG.
DIMENSION: 91 CM.X9 CM.X5 CM.(H)</t>
  </si>
  <si>
    <t xml:space="preserve">83583</t>
  </si>
  <si>
    <t xml:space="preserve">INFICON</t>
  </si>
  <si>
    <t xml:space="preserve">850-200-G1</t>
  </si>
  <si>
    <t xml:space="preserve">LEYBOLD IG 3 VACUUM GAUGE CONTROLLER</t>
  </si>
  <si>
    <t xml:space="preserve">RS232</t>
  </si>
  <si>
    <t xml:space="preserve">77151</t>
  </si>
  <si>
    <t xml:space="preserve">Ingersoll Rand</t>
  </si>
  <si>
    <t xml:space="preserve">ANAQK-ABXAB-160</t>
  </si>
  <si>
    <t xml:space="preserve">Provenair HT Pneumatic Cylinder</t>
  </si>
  <si>
    <t xml:space="preserve">New, unused, in original packaging.
74 cm  x 15 cm x 9 cm (H), 3 KG in box.
Package has been opened to take photos. Includes manual.
Compatible with AMI Presco Model 885 screen printers.</t>
  </si>
  <si>
    <t xml:space="preserve">86677</t>
  </si>
  <si>
    <t xml:space="preserve">InTest </t>
  </si>
  <si>
    <t xml:space="preserve">Test Head</t>
  </si>
  <si>
    <t xml:space="preserve">CPIT TEP8 / STFLASH  EPROM / 1792 Test Head</t>
  </si>
  <si>
    <t xml:space="preserve">16 Channel VI E/M (Fusion CX)
For a Fusion CX tester to interface to the prober.
Packed in original packing materials.
Weight = 17 KG
Dimensions: 47 cm x 56 cm x 28 cm (h)</t>
  </si>
  <si>
    <t xml:space="preserve">84552</t>
  </si>
  <si>
    <t xml:space="preserve">JC Systems</t>
  </si>
  <si>
    <t xml:space="preserve">Model 510</t>
  </si>
  <si>
    <t xml:space="preserve">Controller and setpoint programmer</t>
  </si>
  <si>
    <t xml:space="preserve">JSC Systems, Inc. 510-180C TP 110V Set Point controller
Good,working condition, with power cable.
POWER RATING 115V 75 W
49 cm x 28 cm x 22.5 cm H weight 7.5 kg</t>
  </si>
  <si>
    <t xml:space="preserve">115394</t>
  </si>
  <si>
    <t xml:space="preserve">JEL</t>
  </si>
  <si>
    <t xml:space="preserve">DTVHR4275 C4410-00751  </t>
  </si>
  <si>
    <t xml:space="preserve">ROBOT CONTROLLER ASIS</t>
  </si>
  <si>
    <t xml:space="preserve">84231</t>
  </si>
  <si>
    <t xml:space="preserve">Kalrez</t>
  </si>
  <si>
    <t xml:space="preserve">O-RING AS-568A</t>
  </si>
  <si>
    <t xml:space="preserve">o-ring seal</t>
  </si>
  <si>
    <t xml:space="preserve">
DUPONT KALREZ O-RING AS-568A K#456 COMPOUND: PV8070</t>
  </si>
  <si>
    <t xml:space="preserve">84388</t>
  </si>
  <si>
    <t xml:space="preserve">KEYENCE</t>
  </si>
  <si>
    <t xml:space="preserve">FU-12</t>
  </si>
  <si>
    <t xml:space="preserve">PHOTO SENSOR</t>
  </si>
  <si>
    <t xml:space="preserve">FU-12
WEIGHT: 100 GR.
DIMENSION: 15 X 15 X 2,5 (H) FOR EACH</t>
  </si>
  <si>
    <t xml:space="preserve">84392</t>
  </si>
  <si>
    <t xml:space="preserve">PS SERIES</t>
  </si>
  <si>
    <t xml:space="preserve">Sensor Fiber Optic Cable
PS-55 2 PIECES
PS-25
FS2-60
FS-T1
FU-69
WEIGHT: 100 GR.
DIMENSION: 12 X 12 X 2,5 (H) FOR EACH</t>
  </si>
  <si>
    <t xml:space="preserve">84393</t>
  </si>
  <si>
    <t xml:space="preserve">PS2-61
WEIGHT: 180 GR.
DIMENSION: 11 X 12 X 3,5 (H)</t>
  </si>
  <si>
    <t xml:space="preserve">84394</t>
  </si>
  <si>
    <t xml:space="preserve">AP-21A
WEIGHT: 200 GR.
DIMENSION: 11,5 X 10 X 5 (H) FOR EACH</t>
  </si>
  <si>
    <t xml:space="preserve">84076</t>
  </si>
  <si>
    <t xml:space="preserve">KLA</t>
  </si>
  <si>
    <t xml:space="preserve">050-654234-00</t>
  </si>
  <si>
    <t xml:space="preserve">Lamp Micro Line Filament w/ clips</t>
  </si>
  <si>
    <t xml:space="preserve">Pack of lamp w/ clips, KLA-Tencor 050-654234-00
for  Use in KLA 21xx tools
</t>
  </si>
  <si>
    <t xml:space="preserve">106142</t>
  </si>
  <si>
    <t xml:space="preserve">210e and 259 (Spares)</t>
  </si>
  <si>
    <t xml:space="preserve">Encoders, 2500 LPI  for KLA 2xx reticle inspection system</t>
  </si>
  <si>
    <t xml:space="preserve">Encoders from a KLA 259 reticle inspection system. Removed from a working 
tool.</t>
  </si>
  <si>
    <t xml:space="preserve">31645</t>
  </si>
  <si>
    <t xml:space="preserve">259 (Spares)</t>
  </si>
  <si>
    <t xml:space="preserve">Set of 2 Objectives and 2 illuminator lenses for KLA 259 reticle inspection system</t>
  </si>
  <si>
    <t xml:space="preserve">This sales items consists of the following parts:-
Set of 2 Objectives and 2 illuminator lenses for KLA 259 reticle inspection 
system. Removed from a working tool. Long Working Distance .</t>
  </si>
  <si>
    <t xml:space="preserve">27809</t>
  </si>
  <si>
    <t xml:space="preserve">259 (spares)</t>
  </si>
  <si>
    <t xml:space="preserve">Trinocular Microscope Head for KLA 2xx reticle inspection system</t>
  </si>
  <si>
    <t xml:space="preserve">Microscope Head Assembly 10x/20L Eye Pieces
Parts
655-037648-00 Rev XA
655-03737-00 Rev XA
655-037138-00 Rev XD ORH</t>
  </si>
  <si>
    <t xml:space="preserve">87086</t>
  </si>
  <si>
    <t xml:space="preserve">655-6616141-00</t>
  </si>
  <si>
    <t xml:space="preserve">Wafer stage, kla 21xx</t>
  </si>
  <si>
    <t xml:space="preserve">REV A0
FOR  KLA 21XX
</t>
  </si>
  <si>
    <t xml:space="preserve">106106</t>
  </si>
  <si>
    <t xml:space="preserve">710-022400-01 D5</t>
  </si>
  <si>
    <t xml:space="preserve">Graphic Display Controller 1 PCB for KLA 2xx reticle inspection system</t>
  </si>
  <si>
    <t xml:space="preserve">PCB from a KLA 259 reticle inspection system. Removed from a working tool.</t>
  </si>
  <si>
    <t xml:space="preserve">106081</t>
  </si>
  <si>
    <t xml:space="preserve">710-022410-01 Rev A5</t>
  </si>
  <si>
    <t xml:space="preserve">AR GRAPHICS DISPLAY CONTROLLER 2 PCB</t>
  </si>
  <si>
    <t xml:space="preserve">FROM A KLA 259 RETICLE INSPECTION SYSTEM. THE PART WAS REMOVED FROM A 
WORKING SYSTEM.</t>
  </si>
  <si>
    <t xml:space="preserve">106109</t>
  </si>
  <si>
    <t xml:space="preserve">710-023141-00 </t>
  </si>
  <si>
    <t xml:space="preserve">Assy, Formatter p3 PCB for KLA 2xx reticle inspection system</t>
  </si>
  <si>
    <t xml:space="preserve">106080</t>
  </si>
  <si>
    <t xml:space="preserve">710-023236-00 Rev B1</t>
  </si>
  <si>
    <t xml:space="preserve">P3 Scan delay FIR Filter PCB</t>
  </si>
  <si>
    <t xml:space="preserve">106108</t>
  </si>
  <si>
    <t xml:space="preserve">710-023256-00 C2</t>
  </si>
  <si>
    <t xml:space="preserve">P3 Data Input PCB for KLA 2xx reticle inspection system</t>
  </si>
  <si>
    <t xml:space="preserve">106133</t>
  </si>
  <si>
    <t xml:space="preserve">710-023273-00 C</t>
  </si>
  <si>
    <t xml:space="preserve">512 K ram, 210 series  PCB for KLA 2xx reticle inspection system</t>
  </si>
  <si>
    <t xml:space="preserve">106124</t>
  </si>
  <si>
    <t xml:space="preserve">710-023279-00 H2</t>
  </si>
  <si>
    <t xml:space="preserve">04/16 level dump  PCB for KLA 2xx reticle inspection system</t>
  </si>
  <si>
    <t xml:space="preserve">PCB from a KLA 259 reticle inspection system. Removed from a working tool. 
Rev H2 Opt 1</t>
  </si>
  <si>
    <t xml:space="preserve">106126</t>
  </si>
  <si>
    <t xml:space="preserve">710-023455-00 XC</t>
  </si>
  <si>
    <t xml:space="preserve">e-series detector, compare, 21xe   PCB for KLA 2xx reticle inspection system</t>
  </si>
  <si>
    <t xml:space="preserve">106128</t>
  </si>
  <si>
    <t xml:space="preserve">106083</t>
  </si>
  <si>
    <t xml:space="preserve">710-023589-00 Rev B2</t>
  </si>
  <si>
    <t xml:space="preserve">SERVO DRIVE 1 III PCB</t>
  </si>
  <si>
    <t xml:space="preserve">106113</t>
  </si>
  <si>
    <t xml:space="preserve">710-023596-00 C2</t>
  </si>
  <si>
    <t xml:space="preserve">Alignment Error Detector P3 RF PCB for KLA 2xx reticle inspection system</t>
  </si>
  <si>
    <t xml:space="preserve">106114</t>
  </si>
  <si>
    <t xml:space="preserve">106115</t>
  </si>
  <si>
    <t xml:space="preserve">106131</t>
  </si>
  <si>
    <t xml:space="preserve">710-023599-01 B1</t>
  </si>
  <si>
    <t xml:space="preserve">Computer IF (RF)    PCB for KLA 2xx reticle inspection system</t>
  </si>
  <si>
    <t xml:space="preserve">106107</t>
  </si>
  <si>
    <t xml:space="preserve">710-023602-00 B</t>
  </si>
  <si>
    <t xml:space="preserve">Display System Trap, RF PCB for KLA 2xx reticle inspection system</t>
  </si>
  <si>
    <t xml:space="preserve">106112</t>
  </si>
  <si>
    <t xml:space="preserve">710-028001-00 A1</t>
  </si>
  <si>
    <t xml:space="preserve">Image Memory PCB for KLA 2xx reticle inspection system</t>
  </si>
  <si>
    <t xml:space="preserve">106119</t>
  </si>
  <si>
    <t xml:space="preserve">106117</t>
  </si>
  <si>
    <t xml:space="preserve">Image Memory PCB for KLA 2xx reticle inspection system </t>
  </si>
  <si>
    <t xml:space="preserve">106110</t>
  </si>
  <si>
    <t xml:space="preserve">Image Memory PCB for KLA 2xx reticle inspection system  </t>
  </si>
  <si>
    <t xml:space="preserve">PCB from a KLA 259 reticle inspection system. Removed from a working tool.
REV A1 OPT 1</t>
  </si>
  <si>
    <t xml:space="preserve">106118</t>
  </si>
  <si>
    <t xml:space="preserve">710-028014-00 B3</t>
  </si>
  <si>
    <t xml:space="preserve">Image Memory Address PCB for KLA 2xx reticle inspection system</t>
  </si>
  <si>
    <t xml:space="preserve">106111</t>
  </si>
  <si>
    <t xml:space="preserve">710-028014-01 E</t>
  </si>
  <si>
    <t xml:space="preserve">ADBA PCB for KLA 2xx reticle inspection system</t>
  </si>
  <si>
    <t xml:space="preserve">106130</t>
  </si>
  <si>
    <t xml:space="preserve">710-028287-01 G1</t>
  </si>
  <si>
    <t xml:space="preserve">servo 4 II    PCB for KLA 2xx reticle inspection system</t>
  </si>
  <si>
    <t xml:space="preserve">106082</t>
  </si>
  <si>
    <t xml:space="preserve">710-029421-00 Rev C2</t>
  </si>
  <si>
    <t xml:space="preserve">SERVO DRIVE 2 III PCB</t>
  </si>
  <si>
    <t xml:space="preserve">106127</t>
  </si>
  <si>
    <t xml:space="preserve">710-029694-00 XF</t>
  </si>
  <si>
    <t xml:space="preserve">e-series detector,data 259 ROQ   PCB for KLA 2xx reticle inspection system</t>
  </si>
  <si>
    <t xml:space="preserve">106121</t>
  </si>
  <si>
    <t xml:space="preserve">710-029767-00 REV D</t>
  </si>
  <si>
    <t xml:space="preserve">UPLL RF PCB for KLA 2xx reticle inspection system</t>
  </si>
  <si>
    <t xml:space="preserve">106135</t>
  </si>
  <si>
    <t xml:space="preserve">710-029924-00 REV F</t>
  </si>
  <si>
    <t xml:space="preserve">Preprocessor 1 (RF)  PCB for KLA 2xx reticle inspection system</t>
  </si>
  <si>
    <t xml:space="preserve">PCB from a KLA 259 reticle inspection system. Removed from a working tool.
QTY 2 AVAILABLE. REV F OPT 1</t>
  </si>
  <si>
    <t xml:space="preserve">106136</t>
  </si>
  <si>
    <t xml:space="preserve">710-029927-00 REV E</t>
  </si>
  <si>
    <t xml:space="preserve">Preprocessor 2 (RF)  PCB for KLA 2xx reticle inspection system</t>
  </si>
  <si>
    <t xml:space="preserve">PCB from a KLA 259 reticle inspection system. Removed from a working tool.
QTY 2 AVAILABLE</t>
  </si>
  <si>
    <t xml:space="preserve">106066</t>
  </si>
  <si>
    <t xml:space="preserve">710-029946-00 Rev:XE</t>
  </si>
  <si>
    <t xml:space="preserve">Corrector-Formatter PCB M2A only</t>
  </si>
  <si>
    <t xml:space="preserve">PCB for a KLA 259 reticle inspection system.
Removed from a working tool.
REV XE OPT 1</t>
  </si>
  <si>
    <t xml:space="preserve">106138</t>
  </si>
  <si>
    <t xml:space="preserve">710-036106-00 REV D</t>
  </si>
  <si>
    <t xml:space="preserve">Defect Highlighting Control 3  PCB for KLA 2xx reticle inspection system</t>
  </si>
  <si>
    <t xml:space="preserve">PCB from a KLA 259 reticle inspection system. Removed from a working tool.
REV D OPT 1</t>
  </si>
  <si>
    <t xml:space="preserve">106123</t>
  </si>
  <si>
    <t xml:space="preserve">710-036380-00 C</t>
  </si>
  <si>
    <t xml:space="preserve">IAS parameter 2  PCB for KLA 2xx reticle inspection system</t>
  </si>
  <si>
    <t xml:space="preserve">106122</t>
  </si>
  <si>
    <t xml:space="preserve">710-036420-00 XB</t>
  </si>
  <si>
    <t xml:space="preserve">Defect Concatenator 4 PCB -IAS compatible-newest version PCB for KLA 2xx reticle inspection system</t>
  </si>
  <si>
    <t xml:space="preserve">106140</t>
  </si>
  <si>
    <t xml:space="preserve">710-037699-00 XA1</t>
  </si>
  <si>
    <t xml:space="preserve">gain/offset testpoint board  PCB for KLA 2xx reticle inspection system</t>
  </si>
  <si>
    <t xml:space="preserve">106134</t>
  </si>
  <si>
    <t xml:space="preserve">710-037717-00 A</t>
  </si>
  <si>
    <t xml:space="preserve">FDD controller, 3.5 inch  PCB for KLA 2xx reticle inspection system</t>
  </si>
  <si>
    <t xml:space="preserve">106132</t>
  </si>
  <si>
    <t xml:space="preserve">710-037718-00 C</t>
  </si>
  <si>
    <t xml:space="preserve">SBC 3.5 inch floppy   PCB for KLA 2xx reticle inspection system</t>
  </si>
  <si>
    <t xml:space="preserve">106120</t>
  </si>
  <si>
    <t xml:space="preserve">710-037887-01 B</t>
  </si>
  <si>
    <t xml:space="preserve">BMMC M2A with RIA signal mod. PCB for KLA 2xx reticle inspection system</t>
  </si>
  <si>
    <t xml:space="preserve">106137</t>
  </si>
  <si>
    <t xml:space="preserve">710-037889-00 Rev XA</t>
  </si>
  <si>
    <t xml:space="preserve">Preprocessor I/O  PCB for KLA 2xx reticle inspection system</t>
  </si>
  <si>
    <t xml:space="preserve">PCB from a KLA 259 reticle inspection system. Removed from a working tool.
rev xa opt 1</t>
  </si>
  <si>
    <t xml:space="preserve">106116</t>
  </si>
  <si>
    <t xml:space="preserve">710-039524-00 A</t>
  </si>
  <si>
    <t xml:space="preserve">AP 1 210 series PCB for KLA 2xx reticle inspection system</t>
  </si>
  <si>
    <t xml:space="preserve">106129</t>
  </si>
  <si>
    <t xml:space="preserve">710-039924-00 A1</t>
  </si>
  <si>
    <t xml:space="preserve">SERVO DRIVE 3 IV  PCB for KLA 2xx reticle inspection system</t>
  </si>
  <si>
    <t xml:space="preserve">106125</t>
  </si>
  <si>
    <t xml:space="preserve">710-040042-00 XB</t>
  </si>
  <si>
    <t xml:space="preserve">e-series detector, threshold 2x2 259 M2A  PCB for KLA 2xx reticle inspection system</t>
  </si>
  <si>
    <t xml:space="preserve">1736</t>
  </si>
  <si>
    <t xml:space="preserve">710-101836-02</t>
  </si>
  <si>
    <t xml:space="preserve">AUTOFOCUS 2  HV PCB for KLA 2xx reticle inspection system</t>
  </si>
  <si>
    <t xml:space="preserve">Autofocus HV PCB</t>
  </si>
  <si>
    <t xml:space="preserve">4288</t>
  </si>
  <si>
    <t xml:space="preserve">710-101836-02 REV D</t>
  </si>
  <si>
    <t xml:space="preserve">AUTOFOCUS II POWER AMP</t>
  </si>
  <si>
    <t xml:space="preserve">106084</t>
  </si>
  <si>
    <t xml:space="preserve">710-101836-02 Rev G3</t>
  </si>
  <si>
    <t xml:space="preserve">AUTOFOCUS 2  PCB</t>
  </si>
  <si>
    <t xml:space="preserve">4289</t>
  </si>
  <si>
    <t xml:space="preserve">710-102570-02</t>
  </si>
  <si>
    <t xml:space="preserve">AUTOFOCUS PRE-AMPLIFIER</t>
  </si>
  <si>
    <t xml:space="preserve">106141</t>
  </si>
  <si>
    <t xml:space="preserve">710-102570-02 Rev 1</t>
  </si>
  <si>
    <t xml:space="preserve">Autofocus Pre-Amplifier PCB  PCB for KLA 2xx reticle inspection system</t>
  </si>
  <si>
    <t xml:space="preserve">84306</t>
  </si>
  <si>
    <t xml:space="preserve">710-655651-20</t>
  </si>
  <si>
    <t xml:space="preserve">Cornerturn 3 PC board REV C0</t>
  </si>
  <si>
    <t xml:space="preserve">removed from working tool</t>
  </si>
  <si>
    <t xml:space="preserve">84301</t>
  </si>
  <si>
    <t xml:space="preserve">710-658036-20</t>
  </si>
  <si>
    <t xml:space="preserve">Alignment Processor board REV C3</t>
  </si>
  <si>
    <t xml:space="preserve">84302</t>
  </si>
  <si>
    <t xml:space="preserve">710-658041-20</t>
  </si>
  <si>
    <t xml:space="preserve">Alignment PRocessor Phase 3 Board REV E0</t>
  </si>
  <si>
    <t xml:space="preserve">84303</t>
  </si>
  <si>
    <t xml:space="preserve">710-658046-20</t>
  </si>
  <si>
    <t xml:space="preserve">PRocessor Board REV E0</t>
  </si>
  <si>
    <t xml:space="preserve">84309</t>
  </si>
  <si>
    <t xml:space="preserve">710-658086-20</t>
  </si>
  <si>
    <t xml:space="preserve">PC Board, REV E0</t>
  </si>
  <si>
    <t xml:space="preserve">84305</t>
  </si>
  <si>
    <t xml:space="preserve">710-658172-20</t>
  </si>
  <si>
    <t xml:space="preserve">Y Interpolator C,PH3 Board REV J1</t>
  </si>
  <si>
    <t xml:space="preserve">84304</t>
  </si>
  <si>
    <t xml:space="preserve">710-658177-20</t>
  </si>
  <si>
    <t xml:space="preserve">Interpolator phase 3 Board REV F1</t>
  </si>
  <si>
    <t xml:space="preserve">removed from working tool
second board we have is same part number, listed as X Interpolator</t>
  </si>
  <si>
    <t xml:space="preserve">84308</t>
  </si>
  <si>
    <t xml:space="preserve">710-658232-20</t>
  </si>
  <si>
    <t xml:space="preserve">Memory Controller Phase 3 PC board REV H1</t>
  </si>
  <si>
    <t xml:space="preserve">84307</t>
  </si>
  <si>
    <t xml:space="preserve">710-659412-00</t>
  </si>
  <si>
    <t xml:space="preserve">Mass Memory PCB REV C0</t>
  </si>
  <si>
    <t xml:space="preserve">108989</t>
  </si>
  <si>
    <t xml:space="preserve">710-661729-00 CD0</t>
  </si>
  <si>
    <t xml:space="preserve">S.A.T. RANDOM DEFECT PROCESSOR PCB FOR KLA 21XX</t>
  </si>
  <si>
    <t xml:space="preserve">REMOVED FROM A WORKING TOOL.
LOCATED IN AVEZZANO 67051 ITALY
MODS ESS EUT
SEE PHOTOS FOR DETAILS</t>
  </si>
  <si>
    <t xml:space="preserve">83635</t>
  </si>
  <si>
    <t xml:space="preserve">712-023914-00 rev B</t>
  </si>
  <si>
    <t xml:space="preserve">CCD TV camera for KLA 2XX reticle inspection system</t>
  </si>
  <si>
    <t xml:space="preserve">Optical CCD-TV Camera for use with KLA-Tencor 2xx reticle inspection 
systems
TC7005 C
S N 103487
12 VDC
CONNECT TO CLASS 2
SUPPLY ONLY
BURLE SECURITY PRODUCTS
WEIGHT : 1 KG. ca
DIMENSION: 20CM. X 12 CM. X 7 CM. (H)</t>
  </si>
  <si>
    <t xml:space="preserve">53026</t>
  </si>
  <si>
    <t xml:space="preserve">715-023506-00</t>
  </si>
  <si>
    <t xml:space="preserve">Complete lead screw and stepping motor for KLA 2xx reticle inspection system</t>
  </si>
  <si>
    <t xml:space="preserve">Complete lead screw assembly (P/N 715-023506-00)
Compumotor p/n MT E2610-177EP</t>
  </si>
  <si>
    <t xml:space="preserve">27807</t>
  </si>
  <si>
    <t xml:space="preserve">720-05887-000</t>
  </si>
  <si>
    <t xml:space="preserve">MCP Detector Control Chassis </t>
  </si>
  <si>
    <t xml:space="preserve">Quantity 3 available SN:085-41S SN:075-41S SN:094-419</t>
  </si>
  <si>
    <t xml:space="preserve">106189</t>
  </si>
  <si>
    <t xml:space="preserve">740-401-320</t>
  </si>
  <si>
    <t xml:space="preserve">AIRLOCK ASSEMBLY PCB</t>
  </si>
  <si>
    <t xml:space="preserve">FROM KLA 5XXX OVERLAY MEASUREMENT SYSTEM.
OTHER PART NUMBER WRITTEN ON BOARD:
710-401320-001B
DEINSTALLED FROM WORKING CONDITION</t>
  </si>
  <si>
    <t xml:space="preserve">34115</t>
  </si>
  <si>
    <t xml:space="preserve">P-N 073-401-320  AIRLOCK</t>
  </si>
  <si>
    <t xml:space="preserve">84218</t>
  </si>
  <si>
    <t xml:space="preserve">740-100059-00 GWH</t>
  </si>
  <si>
    <t xml:space="preserve">Glass Wafer Holder, 250-150 mm P1, for KLA 2xx reticle inspection system</t>
  </si>
  <si>
    <t xml:space="preserve">KLA   ORH 740-100059-00
         ORH 250 -150mm PI
WEIGHT: 700 GR.
DIMENSION: 29 X 23,5 X 2 (H)
WEIGHT:950 GR.
DIMENSION: 29,5 X 22,5 X 2,5 (H)</t>
  </si>
  <si>
    <t xml:space="preserve">84216</t>
  </si>
  <si>
    <t xml:space="preserve">740-100360-00 ORH</t>
  </si>
  <si>
    <t xml:space="preserve">Mask Holder for 250 Mil x 6 inch masks for KLA 2xx reticle inspection system</t>
  </si>
  <si>
    <t xml:space="preserve">KLA   ORH 740-100360-00
         ORH 250 MIL 6.OX.250
WEIGHT: 600 GR.
DIMENSION: 28 X 24 X 2 (H)</t>
  </si>
  <si>
    <t xml:space="preserve">106146</t>
  </si>
  <si>
    <t xml:space="preserve">740-210171-00 ORH</t>
  </si>
  <si>
    <t xml:space="preserve">Reticle holder, for 5 inch 090 Masks, Left handed for KLA 2xx reticle inspection system</t>
  </si>
  <si>
    <t xml:space="preserve">84000</t>
  </si>
  <si>
    <t xml:space="preserve">750-653120-00C0</t>
  </si>
  <si>
    <t xml:space="preserve">Power Line Conditioner / Transformer for KLA 2122</t>
  </si>
  <si>
    <t xml:space="preserve">9KVA, 30 AMP 50/60Hz
208,240,380,416,480 V Input
Output: 208/120V with taps
Model: 2-2.5% FCAN; 4-2.5% FCBN
Good condition, removed from fab, sealed, and shipped to our warehouse.
Unsealed only to take photos.
</t>
  </si>
  <si>
    <t xml:space="preserve">106191</t>
  </si>
  <si>
    <t xml:space="preserve">900-01003-120</t>
  </si>
  <si>
    <t xml:space="preserve">Assy. Software System 8xxx V3.1.2</t>
  </si>
  <si>
    <t xml:space="preserve">Operation manual for KLA 8xxx CD SEM, for s/w version V3.1.2</t>
  </si>
  <si>
    <t xml:space="preserve">86304</t>
  </si>
  <si>
    <t xml:space="preserve">1007</t>
  </si>
  <si>
    <t xml:space="preserve">Chuck, prober, 6" gold chuck assembly</t>
  </si>
  <si>
    <t xml:space="preserve">Good working condition KLA 1007 Gold Chuck assembly
</t>
  </si>
  <si>
    <t xml:space="preserve">87642</t>
  </si>
  <si>
    <t xml:space="preserve">6400 6220 </t>
  </si>
  <si>
    <t xml:space="preserve">Set of New OEM Cables FOR SURFSCAN MODELS 6200 AND 6400</t>
  </si>
  <si>
    <t xml:space="preserve">New cables, from KLA, with KLA stickers
includes:
724-00216-01
553-000
11-112528
0063658-000
730-659291-001 arc lamp cable
0243275-002 cable smb6400/hdr,17w5,smb 3
55-0796b J5 upper stage interface
located in Texas warehouse</t>
  </si>
  <si>
    <t xml:space="preserve">34164</t>
  </si>
  <si>
    <t xml:space="preserve">7700</t>
  </si>
  <si>
    <t xml:space="preserve">Misc Bracket</t>
  </si>
  <si>
    <t xml:space="preserve">34135</t>
  </si>
  <si>
    <t xml:space="preserve">7700m</t>
  </si>
  <si>
    <t xml:space="preserve">174203 Rev D PCB Flat finder pwd Driver </t>
  </si>
  <si>
    <t xml:space="preserve">Excellent condition, located in our  Avezzano, Italy warehouse</t>
  </si>
  <si>
    <t xml:space="preserve">34132</t>
  </si>
  <si>
    <t xml:space="preserve">181137 Drive Assy PCB</t>
  </si>
  <si>
    <t xml:space="preserve">34143</t>
  </si>
  <si>
    <t xml:space="preserve">181830 Rev D, National Instruments AT-GPIB/TNT</t>
  </si>
  <si>
    <t xml:space="preserve">34154</t>
  </si>
  <si>
    <t xml:space="preserve">201989 Concave Mirror</t>
  </si>
  <si>
    <t xml:space="preserve">34123</t>
  </si>
  <si>
    <t xml:space="preserve">253537 Rev A PCB Microscope Dist</t>
  </si>
  <si>
    <t xml:space="preserve">34162</t>
  </si>
  <si>
    <t xml:space="preserve">Convex Glass Plate </t>
  </si>
  <si>
    <t xml:space="preserve">34160</t>
  </si>
  <si>
    <t xml:space="preserve">Detector Assy</t>
  </si>
  <si>
    <t xml:space="preserve">34144</t>
  </si>
  <si>
    <t xml:space="preserve">EMO Switch</t>
  </si>
  <si>
    <t xml:space="preserve">34139</t>
  </si>
  <si>
    <t xml:space="preserve">Front Panel PCB</t>
  </si>
  <si>
    <t xml:space="preserve">34145</t>
  </si>
  <si>
    <t xml:space="preserve">Leadscrew and Servo Motor CMC MT2115-014DF</t>
  </si>
  <si>
    <t xml:space="preserve">34147</t>
  </si>
  <si>
    <t xml:space="preserve">Mirror Assy with Fiber Optic</t>
  </si>
  <si>
    <t xml:space="preserve">34161</t>
  </si>
  <si>
    <t xml:space="preserve">Mouse &amp; PCB 240C</t>
  </si>
  <si>
    <t xml:space="preserve">34167</t>
  </si>
  <si>
    <t xml:space="preserve">Photomultiplier</t>
  </si>
  <si>
    <t xml:space="preserve">34131</t>
  </si>
  <si>
    <t xml:space="preserve">Pittmann Motor 94337528 Microscope driver</t>
  </si>
  <si>
    <t xml:space="preserve">34121</t>
  </si>
  <si>
    <t xml:space="preserve">robot Dist. PCB</t>
  </si>
  <si>
    <t xml:space="preserve">Pulled From working tool, located in Ireland warehouse in excellent 
condition
sold as-is.</t>
  </si>
  <si>
    <t xml:space="preserve">34163</t>
  </si>
  <si>
    <t xml:space="preserve">two cables 7 brackets</t>
  </si>
  <si>
    <t xml:space="preserve">34119</t>
  </si>
  <si>
    <t xml:space="preserve">7700M (SPARES)</t>
  </si>
  <si>
    <t xml:space="preserve">Lens PCB 042763</t>
  </si>
  <si>
    <t xml:space="preserve">31618</t>
  </si>
  <si>
    <t xml:space="preserve">8100</t>
  </si>
  <si>
    <t xml:space="preserve">Block, Pivot ,Keybd  P/N 740-03389-000</t>
  </si>
  <si>
    <t xml:space="preserve">31631</t>
  </si>
  <si>
    <t xml:space="preserve">Bracket P/N 740-05415-000 Rev A</t>
  </si>
  <si>
    <t xml:space="preserve">31626</t>
  </si>
  <si>
    <t xml:space="preserve">Bracket P/N 740-07893-000</t>
  </si>
  <si>
    <t xml:space="preserve">31632</t>
  </si>
  <si>
    <t xml:space="preserve">Festo PU-3 Duo air Pipe</t>
  </si>
  <si>
    <t xml:space="preserve">31629</t>
  </si>
  <si>
    <t xml:space="preserve">Flex Pipe</t>
  </si>
  <si>
    <t xml:space="preserve">1" Dia by 20" Long</t>
  </si>
  <si>
    <t xml:space="preserve">31625</t>
  </si>
  <si>
    <t xml:space="preserve">Ground Strap P/N 810-04308-004</t>
  </si>
  <si>
    <t xml:space="preserve">31624</t>
  </si>
  <si>
    <t xml:space="preserve">Ground Strap P/N 810-04308-005</t>
  </si>
  <si>
    <t xml:space="preserve">12</t>
  </si>
  <si>
    <t xml:space="preserve">31620</t>
  </si>
  <si>
    <t xml:space="preserve">Interface cable set P/N 810-09072-002 REV A</t>
  </si>
  <si>
    <t xml:space="preserve">Inteface cable set for Robot, Ionpump, Vac Gauge ,stage etc Quantity 2 sets 
available</t>
  </si>
  <si>
    <t xml:space="preserve">31621</t>
  </si>
  <si>
    <t xml:space="preserve">MCA Module P/N 720-02847-000</t>
  </si>
  <si>
    <t xml:space="preserve">31622</t>
  </si>
  <si>
    <t xml:space="preserve">P/N 740-05635-000 REV A</t>
  </si>
  <si>
    <t xml:space="preserve">31627</t>
  </si>
  <si>
    <t xml:space="preserve">P/N 740-05728-000</t>
  </si>
  <si>
    <t xml:space="preserve">Bracket Lid Lift upper</t>
  </si>
  <si>
    <t xml:space="preserve">31628</t>
  </si>
  <si>
    <t xml:space="preserve">P/N 740-07892-000 Rev A</t>
  </si>
  <si>
    <t xml:space="preserve">31630</t>
  </si>
  <si>
    <t xml:space="preserve">PCB  830-10172-000 Rev 3</t>
  </si>
  <si>
    <t xml:space="preserve">31614</t>
  </si>
  <si>
    <t xml:space="preserve">PICOAMP 11  P/N 720-02964-000</t>
  </si>
  <si>
    <t xml:space="preserve">Rigg Engineering Group SN 189-20S REV B SN 185-20S REV B</t>
  </si>
  <si>
    <t xml:space="preserve">31633</t>
  </si>
  <si>
    <t xml:space="preserve">Plastic Disc </t>
  </si>
  <si>
    <t xml:space="preserve">61/2" DIA</t>
  </si>
  <si>
    <t xml:space="preserve">31616</t>
  </si>
  <si>
    <t xml:space="preserve">Plate Wafer P/N 731-08507-004</t>
  </si>
  <si>
    <t xml:space="preserve">31623</t>
  </si>
  <si>
    <t xml:space="preserve">T Piece P/N 471-07945-000</t>
  </si>
  <si>
    <t xml:space="preserve">31615</t>
  </si>
  <si>
    <t xml:space="preserve">8100 (Spares)</t>
  </si>
  <si>
    <t xml:space="preserve">wafer tabel for CD SEM P/N 731-09404-047 Rev 2</t>
  </si>
  <si>
    <t xml:space="preserve">wafer table for kla 8100 series CD SEM
DIAMETER 15 CM.
 KG. 0,3</t>
  </si>
  <si>
    <t xml:space="preserve">109075</t>
  </si>
  <si>
    <t xml:space="preserve">AIT FUSION UV (SPARES)</t>
  </si>
  <si>
    <t xml:space="preserve">Hard Disk Drive with software for KLA AIT Fusion UV</t>
  </si>
  <si>
    <t xml:space="preserve">Disk Model: Seagate ST336706LC
Serial number: 3FD1FP2A
Type: SCSI hard disk
KLA part number labels:-
0064319-000 AA
W000182049</t>
  </si>
  <si>
    <t xml:space="preserve">34118</t>
  </si>
  <si>
    <t xml:space="preserve">Ceramic table</t>
  </si>
  <si>
    <t xml:space="preserve">8" Ceramic Table &amp; Misc Parts</t>
  </si>
  <si>
    <t xml:space="preserve">27804</t>
  </si>
  <si>
    <t xml:space="preserve">Defect Highlighting PC</t>
  </si>
  <si>
    <t xml:space="preserve">Defect Highlighting PC for KLA 2xx reticle inspection system</t>
  </si>
  <si>
    <t xml:space="preserve">1.2 MB Floppy Disk Drive AST VGA Plus-4 MB Ram Voltage:115
486-33E Model 5V
In working condition.
The defect highlighting PC was an upgrade which was applied to KLA 2xx 
reticle inspection systems. It can be applied to any e-series tools, by 
adding in this PC, and the defect highlighting board which goes into the 
card cage.</t>
  </si>
  <si>
    <t xml:space="preserve">4290</t>
  </si>
  <si>
    <t xml:space="preserve">VLSI 845</t>
  </si>
  <si>
    <t xml:space="preserve">DUPONT VERIMASK for KLA 2xx reticle inspection system</t>
  </si>
  <si>
    <t xml:space="preserve">MASTER, USED, SOME DEFECTS , NOT PELLICALIZED, NO WORKSHEET
This test reticle has programmed defects, and is used for testing the 
sensitivity of KLA 210e series , 239 and 259 mask inspection systems.
This mask is not pellicalized, and it has been stored outside of a 
cleanroom. Hence, it will need to be cleaned before use in order to reduce 
the number of defects.</t>
  </si>
  <si>
    <t xml:space="preserve">86672</t>
  </si>
  <si>
    <t xml:space="preserve">KLA  Tencor</t>
  </si>
  <si>
    <t xml:space="preserve">710-661729-00</t>
  </si>
  <si>
    <t xml:space="preserve">PC Board, KLA 21XX</t>
  </si>
  <si>
    <t xml:space="preserve">95117</t>
  </si>
  <si>
    <t xml:space="preserve">KLA - Tencor</t>
  </si>
  <si>
    <t xml:space="preserve">259</t>
  </si>
  <si>
    <t xml:space="preserve">Image Digitizer Assembly</t>
  </si>
  <si>
    <t xml:space="preserve">Quantity 2. 
This image digitizer assembly has one left side and 1 right side 
assembly.The KLA 259 has a pixel size of 0.25. Please refer to the attached 
photos for details.
Right-hand image digitizer assembly, consisting of:-
S/N 107
Sensor Support PCB 710-029898-00 REV XE
Channel Digitizer PCB 710-29903-00 Rev XG Opt 1
Channel Digitizer PCB 710-29903-00 Rev XH
Channel Digitizer PCB 710-29903-00 Rev XG
Channel Digitizer PCB 710-29903-00 Rev XH
Mechanical mounting Assembly, consisting of:-
655-022207-00 Rev E
655-022208-00 Rev B1
655-022209-00 Rev B
655-022211-00 Rev B1
Left-hand image digitizer assembly, consisting of:-
S/N 148
Sensor Support PCB 710-029898-00 REV XE
Channel Digitizer PCB 710-29903-00 Rev XH
Channel Digitizer PCB 710-29903-00 Rev XH
Channel Digitizer PCB 710-29903-00 Rev XH
Channel Digitizer PCB 710-29903-00 Rev XH
Mechanical mounting Assembly, consisting of:-
655-022207-00 Rev E
655-022208-00 Rev B1
655-022209-00 Rev B
655-022211-00 Rev B1
WEIGHT 4.5 KG DIMS 30 CM X 40 CM X 34 CM (H)</t>
  </si>
  <si>
    <t xml:space="preserve">34117</t>
  </si>
  <si>
    <t xml:space="preserve">KLA -TENCOR</t>
  </si>
  <si>
    <t xml:space="preserve">CASSETTE PLATE + PCB  8"</t>
  </si>
  <si>
    <t xml:space="preserve">SBC
CASSETTE PLATE + PCB  8
</t>
  </si>
  <si>
    <t xml:space="preserve">34137</t>
  </si>
  <si>
    <t xml:space="preserve">KLA -Tencor</t>
  </si>
  <si>
    <t xml:space="preserve">p/n 199958 Rev F PCB PSF Driver SFS75 </t>
  </si>
  <si>
    <t xml:space="preserve">Tencor p/n 199958 Rev F
PCB PSF Driver SFS75 </t>
  </si>
  <si>
    <t xml:space="preserve">83562</t>
  </si>
  <si>
    <t xml:space="preserve">7700M (Spares)</t>
  </si>
  <si>
    <t xml:space="preserve">CONCAVE MIRROR 201969 - Optical part from KLA 7700M Surfscan</t>
  </si>
  <si>
    <t xml:space="preserve">34126</t>
  </si>
  <si>
    <t xml:space="preserve">7700m (Spares)</t>
  </si>
  <si>
    <t xml:space="preserve">Mirror Curved</t>
  </si>
  <si>
    <t xml:space="preserve">83624</t>
  </si>
  <si>
    <t xml:space="preserve">load lock assembly for CD-SEM</t>
  </si>
  <si>
    <t xml:space="preserve">Parts included in this sub-assembly:-
Granville-Philips vacuum gauge p/n 275071
HIGHT VAKUUM VALVE
P/N L9180-301
M/N NW 16-H/0
15 MICRON
XLA-16
PRESS 10 Pa ATM
TEMP 60 C
SWAGELOK 104588
SS-BNS4-C
WEIGHT: 10 KG.
DIMENSION: 45 CM. X 40 CM. X 25 CM.(H)
</t>
  </si>
  <si>
    <t xml:space="preserve">83572</t>
  </si>
  <si>
    <t xml:space="preserve">KLA TENCOR</t>
  </si>
  <si>
    <t xml:space="preserve">MCP DETECTOR CONTROL CHASSIS</t>
  </si>
  <si>
    <t xml:space="preserve">MCP DETECTOR CONTROL CHASSIS
150 WATTS
WEIGHT 13 KG.
DIMENSIONS:43CM X 41CM X 14CM (H)
</t>
  </si>
  <si>
    <t xml:space="preserve">83574</t>
  </si>
  <si>
    <t xml:space="preserve">150 WATTS</t>
  </si>
  <si>
    <t xml:space="preserve">MCP DETECTOR CONTROL CHASSIS
150 WATTS
TEST BAD CABLE
WEIGHT 13 KG.
DIMENSIONS:43CM X 41CM X 14CM (H)
</t>
  </si>
  <si>
    <t xml:space="preserve">83581</t>
  </si>
  <si>
    <t xml:space="preserve">720-05888-000</t>
  </si>
  <si>
    <t xml:space="preserve">TFE GUN CONTROLLER CHASSIS</t>
  </si>
  <si>
    <t xml:space="preserve">230 WATTS</t>
  </si>
  <si>
    <t xml:space="preserve">TFE GUN CONTROLLER CHASSIS
230 WATTS
WEIGHT 14 KG.
DIMENSIONS:50CM X 41CM X 14CM (H)
</t>
  </si>
  <si>
    <t xml:space="preserve">27808</t>
  </si>
  <si>
    <t xml:space="preserve">720-07335-000</t>
  </si>
  <si>
    <t xml:space="preserve">ADVANTECH COMPUTER ICP-6751 FOR KLA 81XX CD SEM</t>
  </si>
  <si>
    <t xml:space="preserve">ADVANTECH COMPUTER ICP-6751
FOR KLA 8100 CD SEM</t>
  </si>
  <si>
    <t xml:space="preserve">83555</t>
  </si>
  <si>
    <t xml:space="preserve">720-05721000</t>
  </si>
  <si>
    <t xml:space="preserve">CONTROL CHASSIS FOR KLA 8100 Column Control Chassis</t>
  </si>
  <si>
    <t xml:space="preserve">We have qty 2 of these like new KLA 8100 colmn control chassis, removed in 
working condition from systems. Priced to sell at market price, however no 
reasonable offers refused.These were selling from the OEM for $35K each a 
few years ago.
Like new, will ship via the carrier of your choice from our Avezzano, Italy 
warehouse. Thanks for looking and happy bidding!
Manufacturer: KLA
Model: 720-05721000
Type: Column Control Chassis for KLA 8100
Condition: good
Sale condition: as is where is
Comments: Quantity 2 Available</t>
  </si>
  <si>
    <t xml:space="preserve">83900</t>
  </si>
  <si>
    <t xml:space="preserve">Mechanical part</t>
  </si>
  <si>
    <t xml:space="preserve">WEIGHT: GR.100
DIMENSION:10 CM. X 7,5 CM. X 1 CM.(H)</t>
  </si>
  <si>
    <t xml:space="preserve">83577</t>
  </si>
  <si>
    <t xml:space="preserve">7700 M</t>
  </si>
  <si>
    <t xml:space="preserve">MODEL 2214-30SLOTT</t>
  </si>
  <si>
    <t xml:space="preserve">D1,D2,D3</t>
  </si>
  <si>
    <t xml:space="preserve">MODEL 2214-30SLOTT
PAT NO.4.625.317
UNIPHASE
163 BAYPOINTE PKWY
SAN JOSE-CA 951134
WEIGHT 7 KG.
DIMENSION: CM 46 X 31 CM X 18 CM. (H)
</t>
  </si>
  <si>
    <t xml:space="preserve">34140</t>
  </si>
  <si>
    <t xml:space="preserve">7700M</t>
  </si>
  <si>
    <t xml:space="preserve">COMPUTER HARD DISK</t>
  </si>
  <si>
    <t xml:space="preserve">FORMATTED DOC 6.22 AS FOLLOWS:
CYL HD PRE  LZ  SEC  SIZE
1024  16  -1  1024  63  504MB
WEIGHT: GR700
DIMENSION:28 CM. X 17 CM. X 4 CM.(H)</t>
  </si>
  <si>
    <t xml:space="preserve">83899</t>
  </si>
  <si>
    <t xml:space="preserve">Lens assembly</t>
  </si>
  <si>
    <t xml:space="preserve">WEIGHT: KG.1,5
DIMENSION:22,5 CM. X 3 CM. X 15,5 CM.(H)
</t>
  </si>
  <si>
    <t xml:space="preserve">83898</t>
  </si>
  <si>
    <t xml:space="preserve">Optical sub-assembly</t>
  </si>
  <si>
    <t xml:space="preserve">see photos for details.
WEIGHT: GR.200
DIMENSION:11 CM. X 12 CM. X 4,4 CM.(H)</t>
  </si>
  <si>
    <t xml:space="preserve">83895</t>
  </si>
  <si>
    <t xml:space="preserve">PIN DIODE PRE AMP PCB</t>
  </si>
  <si>
    <t xml:space="preserve">PIN DIODE PRE AMP
KLA 7700
REV. C
WEIGHT: GR.150
DIMENSION:12 CM. X 5,5 CM. X 3,5 CM.(H)</t>
  </si>
  <si>
    <t xml:space="preserve">31612</t>
  </si>
  <si>
    <t xml:space="preserve">PART 740 05584 000 C   CONNECTOR INTERFACE</t>
  </si>
  <si>
    <t xml:space="preserve">CONNECTOR INTERFACE</t>
  </si>
  <si>
    <t xml:space="preserve">21670</t>
  </si>
  <si>
    <t xml:space="preserve">KLA Tencor</t>
  </si>
  <si>
    <t xml:space="preserve">213780 REV C</t>
  </si>
  <si>
    <t xml:space="preserve">PCB PFE 4K MASK ASSY SFS 7500</t>
  </si>
  <si>
    <t xml:space="preserve">PCB PFE 4K MASK ASSY SFS 7500 30 day return warranty</t>
  </si>
  <si>
    <t xml:space="preserve">21671</t>
  </si>
  <si>
    <t xml:space="preserve">244143 REV B</t>
  </si>
  <si>
    <t xml:space="preserve">PCB ADC PFE I/F 576 ASSY</t>
  </si>
  <si>
    <t xml:space="preserve">PCB ADC PFE I/F 576 ASSY FOR SURFSCAN 7700 SERIES 30 day return warranty</t>
  </si>
  <si>
    <t xml:space="preserve">83614</t>
  </si>
  <si>
    <t xml:space="preserve">HA-200</t>
  </si>
  <si>
    <t xml:space="preserve">RADIATION POWER SYSTEMS INC. Mercury Lamp psu FOR KLA 2XX reticle inspection systems</t>
  </si>
  <si>
    <t xml:space="preserve">Power supply for mercury arc light source of KLA-Tencor 2xx reticle 
inspection system
-Used
-In working condition
KLA HA-200
TOTAL HOURS: 84467
WEIGHT: 16 KG.
DIMENSION: 40 CM. X 32 CM. X 16 CM.(H)</t>
  </si>
  <si>
    <t xml:space="preserve">32233</t>
  </si>
  <si>
    <t xml:space="preserve">SFS6x00 MECHANICAL CALIBRATION Document number 200</t>
  </si>
  <si>
    <t xml:space="preserve">WAFER SURFACE ANALYSIS SYSTEM MAINTENANCE REFERENCE</t>
  </si>
  <si>
    <t xml:space="preserve">File Name:Mechanical doc 200.dot Revision date:05/11/98 PRODUCT SERVICES 
TECHNICAL SUPPORT Revision Lavel:C Page 1 of 93</t>
  </si>
  <si>
    <t xml:space="preserve">32230</t>
  </si>
  <si>
    <t xml:space="preserve">SFS6400 MECHANICAL CALIBRATION Document Number 238</t>
  </si>
  <si>
    <t xml:space="preserve">WAFERSURFACE ANALYSIS SYSTEM CUSTOMER MAINTENANCE REFERENCE</t>
  </si>
  <si>
    <t xml:space="preserve">File Name:MECHCUS.DOC Revision Date:06/01/95 PRODUCT SERVICES TECHNICAL 
SUPPORT Revision Level:A Page 1 of 44 ON CLEANROOM PAPER</t>
  </si>
  <si>
    <t xml:space="preserve">32231</t>
  </si>
  <si>
    <t xml:space="preserve">Surfscan 64X0 Calibration Procedure</t>
  </si>
  <si>
    <t xml:space="preserve">STANDARD OPERATING PROCEEDURE #537268 Revision Date:1/9/02 Revision:E Page 
1of 79 On cleanroom paper</t>
  </si>
  <si>
    <t xml:space="preserve">32232</t>
  </si>
  <si>
    <t xml:space="preserve">surfscan 64XX optical alignments Document Number 236</t>
  </si>
  <si>
    <t xml:space="preserve">File Name:64x0 Optics-doc236 Revision Date:1/10/2002 PRODUCT SERVICES 
TECHNICAL SUPPORT Revision Level:B Page 1 of 47 On cleanroom paper</t>
  </si>
  <si>
    <t xml:space="preserve">27801</t>
  </si>
  <si>
    <t xml:space="preserve">KLA- TENCOR</t>
  </si>
  <si>
    <t xml:space="preserve">720-05721-000</t>
  </si>
  <si>
    <t xml:space="preserve">Column Control Chasis for KLA 8100 cd sem</t>
  </si>
  <si>
    <t xml:space="preserve">Quantity 3 Available</t>
  </si>
  <si>
    <t xml:space="preserve">83645</t>
  </si>
  <si>
    <t xml:space="preserve">KLA-Tencor</t>
  </si>
  <si>
    <t xml:space="preserve">2xx (SPARES)</t>
  </si>
  <si>
    <t xml:space="preserve">Control Paddles for KLA 2xx reticle inspection system</t>
  </si>
  <si>
    <t xml:space="preserve">Left and right control paddle assemblies for KLA -Tencor 2xx reticle 
inspection systems</t>
  </si>
  <si>
    <t xml:space="preserve">83902</t>
  </si>
  <si>
    <t xml:space="preserve">5xxx Spare Part</t>
  </si>
  <si>
    <t xml:space="preserve">Lambda Electronics LFS-47-48 REGULATED POWER SUPPLY</t>
  </si>
  <si>
    <t xml:space="preserve">Regulated power supply for kla 5XXX OVERLAY SYSTEM. Used part, removed from 
a working system.
INPUT 95-132 VAC
47-63 HZ
(USE O AND 110 TERMINALS)
OR 187-250 VAC OR 260-350 VDC
(USE O AND 220 TERMINALS)
MAX 1071 W
PWR FACTOR 0.6
OUTPUT: 48-5% VDC
MAX RATINGS 17.0A@ 40°C
                       16.0A@ 50°C
                       14.5A@ 60°C
WEIGHT: KG.4
DIMENSION:30 CM. X 13 CM. X 13 CM.(H)
</t>
  </si>
  <si>
    <t xml:space="preserve">103206</t>
  </si>
  <si>
    <t xml:space="preserve">LH Research Mighty Mite 500w Power Supply for KLA 5xxx Overlay Measurement System</t>
  </si>
  <si>
    <t xml:space="preserve">USED PART, REMOVED FROM A WORKING SYSTEM
LH p/n 851391-101</t>
  </si>
  <si>
    <t xml:space="preserve">18598</t>
  </si>
  <si>
    <t xml:space="preserve">KLA-TENCOR</t>
  </si>
  <si>
    <t xml:space="preserve">5xxx Spare Parts</t>
  </si>
  <si>
    <t xml:space="preserve">Set of Spare Parts from a KLA 5015</t>
  </si>
  <si>
    <t xml:space="preserve">From serial number 203. Spare parts consisting of: -set of electronics 
boards -ORIEL illuminator -Optical parts -Lamp housing Barrier bagged, 
warehoused at warehouse of SDI, Avezzano, Italy</t>
  </si>
  <si>
    <t xml:space="preserve">18612</t>
  </si>
  <si>
    <t xml:space="preserve">073-401-320 for a kla 5xxx</t>
  </si>
  <si>
    <t xml:space="preserve">AIRLOK PCB for a KLA 5xxx system</t>
  </si>
  <si>
    <t xml:space="preserve">PCB 5xxx Spare Part. Used Part, removed from a system in working condition.</t>
  </si>
  <si>
    <t xml:space="preserve">18632</t>
  </si>
  <si>
    <t xml:space="preserve">27790</t>
  </si>
  <si>
    <t xml:space="preserve">259 (Spare parts)</t>
  </si>
  <si>
    <t xml:space="preserve">PCBs for reticle inspection system</t>
  </si>
  <si>
    <t xml:space="preserve">2) PCB Buffer- 710-037731-0 rev A2, wo 81023 4) PCB Auto Focus PCB 
710-101836 Rev:02 G3, wo 79399 5) PCB Universal Video Mux- 710-013838-00 
Rev L 6) PCB P3- Align Error Detect-710-023596-00 Rev C2 , wo 80279- Qty 3 
7) PCB Image Memory: 710-028014-01 rev E , wo AB0177 8) PCB Pre 
Amp-710-102570-02, Rev 1, Qty 2 9) PCB Alignment Processor-710-039524-00, 
Rev A, wo 80290 10) PCB Corrector/ Formatter-710-029946-00, Rev:XE, Qty 2 
11) PCB reveiver-710-037699-00, rev F, 12) PCB Processor 1- 710-029924-00 , 
Rev F, wo 80633 13) PCB Processor I/O - 710-037889-00, wo 80183 14) PCB 
Sensor Support Assembly- 710-029898, Rev:XE, Qty 2 15) PCB P3 Scan delay 
FIR-710-029898, Rev:B1, wo 78386 16) PCB Defect Concatenator- 710-036420, 
rev XB, wo 81435 17) PCB Image Memory-710-028001-00, Rev:A1, wo 79738 18) 
PCB Graphic Display Controller- 710 -022410, Rev:A5, wo 80278 19) PCB 
Corrector/Formattor Control-710-029978-00, Rev:XE 20) PCB Processor 
1-710-6029924, rev:F, wo 85775 21) PCB Processor 11 (RF)-710-029927-00. 
rev:E, wo 80490, QTy 2 23) PCB P3 Data Input- 710-023258-00, Rev C2, wo 
80378 24) PCB Display system trap board-710-023602-00, Rev:B 25) PCB Defect 
Highlighting Control 3- 710-036106-00, Rev:D, wo 86397 26) PCB Image 
Memory-710-028001-00, Rev:A, wo 79738 27) PCB Universal Phase Lock 
loop-710-029767-00, Rev D, wo 85442 28) PCB Image memory 
address-710-028014-00, Rev:83, wo 80053 29) PCB Graphic display controller 
1-710-022400-01, rev D5, wo 80605 30) PCB GC16 Data -710-023450, Rev XC, wo 
78189 31) PCB Burst mode master clock-710-037889, wo 79378 32) PCB G16 
Threshold 2x2-710-040042, Rev:XB, wo 81750 33) PCB Alignment 
processor-710-039524-01, rev C, WO 80291 34) PCB Parameter 2-710-036380-00, 
rev:C, wo 80186 35) PCB 4/16 Level Dump-710023279-00, Rev:M2, wo 80174 36) 
PCB Image memory-710-028001-00, wo 79738 37) PCB -710-037218-00, rev :C, wo 
87646 38) PCB Servo Drive #4 11-710-028287-01, Rev:G1, wo 84219 39) PCB 
GC16 Data- 710-029694-00, Rev:XC, wo 82867 40) PCB Computer Interface 
111-710-023599-00, Rev B1 41) PCB Servo Drive #3 IV-710-39924, Rev A1 42) 
PCB Servo Drive #2 111-710-029421-00, Rev C2, wo 8062w 42) PCB Servo Drive 
#1 111-710-023589-00, Rev:82 43) PCB 31/2 Inch Diskette Controller, wo 
88117 44) PCB 710-023273-00, Rev C 45) PCB GC16 Compare-710-023455-00, 
Rev:XF2, wo80614</t>
  </si>
  <si>
    <t xml:space="preserve">1691</t>
  </si>
  <si>
    <t xml:space="preserve">259 (spare parts)</t>
  </si>
  <si>
    <t xml:space="preserve">Reticle Inspection - SPARE PARTS</t>
  </si>
  <si>
    <t xml:space="preserve">up to 7 inch</t>
  </si>
  <si>
    <t xml:space="preserve">SPARE PARTS FOR KLA 259 AVAILABLE INCLUDING:- IAS (Image Acquisition 
System), which is a PC based system that allows electronic highlighting of 
the defects captured on a second monitor installed in the unit. Interface 
board of PC is Accurlogic Floppy Drive SIDE3 controller Autofocus laser 
model Uniphase 1103P-0187 dated Jan 1995 Encoders 2500 LPI Mask Holder 
740-100360-00 250 mil 6.0 X 0.250 GW Holder 740-100059-00 250 150mm P1 Mask 
Holder 740-210171-00 250 mil 5.0 X 0.090 Mask Holder 740-210171-00C 250 mil 
5.0 X 0.090 LT Verimask 845 dated 26-sep-91 Dupont master s/n 1063 Slot 1 
710-022400-01 GDC 1 Slot 2 710-022410-01 AR GDC 2 Slot 3 710-023602-00 B 
display system trap, RF Slot 4 710-023256-00 C2 p3 data input Slot 5 
710-023141-00 assy, formatter p3 Slot 8 710-023236-00 B1 scan delay fir 
Slot 10 710-028001-00 A1 IMA Slot 11 710-028014-01 E ADBA Slot 12 
710-028001-00 A1 IM Slot 13 710-023596-00 C2 AED P3 RF Slot 14 
710-023596-00 C2 AED P3 RF Slot 15 710-023596-00 C2 AED P3 RF Slot 16 
710-035524-00 A AP 1 210 series Slot 17 710-039524-01 C AP 2 210 series 
Slot 18 710-028001-00 A1 IM Slot 19 710-028014-00 B3 IMA Slot 20 
710-028001-00 A1 IM Slot 21 710-037887-01 B BMMC M2A with RIA signal mod. 
Slot 23 710-029767-00 D UPLL RF Slot 24 710-036420-00 XB Def. Con . 4-IAS 
compatible-newest version Slot 25 710-036380-00 C IAS parameter 2 Slot 26 
710-023279-00 H2 4/16 level dump Slot 30 710-040042-00 XB e-series 
detector, threshold 2x2 259 M2A Slot 31 710-023455-00 XC e-series detector, 
compare, 21xe Slot 32 710-029694-00 XF e-series detector,data 259 ROQ Slot 
33 710-023455-00 XC e-series detector, compare, 21xe Slot 35 710-023589-00 
B2 servo 1 III Slot 36 710-029421-00 C2 servo 2 III Slot 37 710-039924-00 
A1 servo 3 IV Slot 38 710-028287-01 G1 servo 4 II Slot 39 710-023599-01 B1 
Computer IF (RF) Slot 42 710-037718-00 C SBC 3.5 inch floppy Slot 43 
710-023273-00 C 512 K ram, 210 series Slot 44 710-037717-00 A FDD 
controller, 3.5 inch 710-029924-00 F Preprocessor 1 (RF) 710-029927-00 E 
Preprocessor 2 (RF) 710-037889-00 PP IO 710-036106-00 D IAS control 3- 
e-series only 710-029978-00 XE CF Control M2A only 710-029946-00 XE CF M2A 
only 710-029903-00 RH channel digitizer M2A 710-037699-00 XA1 gain/offset 
testpoint board</t>
  </si>
  <si>
    <t xml:space="preserve">83901</t>
  </si>
  <si>
    <t xml:space="preserve">655-03737-00 Rev XA</t>
  </si>
  <si>
    <t xml:space="preserve">Mechanical part for a KLA 7700 M (Surfscan)</t>
  </si>
  <si>
    <t xml:space="preserve">6550373700 REV XA
WEIGHT: GR.150
DIMENSION:5 CM. X 1 CM. X 5 CM.(H)</t>
  </si>
  <si>
    <t xml:space="preserve">4959</t>
  </si>
  <si>
    <t xml:space="preserve">655-650504-00</t>
  </si>
  <si>
    <t xml:space="preserve">8 INCH CHUCK ASSY FOR KLA 2132</t>
  </si>
  <si>
    <t xml:space="preserve">KLA OEM spare part</t>
  </si>
  <si>
    <t xml:space="preserve">84092</t>
  </si>
  <si>
    <t xml:space="preserve">655-6500504-00</t>
  </si>
  <si>
    <t xml:space="preserve">CERAMIC CHUCK 200 MM(8*),2132</t>
  </si>
  <si>
    <t xml:space="preserve">WEIGHT: 500 GR.
DIAMETER: 19 CM. 1,1 CM (H)
WILL SHIP TO YOU FROM OUR WAREHOUSE IN AVEZZANO 67051 ITALY</t>
  </si>
  <si>
    <t xml:space="preserve">84093</t>
  </si>
  <si>
    <t xml:space="preserve">665-037138-00</t>
  </si>
  <si>
    <t xml:space="preserve">MICROSCOPE MASK FOR KLA 2XX RETICLE INSPECTION SYSTEM</t>
  </si>
  <si>
    <t xml:space="preserve">665 037138 00 XD
WEIGHT: 500 GR.
DIMENSION: 25 X 25 X 27 (H)</t>
  </si>
  <si>
    <t xml:space="preserve">74643</t>
  </si>
  <si>
    <t xml:space="preserve">710-013838-00 Rev L</t>
  </si>
  <si>
    <t xml:space="preserve">PCB Universal Video Mux for KLA 2xx reticle inspection systems</t>
  </si>
  <si>
    <t xml:space="preserve">For KLA 259 reticle inspection system.</t>
  </si>
  <si>
    <t xml:space="preserve">76358</t>
  </si>
  <si>
    <t xml:space="preserve">710-039524-01, rev C</t>
  </si>
  <si>
    <t xml:space="preserve">Alignment Processor 2 , 210e series PCB</t>
  </si>
  <si>
    <t xml:space="preserve">PCB from KLA 259 reticle inspection system</t>
  </si>
  <si>
    <t xml:space="preserve">18609</t>
  </si>
  <si>
    <t xml:space="preserve">710-400412-00 Rev K</t>
  </si>
  <si>
    <t xml:space="preserve">PCB for a KLA 5xxx system</t>
  </si>
  <si>
    <t xml:space="preserve">sp</t>
  </si>
  <si>
    <t xml:space="preserve">18604</t>
  </si>
  <si>
    <t xml:space="preserve">710-401249-00 REV E for kla 5xxx</t>
  </si>
  <si>
    <t xml:space="preserve">Driver Board  for KLA 5xxx</t>
  </si>
  <si>
    <t xml:space="preserve">18600</t>
  </si>
  <si>
    <t xml:space="preserve">710-401249-01 Rev F</t>
  </si>
  <si>
    <t xml:space="preserve">PCB  for KLA 5xxx</t>
  </si>
  <si>
    <t xml:space="preserve">18599</t>
  </si>
  <si>
    <t xml:space="preserve">DRIVER BOARD for KLA 5xxx</t>
  </si>
  <si>
    <t xml:space="preserve">18603</t>
  </si>
  <si>
    <t xml:space="preserve">710-401536-00 FOR kla 5XXX</t>
  </si>
  <si>
    <t xml:space="preserve">ASSY NO 401536 00 ENCODER INTERFACE</t>
  </si>
  <si>
    <t xml:space="preserve">18605</t>
  </si>
  <si>
    <t xml:space="preserve">710-404146-00 REV A for KLA 5XXX</t>
  </si>
  <si>
    <t xml:space="preserve">ASSY BOARD FOR KLA 5XXX</t>
  </si>
  <si>
    <t xml:space="preserve">18608</t>
  </si>
  <si>
    <t xml:space="preserve">712-404056-00 Rev B for a KLA 5xxx</t>
  </si>
  <si>
    <t xml:space="preserve">ASSY BOARD for a KLA 5xxx overlay system</t>
  </si>
  <si>
    <t xml:space="preserve">Rev. B</t>
  </si>
  <si>
    <t xml:space="preserve">18610</t>
  </si>
  <si>
    <t xml:space="preserve">83929</t>
  </si>
  <si>
    <t xml:space="preserve">720-02847-000</t>
  </si>
  <si>
    <t xml:space="preserve">MCA Module for KLA 81xx CD SEM</t>
  </si>
  <si>
    <t xml:space="preserve">P/N 720-02847-000
REV:D
WEIGHT: GR.300
DIMENSION: 12 CM. X 14 CM. X 4 CM. (H)</t>
  </si>
  <si>
    <t xml:space="preserve">83930</t>
  </si>
  <si>
    <t xml:space="preserve">720-02964-000B</t>
  </si>
  <si>
    <t xml:space="preserve">PICOAMP II for KLA 81xx CD SEM</t>
  </si>
  <si>
    <t xml:space="preserve">P/N:720-02964-000
REV:B
WEIGHT: GR.250
DIMENSION: 13 CM. X 10 CM. X 4 CM. (H) FOR EACH</t>
  </si>
  <si>
    <t xml:space="preserve">18607</t>
  </si>
  <si>
    <t xml:space="preserve">730-400083-00 REV G for a KLA 5xxx</t>
  </si>
  <si>
    <t xml:space="preserve">PZT CONTROLLER for a KLA 5xxx system</t>
  </si>
  <si>
    <t xml:space="preserve">84217</t>
  </si>
  <si>
    <t xml:space="preserve">740-210171-00</t>
  </si>
  <si>
    <t xml:space="preserve">Mask Holder for 5 inch x 0.090 thickness masks, with compensation glass, KLA 2XX</t>
  </si>
  <si>
    <t xml:space="preserve">KLA   ORH 740-210171-00
         ORH 250 -5.0 x.090
WEIGHT: 700 GR.
DIMENSION: 29 X 23,5 X 2 (H)</t>
  </si>
  <si>
    <t xml:space="preserve">84219</t>
  </si>
  <si>
    <t xml:space="preserve">740-210171-00 Rev C OHR</t>
  </si>
  <si>
    <t xml:space="preserve">18602</t>
  </si>
  <si>
    <t xml:space="preserve">750-40426.. 5xxx Spare Part</t>
  </si>
  <si>
    <t xml:space="preserve">BIT 3 COMPUTER COP for 5xxx Spare Part</t>
  </si>
  <si>
    <t xml:space="preserve">18606</t>
  </si>
  <si>
    <t xml:space="preserve">750-400159-00 REV A for KLA 5xxx</t>
  </si>
  <si>
    <t xml:space="preserve">MATROX VIP 1024 for a KLA 5XXX overlay system</t>
  </si>
  <si>
    <t xml:space="preserve">18611</t>
  </si>
  <si>
    <t xml:space="preserve">750-400339-00 Rev H from a KLA 5xxx</t>
  </si>
  <si>
    <t xml:space="preserve">18622</t>
  </si>
  <si>
    <t xml:space="preserve">750-404260 for KLA 5XXX</t>
  </si>
  <si>
    <t xml:space="preserve">53035</t>
  </si>
  <si>
    <t xml:space="preserve">2132 (8 inch Wafer Chuck Assembly)</t>
  </si>
  <si>
    <t xml:space="preserve">Ceramic Wafer chuck, 8"</t>
  </si>
  <si>
    <t xml:space="preserve">Wafer chuck for 2132, see images for details.
</t>
  </si>
  <si>
    <t xml:space="preserve">84089</t>
  </si>
  <si>
    <t xml:space="preserve">7600M</t>
  </si>
  <si>
    <t xml:space="preserve">ELECTRO-OPTICAL ACTUATOR ASSY </t>
  </si>
  <si>
    <t xml:space="preserve">2900
WEIGHT: 200 GR.
DIMENSION: 9 X 9 X 6 (H)</t>
  </si>
  <si>
    <t xml:space="preserve">34150</t>
  </si>
  <si>
    <t xml:space="preserve">242163 Rev B  PCB  ADC-PFE Interface S76</t>
  </si>
  <si>
    <t xml:space="preserve">Tencor p/n 242163 Rev B 
PCB  ADC-PFE Interface S76</t>
  </si>
  <si>
    <t xml:space="preserve">84410</t>
  </si>
  <si>
    <t xml:space="preserve">SENSOR OPTICAL</t>
  </si>
  <si>
    <t xml:space="preserve">MECHANICAL ART OF KLA-TENCOR 7700M OPTICS
WEIGHT: KG. 1,3
DIMENSION: 31 X 25 X 14 (H)</t>
  </si>
  <si>
    <t xml:space="preserve">83897</t>
  </si>
  <si>
    <t xml:space="preserve">8 inch ceramic chuck table for KLA 7700M</t>
  </si>
  <si>
    <t xml:space="preserve">WITH AIRPOT 71991-Z
WEIGHT: GR.950
DIMENSION:21 CM. X 21 CM. X 4 CM.(H)</t>
  </si>
  <si>
    <t xml:space="preserve">34130</t>
  </si>
  <si>
    <t xml:space="preserve">KLA-tencor</t>
  </si>
  <si>
    <t xml:space="preserve">18458 Rev B  $ CH Motor Control</t>
  </si>
  <si>
    <t xml:space="preserve">4-channel PWM Motor Drive PCB
Tencor p/n 18458
</t>
  </si>
  <si>
    <t xml:space="preserve">34134</t>
  </si>
  <si>
    <t xml:space="preserve">210617 rev B PCB Filter Optical</t>
  </si>
  <si>
    <t xml:space="preserve">83918</t>
  </si>
  <si>
    <t xml:space="preserve">Adjustable Opto Mechanical assembly for KLA 7700 Surfscan</t>
  </si>
  <si>
    <t xml:space="preserve">WEIGHT GR.500
DIMENSION: 10 CM. X 10 CM. X 6 CM. (H)</t>
  </si>
  <si>
    <t xml:space="preserve">84215</t>
  </si>
  <si>
    <t xml:space="preserve">AT GPIB IEE 488.2 Interface PCB for a KLA 7700 M</t>
  </si>
  <si>
    <t xml:space="preserve">Board manufacturer: NATIONAL INSTRUMENTS
WEIGHT: 150 GR.
DIMENSION: 17,5 X 12,5 X 2,5 (H)</t>
  </si>
  <si>
    <t xml:space="preserve">83837</t>
  </si>
  <si>
    <t xml:space="preserve">EMO Button for KLA 7700M</t>
  </si>
  <si>
    <t xml:space="preserve">EMERGENCY BUTTON WITH CABLE</t>
  </si>
  <si>
    <t xml:space="preserve">34153</t>
  </si>
  <si>
    <t xml:space="preserve">7700m (spares)</t>
  </si>
  <si>
    <t xml:space="preserve">Fresnel Lens / Mirror</t>
  </si>
  <si>
    <t xml:space="preserve">83810</t>
  </si>
  <si>
    <t xml:space="preserve">leadscrew and stepper motor for KLA Surscan 7700m, 7600 microscope</t>
  </si>
  <si>
    <t xml:space="preserve">includes leadscrew,  copper plates and stepper motor CMC MT2115-0140F</t>
  </si>
  <si>
    <t xml:space="preserve">84087</t>
  </si>
  <si>
    <t xml:space="preserve">Mirror assembly for KLA 7700 m surfscan</t>
  </si>
  <si>
    <t xml:space="preserve">F12-488-8-400
DMO P-6
DONAL.JENNIFER INDUSTRIES
WEIGHT: 0,3 KG.
DIMENSION: 26 X 8 X 2,5 (H)</t>
  </si>
  <si>
    <t xml:space="preserve">34125</t>
  </si>
  <si>
    <t xml:space="preserve">Mirror Assy Flat</t>
  </si>
  <si>
    <t xml:space="preserve">84088</t>
  </si>
  <si>
    <t xml:space="preserve">Optical Lens assembly from a KLA 7700 M Surfscan</t>
  </si>
  <si>
    <t xml:space="preserve">WEIGHT: 25 GR.
DIMENSION: 13 X 4,5 X 11 (H)</t>
  </si>
  <si>
    <t xml:space="preserve">34136</t>
  </si>
  <si>
    <t xml:space="preserve">p/n 099660 Handler back plane PCB</t>
  </si>
  <si>
    <t xml:space="preserve">Tencor p/n 099660 Handler back plane PCB</t>
  </si>
  <si>
    <t xml:space="preserve">34127</t>
  </si>
  <si>
    <t xml:space="preserve">p/n 186392A  PCB Controller Handler</t>
  </si>
  <si>
    <t xml:space="preserve"> - Tencor part number 186392A
 - PCB Controller Handler</t>
  </si>
  <si>
    <t xml:space="preserve">34148</t>
  </si>
  <si>
    <t xml:space="preserve">p/n 210595 Rev B Optical Filter PCB</t>
  </si>
  <si>
    <t xml:space="preserve">Tencor p/n 210595 Rev B Optical Filter PCB</t>
  </si>
  <si>
    <t xml:space="preserve">34152</t>
  </si>
  <si>
    <t xml:space="preserve">p/n 213780 Rev C  PCB  MASK SFS </t>
  </si>
  <si>
    <t xml:space="preserve">103366</t>
  </si>
  <si>
    <t xml:space="preserve">Robot Arm, for up to 8 inch wafers, for  KLA 7700 M</t>
  </si>
  <si>
    <t xml:space="preserve">This robot arm will fit on any of the old Tencor-designed wafer handlers, 
which were present on the KLA 7600 and 7700 surfscans.</t>
  </si>
  <si>
    <t xml:space="preserve">31613</t>
  </si>
  <si>
    <t xml:space="preserve">Bracked Lift Keyboard KLA Part 740-03393-000</t>
  </si>
  <si>
    <t xml:space="preserve">83622</t>
  </si>
  <si>
    <t xml:space="preserve">Load-lock assembly for CD SEM</t>
  </si>
  <si>
    <t xml:space="preserve">SWAGELOK 152086</t>
  </si>
  <si>
    <t xml:space="preserve">Brand new load-lock assembly for a KLA 8100 CD SEM.
This sub-assembly, which is new in the original packing, includes the 
following parts:-
PFEIFFER-VAKUUM
LEYBOLD VAKUUM
COMPACT PIRANI GAUGE
2820-0935 A
15 MICRON
SWAGELOK 152086
VARIAN P/N L9180301
M/N NW-16-H/O
WEIGHT: 9 KG.
DIMENSION: 45 CM. X 38 CM. X 25 CM.(H)
</t>
  </si>
  <si>
    <t xml:space="preserve">83623</t>
  </si>
  <si>
    <t xml:space="preserve">Brand new load-lock assembly for a KLA 8100 CD SEM.
This sub-assembly, which is new in the original packing, includes the 
following parts:-
LEYBOLD VAKUUM
14...32 V
OPERATING PRESS 0,4-0,7 MPa
15 MICRON
XLA-16
SWAGELOK 152085
SS-BNS4-C
NO.PTR 26800A
F-No 440024 809
WEIGHT: 9 KG.
DIMENSION: 40 CM. X 36 CM. X 24 CM.(H)
</t>
  </si>
  <si>
    <t xml:space="preserve">83630</t>
  </si>
  <si>
    <t xml:space="preserve">Loadlock assembly for KLA_Tencor CD SEM.
New in original packing materials.
This sub-assembly includes the following parts:-
GRANVILLE-PHILIPS VACUUM GAUGE HEAD P/N 275071
HIGHT VAKUUM VALVE
P/S 113-16014
D0035003670
15 MICRON
TYPE : TPR 265
NO:.44019743
WEIGHT: 10 KG.
DIMENSION: 50 CM. X 35 CM. X 25 CM.(H)
</t>
  </si>
  <si>
    <t xml:space="preserve">83621</t>
  </si>
  <si>
    <t xml:space="preserve">Loadlock assembly for CD-SEM </t>
  </si>
  <si>
    <t xml:space="preserve">0,4-0,7 MPa</t>
  </si>
  <si>
    <t xml:space="preserve">New unused and in original packaging, opened only for cataloguing.
Part numbers included:-
SMC HIGH VACUUM VALVE
PRESS 10Pa ATM
TEMP-60C
OPERATING PRESS 0,4-0,7 MPa
15 MICRON
XLA-16
SWAGELOK 104588
SS-BNS4-C
Granville Philips vacuum gauge p/n 275071
WEIGHT: 10 KG.
DIMENSION: 45 CM. X 39 CM. X 24 CM.(H)
Includes p/n 740-03590-01
QTY 3 AVAILABLE</t>
  </si>
  <si>
    <t xml:space="preserve">84054</t>
  </si>
  <si>
    <t xml:space="preserve">Motorized slit assembly for CD SEM</t>
  </si>
  <si>
    <t xml:space="preserve">TESTED
THETA:.30.50
REACH:30.45.60
APR.98223
DET:8921
WEIGHT: 2,3 KG.
DIMENSION: 10 X 10 X 49 (H)
FOR EACH</t>
  </si>
  <si>
    <t xml:space="preserve">84091</t>
  </si>
  <si>
    <t xml:space="preserve">113387</t>
  </si>
  <si>
    <t xml:space="preserve">4-CHANNEL PWM MOTOR DRIVE ASSY PCB FOR KLA 7XXX SURFSCAN, P2 and P20 profilers</t>
  </si>
  <si>
    <t xml:space="preserve">EDAC  307-072-558-20
WEIGHT: 250 GR
DIMENSION: 25 x 18 x 7 (H)
WITH P/N 024344</t>
  </si>
  <si>
    <t xml:space="preserve">83932</t>
  </si>
  <si>
    <t xml:space="preserve">195430 rev B</t>
  </si>
  <si>
    <t xml:space="preserve">Detector Assembly for a KLA 7700M Surfscan</t>
  </si>
  <si>
    <t xml:space="preserve">WEIGHT: KG.1
DIMENSION: 31 CM. X 23 CM. X 6 CM. (H)</t>
  </si>
  <si>
    <t xml:space="preserve">53227</t>
  </si>
  <si>
    <t xml:space="preserve">251739</t>
  </si>
  <si>
    <t xml:space="preserve">CH3 PMT OPTICS ASSY AIT2</t>
  </si>
  <si>
    <t xml:space="preserve">Good used KLA AIT 2 CH3 PMT  Assembly.
Manufactured by Hamamatsu.
Removed from working tool and stored in our warehouse
</t>
  </si>
  <si>
    <t xml:space="preserve">84220</t>
  </si>
  <si>
    <t xml:space="preserve">253537 Rev A</t>
  </si>
  <si>
    <t xml:space="preserve">Microscope Distribution  PCB, for Surfscan 7600 and 7700 series</t>
  </si>
  <si>
    <t xml:space="preserve">109059</t>
  </si>
  <si>
    <t xml:space="preserve">289825A</t>
  </si>
  <si>
    <t xml:space="preserve">Sony XC-711 Video Camera and cable set</t>
  </si>
  <si>
    <t xml:space="preserve">Removed from a working KLA 7700 M particle detection system.
With the interconnection cables.</t>
  </si>
  <si>
    <t xml:space="preserve">18635</t>
  </si>
  <si>
    <t xml:space="preserve">851391-101</t>
  </si>
  <si>
    <t xml:space="preserve">LH RESEARCH </t>
  </si>
  <si>
    <t xml:space="preserve">REV.B</t>
  </si>
  <si>
    <t xml:space="preserve">34165</t>
  </si>
  <si>
    <t xml:space="preserve">3005503</t>
  </si>
  <si>
    <t xml:space="preserve">OPTICAL ASSY for kla 7700 and 7600 surfscans</t>
  </si>
  <si>
    <t xml:space="preserve">MODEL NO.3005503</t>
  </si>
  <si>
    <t xml:space="preserve">84409</t>
  </si>
  <si>
    <t xml:space="preserve"> AIT-1 SHIPPING KIT</t>
  </si>
  <si>
    <t xml:space="preserve">Parts for locking the optics of KLA AIT 1 prior to shipping</t>
  </si>
  <si>
    <t xml:space="preserve">34166</t>
  </si>
  <si>
    <t xml:space="preserve">AIT 1 (SPARES)</t>
  </si>
  <si>
    <t xml:space="preserve">Lens Assembly in transport box</t>
  </si>
  <si>
    <t xml:space="preserve">LENS FOR LASER DELIVERY OPTICS</t>
  </si>
  <si>
    <t xml:space="preserve">84086</t>
  </si>
  <si>
    <t xml:space="preserve">ASSY.CBL.GND</t>
  </si>
  <si>
    <t xml:space="preserve">EATHING STRAP</t>
  </si>
  <si>
    <t xml:space="preserve">810-04308-003 REV.B 0700-3325 (3 PIECES)
810-04308-004 REV.B 0700-2020 (3 PIECES)
810-04308-005 REV.B 0700-3324 (1 PIECES)
810-04308-004 REV.B 0700-3325 (7 PIECES)
ASSY GBL.GND STRAP 10X 10,9" L
ESEG.-5862
QTY 14
WEIGHT TOTAL 0,5 KG.
DIMENSION: 30 X 15 X 7 (H)
</t>
  </si>
  <si>
    <t xml:space="preserve">52151</t>
  </si>
  <si>
    <t xml:space="preserve">Hamamatsu R1924A</t>
  </si>
  <si>
    <t xml:space="preserve">Linear PMT p/n R1924A Compatible with KLA-Tencor AIT 1 and 2</t>
  </si>
  <si>
    <t xml:space="preserve">21667</t>
  </si>
  <si>
    <t xml:space="preserve">JDS-Uniphase 2214-30 SLQ TT</t>
  </si>
  <si>
    <t xml:space="preserve">LASER FOR KLA 7700 SURFSCAN</t>
  </si>
  <si>
    <t xml:space="preserve">30 day return warranty</t>
  </si>
  <si>
    <t xml:space="preserve">83896</t>
  </si>
  <si>
    <t xml:space="preserve">Pittman 9433F528</t>
  </si>
  <si>
    <t xml:space="preserve">Servo Drive motor for KLA 7700 Surfscan</t>
  </si>
  <si>
    <t xml:space="preserve">PITTMAN
9433F528
1000 CPR
AWM IA105C 300V FTI  E-15543(J)
AWM STYLE 2651 VW
WEIGHT: GR.350
DIMENSION:5 CM. X 5 CM. X 10 CM.(H)</t>
  </si>
  <si>
    <t xml:space="preserve">4958</t>
  </si>
  <si>
    <t xml:space="preserve">Roll-a-Lift</t>
  </si>
  <si>
    <t xml:space="preserve">KIT 2135,2138,2230 MOVE</t>
  </si>
  <si>
    <t xml:space="preserve">KLA PART NUMBER 780-688251-000 ROLLA-LIFT P/N 970-678679-00-AC each kit 
consists of 2 lifts. One kit includes the original KLA shipping crate. The 
blades of the lifts have been modified so as to fit the 21xx tools 
precisely.</t>
  </si>
  <si>
    <t xml:space="preserve">105866</t>
  </si>
  <si>
    <t xml:space="preserve">Surfscan 7700m</t>
  </si>
  <si>
    <t xml:space="preserve">Keyboard Assy </t>
  </si>
  <si>
    <t xml:space="preserve">Please check the pictures below for more information.</t>
  </si>
  <si>
    <t xml:space="preserve">27806</t>
  </si>
  <si>
    <t xml:space="preserve">TFE Gun Controller</t>
  </si>
  <si>
    <t xml:space="preserve">Gun Controller Chassis  Part No 720-05888-000</t>
  </si>
  <si>
    <t xml:space="preserve">Quantuty 2 Available SN: 102-42 SN: 098-42S Rev C
WEIGHT 15 KG.
DIMENSIONS:43CM X 41CM X 14CM (H)</t>
  </si>
  <si>
    <t xml:space="preserve">18634</t>
  </si>
  <si>
    <t xml:space="preserve">POWER SUPPLY LAMBDA</t>
  </si>
  <si>
    <t xml:space="preserve">Rev. A</t>
  </si>
  <si>
    <t xml:space="preserve">83643</t>
  </si>
  <si>
    <t xml:space="preserve">RIBBON CABLE</t>
  </si>
  <si>
    <t xml:space="preserve">2 PIECE</t>
  </si>
  <si>
    <t xml:space="preserve">34149</t>
  </si>
  <si>
    <t xml:space="preserve">KLA-TENCOR	 	</t>
  </si>
  <si>
    <t xml:space="preserve">PCB FOR KLA 7700M</t>
  </si>
  <si>
    <t xml:space="preserve">53036</t>
  </si>
  <si>
    <t xml:space="preserve">KLA-Tencor </t>
  </si>
  <si>
    <t xml:space="preserve">Compumotor M575L11</t>
  </si>
  <si>
    <t xml:space="preserve">Stepping motor drive</t>
  </si>
  <si>
    <t xml:space="preserve">Stepping motor drive module (KLA-Tencor P/N 91-3677-05) see images for 
details</t>
  </si>
  <si>
    <t xml:space="preserve">84411</t>
  </si>
  <si>
    <t xml:space="preserve">KLA-Tencor 	</t>
  </si>
  <si>
    <t xml:space="preserve">Electro-optical assembly for KLA Surfscan 7600 and 7700</t>
  </si>
  <si>
    <t xml:space="preserve">PART OF KLA-TENCOR 7700M
WEIGHT: KG. 1,4
DIMENSION: 25 X 20 X 14 (H)</t>
  </si>
  <si>
    <t xml:space="preserve">34116</t>
  </si>
  <si>
    <t xml:space="preserve">Kla-Tencor 	</t>
  </si>
  <si>
    <t xml:space="preserve">AIT 1</t>
  </si>
  <si>
    <t xml:space="preserve">Network Card PCB</t>
  </si>
  <si>
    <t xml:space="preserve">KLA AIT 1 Network Card
SMC ISA 83C790QF P</t>
  </si>
  <si>
    <t xml:space="preserve">35971</t>
  </si>
  <si>
    <t xml:space="preserve">KLA-Tencor Corp.</t>
  </si>
  <si>
    <t xml:space="preserve">Electron gun controller for KLA 8100</t>
  </si>
  <si>
    <t xml:space="preserve">Deinstalled Wareshoused In stock</t>
  </si>
  <si>
    <t xml:space="preserve">74239</t>
  </si>
  <si>
    <t xml:space="preserve">KNF NEUBERGER</t>
  </si>
  <si>
    <t xml:space="preserve">N 840.3 FT.18</t>
  </si>
  <si>
    <t xml:space="preserve">DIAPHRAGM VACUUM PUMP LABOPORT D-79112</t>
  </si>
  <si>
    <t xml:space="preserve">KNF NEUBERGER CHEMICALLY RESISTANT DIAPHRAGM VACUUM PUMP LABOPORT D-79112
N 840.3 FT.18 1,0 Bar
CE MARKED 230V 50 HZ 1.5 A.
PACKAGED DIMS AND WEIGHT: 31 CM X 33 CM X 32 CM (H) WEIGHT 13.8 KG
MADE IN GERMANY
PMAX 1.0 BAR</t>
  </si>
  <si>
    <t xml:space="preserve">103386</t>
  </si>
  <si>
    <t xml:space="preserve">KNIEL System</t>
  </si>
  <si>
    <t xml:space="preserve">CPD 5.12/6.3</t>
  </si>
  <si>
    <t xml:space="preserve">Power Supply, 321-019-02.00</t>
  </si>
  <si>
    <t xml:space="preserve">CE MARKED</t>
  </si>
  <si>
    <t xml:space="preserve">83891</t>
  </si>
  <si>
    <t xml:space="preserve">KOGANEI</t>
  </si>
  <si>
    <t xml:space="preserve">A200-4E1</t>
  </si>
  <si>
    <t xml:space="preserve">AIR VALVE</t>
  </si>
  <si>
    <t xml:space="preserve">DC 24V
0-0 9 MPa
SUPPLIED BY DALCO ENGENEERING SYSTEM LTD
WEIGHT: GR.350
DIMENSION: 4 CM. X 3 CM. X 10,5 CM. (H) FOR EACH
</t>
  </si>
  <si>
    <t xml:space="preserve">83880</t>
  </si>
  <si>
    <t xml:space="preserve">AME07-E2-PSL</t>
  </si>
  <si>
    <t xml:space="preserve">VACUUM EJECTOR</t>
  </si>
  <si>
    <t xml:space="preserve">24VDC
WEIGHT: 200 GR.
DIMENSION:12 CM. X 2 CM. X 5 CM.(H)FOR EACH</t>
  </si>
  <si>
    <t xml:space="preserve">83873</t>
  </si>
  <si>
    <t xml:space="preserve">BDAS10X30</t>
  </si>
  <si>
    <t xml:space="preserve">KOGANEI TK49173
WEIGHT: 100 GR.
DIMENSION:5 CM. X 2 CM. X 8 CM.(H) FOR TWO
</t>
  </si>
  <si>
    <t xml:space="preserve">83846</t>
  </si>
  <si>
    <t xml:space="preserve">JDAS32X5-165W</t>
  </si>
  <si>
    <t xml:space="preserve">AIR CYLINDER</t>
  </si>
  <si>
    <t xml:space="preserve">WEIGHT: 200 GR.
DIMENSION 5 X 5 X 5 (H)
THE PRICE IS FOR EACH</t>
  </si>
  <si>
    <t xml:space="preserve">84265</t>
  </si>
  <si>
    <t xml:space="preserve">KA CMA</t>
  </si>
  <si>
    <t xml:space="preserve">AIR CYLINDER
BORE X ST 
25 X 25
MAX PRESS:9 bar
WEIGHT: 200 GR.
DIMENSION:  X 2 X 2 (H)
FOR EACH
</t>
  </si>
  <si>
    <t xml:space="preserve">84223</t>
  </si>
  <si>
    <t xml:space="preserve">ORCA 16X120</t>
  </si>
  <si>
    <t xml:space="preserve">Slit type rodless cylinder</t>
  </si>
  <si>
    <t xml:space="preserve">MAX. 0.8MPa 27
WEIGHT:400 GR.
DIMENSION: 5 X 5 X 27 (H)
FOR EACH
includes instruction manual</t>
  </si>
  <si>
    <t xml:space="preserve">84224</t>
  </si>
  <si>
    <t xml:space="preserve">MAX. 0.7 MPa 37
WEIGHT:350 GR.
DIMENSION: 4 X 3 X 25 (H)</t>
  </si>
  <si>
    <t xml:space="preserve">84261</t>
  </si>
  <si>
    <t xml:space="preserve">PDA S</t>
  </si>
  <si>
    <t xml:space="preserve">AIR CYLINDER
16 X 100
WEIGHT: 200 GR.
DIMENSION:  X 2 X 2 (H)
FOR EACH
</t>
  </si>
  <si>
    <t xml:space="preserve">84258</t>
  </si>
  <si>
    <t xml:space="preserve">SLIM</t>
  </si>
  <si>
    <t xml:space="preserve">AIR CYLINDER SLIM
DAD 32 X 25-954W
WEIGHT: 400 GR.
DIMENSION: 4 X 4 X 23 (H)
FOR EACH
</t>
  </si>
  <si>
    <t xml:space="preserve">84270</t>
  </si>
  <si>
    <t xml:space="preserve">AIR CYLINDER
WEIGHT: 600 GR. FOR TWO.
THE DIMENSION OF: DAD 32 X 25 ARE: 3,5 X 3,5 X 22(H)
THE DIMENSION OF :DAD 20 X 50 ARE:   3 X 3 X 18,5 (H)
</t>
  </si>
  <si>
    <t xml:space="preserve">84266</t>
  </si>
  <si>
    <t xml:space="preserve">TWDA</t>
  </si>
  <si>
    <t xml:space="preserve">AIR CYLINDER TWINPORT
TWDA20 X 200-HA
WEIGHT: 400 GR.
DIMENSION: 3 X 3 X 29 (H)
</t>
  </si>
  <si>
    <t xml:space="preserve">84055</t>
  </si>
  <si>
    <t xml:space="preserve">KOGANEI LTD</t>
  </si>
  <si>
    <t xml:space="preserve">KA.CMA</t>
  </si>
  <si>
    <t xml:space="preserve">MINI CYLINDER</t>
  </si>
  <si>
    <t xml:space="preserve">MOD.KA-CMA
BORE XST 40X375
MAX PRESS 9 BAR
WEIGHT: 2 KG
DIMENSION: 6 X 6 X 45 (H)
FOR EACH
</t>
  </si>
  <si>
    <t xml:space="preserve">84056</t>
  </si>
  <si>
    <t xml:space="preserve">MINI-CYLINDER</t>
  </si>
  <si>
    <t xml:space="preserve">MOD.KA-CMA
BORE XST 30 X 300
MAX PRESSURE: 9 BAR
WEIGHT: 1,2 KG.
DIMENSION: 4 X4 X 43 (H)
</t>
  </si>
  <si>
    <t xml:space="preserve">84057</t>
  </si>
  <si>
    <t xml:space="preserve">MOD.KA-CMA
BORE XST 40 X 60
MAX PRESSURE: 9 KGF/CM
WEIGHT: 1 KG.
DIMENSION: 6 X6 X 19 (H)
</t>
  </si>
  <si>
    <t xml:space="preserve">83931</t>
  </si>
  <si>
    <t xml:space="preserve">KOKUSAI</t>
  </si>
  <si>
    <t xml:space="preserve">M 152 WRL</t>
  </si>
  <si>
    <t xml:space="preserve">THERMO COUPLE</t>
  </si>
  <si>
    <t xml:space="preserve">PROTECTING TUBE:SSAS
LASS 0.25
TOTAL WEIGHT:GR.900
DIMENSION IN BOX:25 CM. X 23 CM. X 7 CM. (H)
</t>
  </si>
  <si>
    <t xml:space="preserve">84773</t>
  </si>
  <si>
    <t xml:space="preserve">KOYO LINBERG</t>
  </si>
  <si>
    <t xml:space="preserve">VF5100B</t>
  </si>
  <si>
    <t xml:space="preserve">Set of Cleanroom Manuals</t>
  </si>
  <si>
    <t xml:space="preserve">-Set of cleanroom manuals
-Seal in plastic bags
-Includes all manuals, training course notes , schematics etc.
</t>
  </si>
  <si>
    <t xml:space="preserve">84230</t>
  </si>
  <si>
    <t xml:space="preserve">Kurt J Lesker</t>
  </si>
  <si>
    <t xml:space="preserve"> ISO Flange ISO63, 5-hole, *NEW*</t>
  </si>
  <si>
    <t xml:space="preserve">5 hole pump flange</t>
  </si>
  <si>
    <t xml:space="preserve">new, old stock, ISO63 pump flange, 5-hole, NEW in the original 
packaging. From Kurt J Lesker, marked F35R part number. These are new, 
old-stock, sold as-is </t>
  </si>
  <si>
    <t xml:space="preserve">84229</t>
  </si>
  <si>
    <t xml:space="preserve">ISO100AVCRT</t>
  </si>
  <si>
    <t xml:space="preserve">Pump centering ring</t>
  </si>
  <si>
    <t xml:space="preserve">Kurt j. Lesker Pump centering ring ISO100AVCRT
ISO,aluminum trapped centering ring
Viton'o'ring DN100
</t>
  </si>
  <si>
    <t xml:space="preserve">84228</t>
  </si>
  <si>
    <t xml:space="preserve">ISO160AVCRT</t>
  </si>
  <si>
    <t xml:space="preserve">Kurt j. Lesker Pump centering ring QF160-SAVR
ISO,SS,C-ring,Viton
</t>
  </si>
  <si>
    <t xml:space="preserve">84282</t>
  </si>
  <si>
    <t xml:space="preserve">QF-SSC-ALM</t>
  </si>
  <si>
    <t xml:space="preserve">Single claw clamp</t>
  </si>
  <si>
    <t xml:space="preserve">QF-SSC-ALM clamp
ISO/63/100 M8 35mm bolt
</t>
  </si>
  <si>
    <t xml:space="preserve">84212</t>
  </si>
  <si>
    <t xml:space="preserve">QF160-SAVR</t>
  </si>
  <si>
    <t xml:space="preserve">110325</t>
  </si>
  <si>
    <t xml:space="preserve">Kurt J. Lesker </t>
  </si>
  <si>
    <t xml:space="preserve">AT3</t>
  </si>
  <si>
    <t xml:space="preserve">Sold Ex-Works, UK Office , Part Number:EJAT3 , Secondary P/N:9400150011</t>
  </si>
  <si>
    <t xml:space="preserve">110326</t>
  </si>
  <si>
    <t xml:space="preserve">Lam</t>
  </si>
  <si>
    <t xml:space="preserve">6 inch RF Coil</t>
  </si>
  <si>
    <t xml:space="preserve">Sold Ex-Works, UK Office , Part Number:853-032104-006</t>
  </si>
  <si>
    <t xml:space="preserve">115395</t>
  </si>
  <si>
    <t xml:space="preserve">LAM</t>
  </si>
  <si>
    <t xml:space="preserve">853-040482-502 </t>
  </si>
  <si>
    <t xml:space="preserve">CONTROLLER [ASIS]</t>
  </si>
  <si>
    <t xml:space="preserve">110328</t>
  </si>
  <si>
    <t xml:space="preserve">9500</t>
  </si>
  <si>
    <t xml:space="preserve">Sold Ex-Works, UK Office , Part Number:853-250118-001</t>
  </si>
  <si>
    <t xml:space="preserve">110327</t>
  </si>
  <si>
    <t xml:space="preserve">110330</t>
  </si>
  <si>
    <t xml:space="preserve">110329</t>
  </si>
  <si>
    <t xml:space="preserve">110331</t>
  </si>
  <si>
    <t xml:space="preserve">Kiyo Poly Match</t>
  </si>
  <si>
    <t xml:space="preserve">Sold Ex-Works, UK Office , Part Number:853-800749-014</t>
  </si>
  <si>
    <t xml:space="preserve">110332</t>
  </si>
  <si>
    <t xml:space="preserve">Research Match</t>
  </si>
  <si>
    <t xml:space="preserve">Sold Ex-Works, UK Office , Part Number:LAM AS1Q</t>
  </si>
  <si>
    <t xml:space="preserve">110334</t>
  </si>
  <si>
    <t xml:space="preserve">TCP Upper Match</t>
  </si>
  <si>
    <t xml:space="preserve">Sold Ex-Works, UK Office , Part Number:853-031685-002-2-C201</t>
  </si>
  <si>
    <t xml:space="preserve">110333</t>
  </si>
  <si>
    <t xml:space="preserve">Sold Ex-Works, UK Office , Part Number:853-031685-001</t>
  </si>
  <si>
    <t xml:space="preserve">110335</t>
  </si>
  <si>
    <t xml:space="preserve">Versys Poly match</t>
  </si>
  <si>
    <t xml:space="preserve">Sold Ex-Works, UK Office , Part Number:832-038915-103</t>
  </si>
  <si>
    <t xml:space="preserve">84377</t>
  </si>
  <si>
    <t xml:space="preserve">Lam Research</t>
  </si>
  <si>
    <t xml:space="preserve">810-06526-000</t>
  </si>
  <si>
    <t xml:space="preserve">ASSY.CBL.EF CONTROL.SNIPER</t>
  </si>
  <si>
    <t xml:space="preserve">XSGT-16742-MT
WEIGHT:100 GR.
DIMENSION: 2,5 X 6,5 CM X 2 (H)
</t>
  </si>
  <si>
    <t xml:space="preserve">105861</t>
  </si>
  <si>
    <t xml:space="preserve">853-495477-001 Rev B</t>
  </si>
  <si>
    <t xml:space="preserve">Cable</t>
  </si>
  <si>
    <t xml:space="preserve">Spare Lam Cable
New OEM PART IN ORIGINAL PACKAGING, UNOPENED</t>
  </si>
  <si>
    <t xml:space="preserve">13044</t>
  </si>
  <si>
    <t xml:space="preserve">Lambda</t>
  </si>
  <si>
    <t xml:space="preserve">CA1000</t>
  </si>
  <si>
    <t xml:space="preserve">Alpha 1000W  CA1000 Power Supply </t>
  </si>
  <si>
    <t xml:space="preserve">ch1 ch2 output volts (v)- 5 12 output current (A)- 60 33 off load volts 
(v)- 4.990 11.925 load regulation(%)- 0.100 0.000 line regulation (%)- 
0.000 0.000 PARD (vpp)- 0.027 0.068 current limit- pass pass short circuit 
(a)- 71.100 39.725 overvoltage- pass pass</t>
  </si>
  <si>
    <t xml:space="preserve">110336</t>
  </si>
  <si>
    <t xml:space="preserve">SPA 400</t>
  </si>
  <si>
    <t xml:space="preserve">Sold Ex-Works, UK Office , Part Number:SPA400D-2A/220 , Secondary 
P/N:163369</t>
  </si>
  <si>
    <t xml:space="preserve">83570</t>
  </si>
  <si>
    <t xml:space="preserve">Leitz</t>
  </si>
  <si>
    <t xml:space="preserve">512815 / 2</t>
  </si>
  <si>
    <t xml:space="preserve">Microscope for KLA 51xx with olympus eyepieces</t>
  </si>
  <si>
    <t xml:space="preserve">512 815/20</t>
  </si>
  <si>
    <t xml:space="preserve">Overlay Measurement System trinocular microscope head, with 2 olypus 
eyepieces.</t>
  </si>
  <si>
    <t xml:space="preserve">77003</t>
  </si>
  <si>
    <t xml:space="preserve">Leybold</t>
  </si>
  <si>
    <t xml:space="preserve">287 02 V2</t>
  </si>
  <si>
    <t xml:space="preserve">Pump Valve</t>
  </si>
  <si>
    <t xml:space="preserve">Leybold 287-03-V2
</t>
  </si>
  <si>
    <t xml:space="preserve">115396</t>
  </si>
  <si>
    <t xml:space="preserve">LEYBOLD</t>
  </si>
  <si>
    <t xml:space="preserve">400045V0006 </t>
  </si>
  <si>
    <t xml:space="preserve">MAG2000 TURBO PUMP ASIS</t>
  </si>
  <si>
    <t xml:space="preserve">106241</t>
  </si>
  <si>
    <t xml:space="preserve">ISO-K 100</t>
  </si>
  <si>
    <t xml:space="preserve">Large ISO-K Vacuum Bellows and 90 Degree Elbow</t>
  </si>
  <si>
    <t xml:space="preserve">SEE PHOTOS FOR DETAILS
PACKED WEIGHT AND DIMS: 33 CM X 44 CM X 28 CM (H) WEIGHT 4.6 KG
LENGTH OF BELLOWS PART: 25 CM</t>
  </si>
  <si>
    <t xml:space="preserve">115399</t>
  </si>
  <si>
    <t xml:space="preserve">TURBOVAC 1000C</t>
  </si>
  <si>
    <t xml:space="preserve">VACUUM TURBO PUMP [ASIS]</t>
  </si>
  <si>
    <t xml:space="preserve">115398</t>
  </si>
  <si>
    <t xml:space="preserve">115397</t>
  </si>
  <si>
    <t xml:space="preserve">33542</t>
  </si>
  <si>
    <t xml:space="preserve">Liebherr</t>
  </si>
  <si>
    <t xml:space="preserve">FKV 3610</t>
  </si>
  <si>
    <t xml:space="preserve">Fridge for the safe storage of photoresist</t>
  </si>
  <si>
    <t xml:space="preserve">facilities</t>
  </si>
  <si>
    <t xml:space="preserve">Manufacturer: Liebherr Model: FKV 3610 S/N: 77.451.737.7
Description: Bottle Chill cabinet, Upright
Comments: Class: SN-T
Type: Freezing capacity
Useful capacity: 329 litres
Refigerant: R600A 50 g
Insulation: Pentan
Power supply: 200-240 VAC 50 Hz 130 W
Max number of bottles per shelf: 52
Max number of bottles total in chiller: 246
LOCATION: AVEZZANO, ITALY</t>
  </si>
  <si>
    <t xml:space="preserve">77092</t>
  </si>
  <si>
    <t xml:space="preserve">MAC</t>
  </si>
  <si>
    <t xml:space="preserve">225B-111BAAA</t>
  </si>
  <si>
    <t xml:space="preserve">Pneumatic solenoid valve</t>
  </si>
  <si>
    <t xml:space="preserve">83885</t>
  </si>
  <si>
    <t xml:space="preserve">MATHESON</t>
  </si>
  <si>
    <t xml:space="preserve">TRI.GAS</t>
  </si>
  <si>
    <t xml:space="preserve">ROTAMETER</t>
  </si>
  <si>
    <t xml:space="preserve">MP13E101P404
23505-6012-000
OTHER SN: 9C91-53XR-X22H
                   H1X1-FTWR-F34R
WEIGHT: 200 GR.
DIMENSION: 10 CM. X 11 CM. X 3 CM. (H) FOR EACH
</t>
  </si>
  <si>
    <t xml:space="preserve">83882</t>
  </si>
  <si>
    <t xml:space="preserve">MATSUSHITA</t>
  </si>
  <si>
    <t xml:space="preserve">BBC 35 N</t>
  </si>
  <si>
    <t xml:space="preserve">INTERRUPTOR CAP SYS </t>
  </si>
  <si>
    <t xml:space="preserve">CIRCUIT BREAKER
BC-30N
3P 5A
BBC35N
3P Uiac500V
50/60Hz
ac220v
ic2.5
WEIGHT: 400 GR.
DIMENSION:10 CM. X 7 CM. X 8 CM.(H)</t>
  </si>
  <si>
    <t xml:space="preserve">83637</t>
  </si>
  <si>
    <t xml:space="preserve">HP2-DC 24V</t>
  </si>
  <si>
    <t xml:space="preserve">RELAY  HP</t>
  </si>
  <si>
    <t xml:space="preserve">20</t>
  </si>
  <si>
    <t xml:space="preserve">AW 5222
HP-RELAY
10A 250 VAC 81223
BOX WITH 20 PIECES
TOTAL WEIGHT: 1,5 KG.
DIMENSION: 24 CM. X 13 CM. X 6 CM. (H)
The price quoted is for the box containing 20 pieces.
</t>
  </si>
  <si>
    <t xml:space="preserve">115400</t>
  </si>
  <si>
    <t xml:space="preserve">MATTSON</t>
  </si>
  <si>
    <t xml:space="preserve">RFS3019 </t>
  </si>
  <si>
    <t xml:space="preserve">RF MATCH ASIS</t>
  </si>
  <si>
    <t xml:space="preserve">80244</t>
  </si>
  <si>
    <t xml:space="preserve">MELLES GRIOT</t>
  </si>
  <si>
    <t xml:space="preserve">05-LHP-121</t>
  </si>
  <si>
    <t xml:space="preserve">HE NE Laser (Unused)</t>
  </si>
  <si>
    <t xml:space="preserve">New and Unused Melles Griot laser head, without the power supply.</t>
  </si>
  <si>
    <t xml:space="preserve">84374</t>
  </si>
  <si>
    <t xml:space="preserve">MICRON</t>
  </si>
  <si>
    <t xml:space="preserve">256 MB</t>
  </si>
  <si>
    <t xml:space="preserve">SYNCH</t>
  </si>
  <si>
    <t xml:space="preserve">MICRON  MT
PCI133U-333-542-A
WEIGHT: 30 GR.
DIMENSION: 13,5 X 0,1 CM X 3,5 (H)
</t>
  </si>
  <si>
    <t xml:space="preserve">84059</t>
  </si>
  <si>
    <t xml:space="preserve">MICROSPEED</t>
  </si>
  <si>
    <t xml:space="preserve">PD-250C</t>
  </si>
  <si>
    <t xml:space="preserve">PC-TRAC mouse</t>
  </si>
  <si>
    <t xml:space="preserve">FUUTB02</t>
  </si>
  <si>
    <t xml:space="preserve">M/D 9813
WEIGHT: 0,4 KG.
DIMENSION: 20 X 10 X 7 (H)
</t>
  </si>
  <si>
    <t xml:space="preserve">80265</t>
  </si>
  <si>
    <t xml:space="preserve">MILLIPORE</t>
  </si>
  <si>
    <t xml:space="preserve">FLUOROGARD-PLUS CWFA01PLV</t>
  </si>
  <si>
    <t xml:space="preserve">filter CARTRIDGE</t>
  </si>
  <si>
    <t xml:space="preserve">80260</t>
  </si>
  <si>
    <t xml:space="preserve">WGGB06WR1</t>
  </si>
  <si>
    <t xml:space="preserve">WAFERGARD IN-LINE GAS FILTER</t>
  </si>
  <si>
    <t xml:space="preserve">Retention rating: Gas 0.05 UM
1/4 INCH GASKET SEAL (VCR COMPATIBLE)</t>
  </si>
  <si>
    <t xml:space="preserve">80245</t>
  </si>
  <si>
    <t xml:space="preserve">MILLIPORE CORP</t>
  </si>
  <si>
    <t xml:space="preserve">WGFG01HR1</t>
  </si>
  <si>
    <t xml:space="preserve">WAFERGARD F MINI IN-LINE GAS FILTER</t>
  </si>
  <si>
    <t xml:space="preserve">I/4 Gasket Seal (VCR Compatible)</t>
  </si>
  <si>
    <t xml:space="preserve">82220</t>
  </si>
  <si>
    <t xml:space="preserve">Milton Roy</t>
  </si>
  <si>
    <t xml:space="preserve">AA761-65S</t>
  </si>
  <si>
    <t xml:space="preserve">Flow rate pump</t>
  </si>
  <si>
    <t xml:space="preserve">Milton Roy/LSI Flow metering pump
Flow-rate pump
Model AA761-65S
GHP 2.0 PSI 50
Good condition, removed from working system
sold as-is, where-is
Located in our Boerne, TX warehouse
</t>
  </si>
  <si>
    <t xml:space="preserve">83890</t>
  </si>
  <si>
    <t xml:space="preserve">MINERTIA MOTOR</t>
  </si>
  <si>
    <t xml:space="preserve">RM SERIES</t>
  </si>
  <si>
    <t xml:space="preserve">INDUCTION MOTOR</t>
  </si>
  <si>
    <t xml:space="preserve">WITH CABLE
UGRMEM-025KD11
P/N UTOPI-100SJK1
WEIGHT: KG.1
DIMENSION:12 CM. X 7 CM. X 17 CM. (H)
</t>
  </si>
  <si>
    <t xml:space="preserve">83812</t>
  </si>
  <si>
    <t xml:space="preserve">MOTOR ELECTRIC</t>
  </si>
  <si>
    <t xml:space="preserve">MOTOR ELECTRIC
UGRMEM-02SKD11
UTOPI-100SJK1
YASKAWA ELECTRIC CORPORATION
WEIGHT: 1 KG.
DIMENSION: 6 CM. X 6 CM. X 14 CM. (H)</t>
  </si>
  <si>
    <t xml:space="preserve">110337</t>
  </si>
  <si>
    <t xml:space="preserve">MISC</t>
  </si>
  <si>
    <t xml:space="preserve">BPS MATCH</t>
  </si>
  <si>
    <t xml:space="preserve">Sold Ex-Works, UK Office , Part Number:FIX MB KAI 800 BTS , Secondary 
P/N:102026212</t>
  </si>
  <si>
    <t xml:space="preserve">110340</t>
  </si>
  <si>
    <t xml:space="preserve">DC BIAS CONTROL</t>
  </si>
  <si>
    <t xml:space="preserve">Sold Ex-Works, UK Office , Part Number:3155022-001 C</t>
  </si>
  <si>
    <t xml:space="preserve">110339</t>
  </si>
  <si>
    <t xml:space="preserve">110338</t>
  </si>
  <si>
    <t xml:space="preserve">83554</t>
  </si>
  <si>
    <t xml:space="preserve">MITSUBISHI</t>
  </si>
  <si>
    <t xml:space="preserve">FR-Z120-0.4K</t>
  </si>
  <si>
    <t xml:space="preserve">PLC, INVERTER 200 V CLASS</t>
  </si>
  <si>
    <t xml:space="preserve">FREQROL-Z120</t>
  </si>
  <si>
    <t xml:space="preserve">TD840A566G51
POWER 0.4KW
SOURSE 200V/50Kz
200-230V/60Hz
OUTPUT 3A</t>
  </si>
  <si>
    <t xml:space="preserve">83638</t>
  </si>
  <si>
    <t xml:space="preserve">Melservo MR-C10A1-UE</t>
  </si>
  <si>
    <t xml:space="preserve">AC SERVO AMPLIFIER</t>
  </si>
  <si>
    <t xml:space="preserve">100-120 V</t>
  </si>
  <si>
    <t xml:space="preserve">1 PH
100-120 V
50/60 Hz
R54P31
AMP 100 W
100 V CE/UL
WEIGHT 0,7 KG.
DIMENSION: 17 CM. X 13 CM. X 6 CM. (H)</t>
  </si>
  <si>
    <t xml:space="preserve">83523</t>
  </si>
  <si>
    <t xml:space="preserve">MR-J10A1</t>
  </si>
  <si>
    <t xml:space="preserve">AC SERVO</t>
  </si>
  <si>
    <t xml:space="preserve">POWER 100 W</t>
  </si>
  <si>
    <t xml:space="preserve">AC IMPUT 100 V-115 V
50/Hz
OUTPUT 1.1A
</t>
  </si>
  <si>
    <t xml:space="preserve">114627</t>
  </si>
  <si>
    <t xml:space="preserve">MKS</t>
  </si>
  <si>
    <t xml:space="preserve">150R40A-D01</t>
  </si>
  <si>
    <t xml:space="preserve">EDGE GENERATOR [ASIS]</t>
  </si>
  <si>
    <t xml:space="preserve">114626</t>
  </si>
  <si>
    <t xml:space="preserve">114622</t>
  </si>
  <si>
    <t xml:space="preserve">114621</t>
  </si>
  <si>
    <t xml:space="preserve">74164</t>
  </si>
  <si>
    <t xml:space="preserve">154-0100P</t>
  </si>
  <si>
    <t xml:space="preserve">High Vacuum Valve, NEW</t>
  </si>
  <si>
    <t xml:space="preserve">New in a box, sealed Located in Boerne TX Warehouse
New in a box, still sealed in the original MFR bag.
Please ask if you have questions. Sold as-is, where-is, new.</t>
  </si>
  <si>
    <t xml:space="preserve">115361</t>
  </si>
  <si>
    <t xml:space="preserve">250R40A-G02</t>
  </si>
  <si>
    <t xml:space="preserve">EDGE GENERATOR</t>
  </si>
  <si>
    <t xml:space="preserve">115360</t>
  </si>
  <si>
    <t xml:space="preserve">115359</t>
  </si>
  <si>
    <t xml:space="preserve">115358</t>
  </si>
  <si>
    <t xml:space="preserve">77940</t>
  </si>
  <si>
    <t xml:space="preserve">627BX01MCC1B</t>
  </si>
  <si>
    <t xml:space="preserve">Baratron 1mbar (CAPACITANCE MANOMETER)</t>
  </si>
  <si>
    <t xml:space="preserve">     MKS Baratron 
+/- 15V DC
1mbar
  New in a box, sold as-is, where-is
Ships from our Boerne, TX Warehouse  </t>
  </si>
  <si>
    <t xml:space="preserve">87366</t>
  </si>
  <si>
    <t xml:space="preserve">653B-13064</t>
  </si>
  <si>
    <t xml:space="preserve">Type 653 Throttle Control Valve DN100 (4 INCH ID FLANGE)</t>
  </si>
  <si>
    <t xml:space="preserve">In used, good condition, 0-90deg. with valve position indicator.
See attached photos for details.
Pump-side flange: DN100 with Flange ID: 102mm (4 inch)
Pump-side flange OD: 165 mm (6.5 inch)
Top-Side flange: with Flange ID: 102 mm (4 inch)
Flange OD: 130 mm
Made in USA
PACKED WEIGHT AND DIMENSIONS IN A CARDBOARD BOX: 40 CM X 26 CM X 26.5 CM 
(H)
WEIGHT: 6.1 KG
Location: Avezzano (AQ) 67051 Italy</t>
  </si>
  <si>
    <t xml:space="preserve">115362</t>
  </si>
  <si>
    <t xml:space="preserve">6060A-18010</t>
  </si>
  <si>
    <t xml:space="preserve">115363</t>
  </si>
  <si>
    <t xml:space="preserve">6060A-G02</t>
  </si>
  <si>
    <t xml:space="preserve">115364</t>
  </si>
  <si>
    <t xml:space="preserve">EDGE GENERATOR – NOT WORKING</t>
  </si>
  <si>
    <t xml:space="preserve">115366</t>
  </si>
  <si>
    <t xml:space="preserve">AX7670-06</t>
  </si>
  <si>
    <t xml:space="preserve">AX7670-06 ASTRON  CONTROLLER [REFURBISHED]</t>
  </si>
  <si>
    <t xml:space="preserve">115365</t>
  </si>
  <si>
    <t xml:space="preserve">AX7670-06-R </t>
  </si>
  <si>
    <t xml:space="preserve">ASTRON  AX7670-06-R CONTROLLER [USED]</t>
  </si>
  <si>
    <t xml:space="preserve">115367</t>
  </si>
  <si>
    <t xml:space="preserve">AX7670-16</t>
  </si>
  <si>
    <t xml:space="preserve">AX7670-16 ASTRON  CONTROLLER [REFURBISHED]</t>
  </si>
  <si>
    <t xml:space="preserve">115368</t>
  </si>
  <si>
    <t xml:space="preserve">AX7690NOV-01</t>
  </si>
  <si>
    <t xml:space="preserve">AX7690NOV-01 (#1) 27-366349-00 REVOLUTION [ASIS]</t>
  </si>
  <si>
    <t xml:space="preserve">115369</t>
  </si>
  <si>
    <t xml:space="preserve">AX7690NOV-01 (#2) R27-366349-00 REVOLUTION [ASIS]</t>
  </si>
  <si>
    <t xml:space="preserve">115370</t>
  </si>
  <si>
    <t xml:space="preserve">AX8407LS-D </t>
  </si>
  <si>
    <t xml:space="preserve">COMPACT OZONE GENERATOR [ASIS]</t>
  </si>
  <si>
    <t xml:space="preserve">115371</t>
  </si>
  <si>
    <t xml:space="preserve">AX8560-1020 </t>
  </si>
  <si>
    <t xml:space="preserve">OZONE GENERATOR [ASIS]</t>
  </si>
  <si>
    <t xml:space="preserve">110341</t>
  </si>
  <si>
    <t xml:space="preserve">DCG 100E OPTIMA</t>
  </si>
  <si>
    <t xml:space="preserve">Sold Ex-Works, UK Office , Part Number:OPT-100E-12073</t>
  </si>
  <si>
    <t xml:space="preserve">115372</t>
  </si>
  <si>
    <t xml:space="preserve">FI80131 </t>
  </si>
  <si>
    <t xml:space="preserve">ASTRONEX CONTROLLER [ASIS]</t>
  </si>
  <si>
    <t xml:space="preserve">110345</t>
  </si>
  <si>
    <t xml:space="preserve">MW-5060</t>
  </si>
  <si>
    <t xml:space="preserve">Sold Ex-Works, UK Office , Part Number:MW-5060-01</t>
  </si>
  <si>
    <t xml:space="preserve">110344</t>
  </si>
  <si>
    <t xml:space="preserve">110343</t>
  </si>
  <si>
    <t xml:space="preserve">110342</t>
  </si>
  <si>
    <t xml:space="preserve">110346</t>
  </si>
  <si>
    <t xml:space="preserve">MWJ-1013</t>
  </si>
  <si>
    <t xml:space="preserve">69856</t>
  </si>
  <si>
    <t xml:space="preserve">Type 624</t>
  </si>
  <si>
    <t xml:space="preserve">Baratron pressure transducer with trip points, range 1000 Torr, CE</t>
  </si>
  <si>
    <t xml:space="preserve">range 1000 torr ce marked in working condition</t>
  </si>
  <si>
    <t xml:space="preserve">101024</t>
  </si>
  <si>
    <t xml:space="preserve">MKS Instruments</t>
  </si>
  <si>
    <t xml:space="preserve">162-0040K</t>
  </si>
  <si>
    <t xml:space="preserve">Inline Pneumatic Valve ISO-KF NW 40 flanges</t>
  </si>
  <si>
    <t xml:space="preserve">Available in our stock.
Please check pictures below for more information.</t>
  </si>
  <si>
    <t xml:space="preserve">84235</t>
  </si>
  <si>
    <t xml:space="preserve">Moeller</t>
  </si>
  <si>
    <t xml:space="preserve">Xpole PLSM-C10/1</t>
  </si>
  <si>
    <t xml:space="preserve">mini breaker switch</t>
  </si>
  <si>
    <t xml:space="preserve">Pack of qty 2 used breakers</t>
  </si>
  <si>
    <t xml:space="preserve">72156</t>
  </si>
  <si>
    <t xml:space="preserve">MRL</t>
  </si>
  <si>
    <t xml:space="preserve">Black Max</t>
  </si>
  <si>
    <t xml:space="preserve">Black max heater element, 850 celcius</t>
  </si>
  <si>
    <t xml:space="preserve">At the warehouse of Fabsurplus Italy, location Avezzano 67051 Italy.
Brand New.
Unused and in original packing materials.
Includes original certificate of compliance.
p/n 4000907451 rev 04
s/n 040020981061003
Shipping box size:  220 cm x 65 cm x 77 cm, weight approx. 100 KG
Heater size: L = 188 cm, OD = 38 cm, ID = 32.5 cm.
Date of certification: DEC 2006
</t>
  </si>
  <si>
    <t xml:space="preserve">84372</t>
  </si>
  <si>
    <t xml:space="preserve">MS PRG WO</t>
  </si>
  <si>
    <t xml:space="preserve">A9403789</t>
  </si>
  <si>
    <t xml:space="preserve">MOUSE MODEL No.240C</t>
  </si>
  <si>
    <t xml:space="preserve">MOUSE HQXAGM-240C
WEIGHT: 100 GR.
DIMENSION: 12 X 2 X 12,5 (H)
</t>
  </si>
  <si>
    <t xml:space="preserve">82230</t>
  </si>
  <si>
    <t xml:space="preserve">Muegge</t>
  </si>
  <si>
    <t xml:space="preserve">Controller, CAN controller, L/R sync</t>
  </si>
  <si>
    <t xml:space="preserve">  Used Muegge controller, CAN
Has L/R Sync inputs
Power input, 220V AC
500 K/bits/ CAN control
Removed from working system
sold as-is, where is,. located in our Boerne, TX warehouse
   </t>
  </si>
  <si>
    <t xml:space="preserve">79968</t>
  </si>
  <si>
    <t xml:space="preserve">MW2009D-260ED</t>
  </si>
  <si>
    <t xml:space="preserve">Magnetron Head 2.45GHZ</t>
  </si>
  <si>
    <t xml:space="preserve">Used Muegge Magnetron head, removed from a working tool in 2012, and placed 
in our Boerne, TX Warehouse. Sold as-is, where-is
Power Supply available separately</t>
  </si>
  <si>
    <t xml:space="preserve">106242</t>
  </si>
  <si>
    <t xml:space="preserve">MX4000D-110LL</t>
  </si>
  <si>
    <t xml:space="preserve">MICROWAVE POWER SUPPLY</t>
  </si>
  <si>
    <t xml:space="preserve">MUEGGE MICROWAVE P.S.U.
PULLED FROM A WORKING MACHINE
U: 3 X 400V I: 3 X 6A F: 50/60 HZ
PACKED WEIGHT AND DIMS 53 CM X 64 CM X 17 CM (H) WEIGHT 14 KG
Uam out: 3500 V  I OUT: 1.45A
qty 8 available.</t>
  </si>
  <si>
    <t xml:space="preserve">77197</t>
  </si>
  <si>
    <t xml:space="preserve">Nanyang</t>
  </si>
  <si>
    <t xml:space="preserve">Quartz wafer boat</t>
  </si>
  <si>
    <t xml:space="preserve">Shell boat 200mm quartz</t>
  </si>
  <si>
    <t xml:space="preserve">200mm</t>
  </si>
  <si>
    <t xml:space="preserve">New in the box, most are still sealed
Box of 6 each, price per box, or can be sold per each for $350
200mm Quartz Shellboat, Nanyang Equipment PTE LTD
Lower Rods Pitch width 0.9mm
Upper rods of V-shape slot grooves
 </t>
  </si>
  <si>
    <t xml:space="preserve">84369</t>
  </si>
  <si>
    <t xml:space="preserve">NC NOR-CAL PRODUCTS</t>
  </si>
  <si>
    <t xml:space="preserve">0995-16528</t>
  </si>
  <si>
    <t xml:space="preserve">CHEMRAZ O-RING INSIDE OF VALVE</t>
  </si>
  <si>
    <t xml:space="preserve">CHEMRAZ O-RINGINSIDE OF VALVE
NOR-CAL PRODUCTS
KELIUM LEAK CHECKED
WEIGHT:1,5 KG.
DIMENSION: 21,5 X 12 X 13</t>
  </si>
  <si>
    <t xml:space="preserve">83887</t>
  </si>
  <si>
    <t xml:space="preserve">NEC</t>
  </si>
  <si>
    <t xml:space="preserve">C1OT 6D TA 0100</t>
  </si>
  <si>
    <t xml:space="preserve">THERMOSTAT</t>
  </si>
  <si>
    <t xml:space="preserve">PARTS FOR CURE OVEN
THERMOSTAT
YAMATAKE
ITEM N° 96D01561-3-10
WEIGHT: 200 GR.
DIMENSION: 14 CM. X 6 CM. X 6 CM. (H)
</t>
  </si>
  <si>
    <t xml:space="preserve">83889</t>
  </si>
  <si>
    <t xml:space="preserve">MF300-02</t>
  </si>
  <si>
    <t xml:space="preserve">MIST FILTER</t>
  </si>
  <si>
    <t xml:space="preserve">9.5 KGF/CM
5-60°C
MF300
WEIGHT: 500 GR.
DIMENSION: 16 CM. X 7 CM. X 8 CM. (H)</t>
  </si>
  <si>
    <t xml:space="preserve">83888</t>
  </si>
  <si>
    <t xml:space="preserve">MU1238B-11B</t>
  </si>
  <si>
    <t xml:space="preserve">AIRFLOW ROTATION</t>
  </si>
  <si>
    <t xml:space="preserve">AC 100V
50/60Hz
100/200V
12.5/11.5W
ORIENTAL MOTOR
WEIGHT: 500 GR.
DIMENSION: 14 CM. X 14 CM. X 6 CM. (H)</t>
  </si>
  <si>
    <t xml:space="preserve">83545</t>
  </si>
  <si>
    <t xml:space="preserve">Nemic-LAMBDA</t>
  </si>
  <si>
    <t xml:space="preserve">CKD-65/65</t>
  </si>
  <si>
    <t xml:space="preserve">65V 6A DC Regulated power supply FOR Advantest T5335P</t>
  </si>
  <si>
    <t xml:space="preserve">Removed from working service from Advantest T5335P tester
 CKD-65/65  power supply
TOJ-808K83-0076-P227
 </t>
  </si>
  <si>
    <t xml:space="preserve">74168</t>
  </si>
  <si>
    <t xml:space="preserve">Neslab</t>
  </si>
  <si>
    <t xml:space="preserve">RTE-110</t>
  </si>
  <si>
    <t xml:space="preserve">Benchtop Laboratory chiller</t>
  </si>
  <si>
    <t xml:space="preserve">Used Neslab RTE-110 laboratory chiller.
Tested - Powers Up OK -  Recirculator pump running - 110VAC mains supply 
only. See photos attached.
The Endocal RTE-Series Refrigerated Bath/Circulators are designed to
provide temperature control for applications requiring a fluid work area or
pumping to an external system.
The units consist of an air-cooled refrigeration system, circulation pump,
stainless steel bath, a work area cover, and a temperature controller.
Specifications
Temperature Range -25°C to +100°C
(Basic controller)
Temperature Stability (SEE NOTES 1,2) ±0.1°C
Temperature Stability (SEE NOTES 1,3) ±0.01°C
Cooling Capacity (SEE NOTES 1,4)
&gt;500 watts at +20°C
&gt;300 watts at 0°C
&gt;175 watts at -10°C
NOTES
1. Specifications listed for units operating at +20°C bath temperature, 
+21°C (+70°F) ambient,with tap water as bath fluid.
2. Temperature stability of units with a Basic temperature controller.
3. Temperature stability of units with an Analog, Digital or Programmable 
temperature controller.
4. 60 Hz units. Derate cooling capacity 17% for 50 Hz units.
Heater (Watts) 800
Bath Work Area
(H x W x D)
Inches 5 x 5 x 5.75
Centimeters 12.7 x 12.7 x 14.6
Bath Volume
Gallons 1.3
Liters 5.0
Unit Dimensions
(H x W x D)
Inches 20 x 8.785 x 12.375
Centimeters 49.8 x 22.5 x 31.4
Weight
Kilograms  27
Location: Avezzano 67051 (AQ) Italy
PACKED WEIGHT AND DIMENSIONS IN CARDBOARD BOX: 27 KG, 39 CM X 53 CM X 43 CM 
(H)</t>
  </si>
  <si>
    <t xml:space="preserve">32206</t>
  </si>
  <si>
    <t xml:space="preserve">NIKON</t>
  </si>
  <si>
    <t xml:space="preserve">RETICLE BOX 5 INCH</t>
  </si>
  <si>
    <t xml:space="preserve">5 INCH RETICLE BOX</t>
  </si>
  <si>
    <t xml:space="preserve">5 INCH</t>
  </si>
  <si>
    <t xml:space="preserve">SEALED IN DOUBLE PLASTIC BAGS AND CLEANED.IN ITALY</t>
  </si>
  <si>
    <t xml:space="preserve">105870</t>
  </si>
  <si>
    <t xml:space="preserve">Nisshin</t>
  </si>
  <si>
    <t xml:space="preserve">0-1 kgf/cm2</t>
  </si>
  <si>
    <t xml:space="preserve">pressure gauge</t>
  </si>
  <si>
    <t xml:space="preserve">105869</t>
  </si>
  <si>
    <t xml:space="preserve">0-76 cmHg</t>
  </si>
  <si>
    <t xml:space="preserve">vacuum gauge</t>
  </si>
  <si>
    <t xml:space="preserve">105868</t>
  </si>
  <si>
    <t xml:space="preserve">4 kgf/cm2</t>
  </si>
  <si>
    <t xml:space="preserve">105867</t>
  </si>
  <si>
    <t xml:space="preserve">7 kgf/cm2</t>
  </si>
  <si>
    <t xml:space="preserve">83906</t>
  </si>
  <si>
    <t xml:space="preserve">NITROGEN</t>
  </si>
  <si>
    <t xml:space="preserve">PRESSURE VALVE</t>
  </si>
  <si>
    <t xml:space="preserve">VACUUM
WEIGHT: GR.800
DIMENSION: 10 CM. X 12 CM. X  6 CM. (H)</t>
  </si>
  <si>
    <t xml:space="preserve">83628</t>
  </si>
  <si>
    <t xml:space="preserve">NITSUKO</t>
  </si>
  <si>
    <t xml:space="preserve">BCR 2600/BCV 5050</t>
  </si>
  <si>
    <t xml:space="preserve">
BARCODE READER BCR 2600 SERIES
POWER SUPPLY BCV 5050 SERIES
NEW IN BOX
WEIGHT: 2,6 KG.
DIMENSION: 20 CM.X 18 CM.X 25 CM.(H)
3 PIECES
FEATURES
Microminiaturized bar code reader with built-in decoder, slightly larger 
than a deck of cards.
Various manufacturing lines such as semi-conductor manufacturing, 
warehousing distribution systems or robotic lines with automated bar code 
readers, need the small and lightweight sensor-like bar code readers like 
DENSEI's BCR2600. The BCR2600 series was developed by DENSEI, a leading 
manufacturer of bar code readers for factory automation. It is based on 
DENSEI's high technological capabilities and years of experience. The newly 
released BCR2600 series was designed with microminiaturization, lightweight 
and built-in decoding and requires limited space for installation.
    * Miniaturized For Space Limited Installations
      Designed with sensor-like construction, microminiaturization (90H x
      55W x 30D mm (3.5H x 2.2W x 1.2D in) and weighing only 210g (7.4
      oz.), it is a small-scale system, free of restructions in
      installation space, thus saving valuable floor space.
    * Unaffected By Bar Code Print Quality
      Using a 15-raster scan system (irradiation angle: 10 deg; 15 beams in
      a scan width of 10mm (0.4in) and at a depth-of-field of 120mm
      (4.7in), and the BCR2600 is able to read even bar codes of poor
      quality (e.g. blurs, voids and spots).
    * Available For High-Density Bar Codes
      The BCR2600 is capable of reading a narrow bar, 0.15mm (5.9mils)
      minimum, allowing the use of high-density bar codes (32 digits),
      containing more information than usual.
    * Adaptable For Many Data Collection Systems
      The BCR2600, with nonvolatile memory in the main body, can be set to
      any of 30 function modes with the optional special controller. It
      will automatically select a suitable depth-of-field (from 90mm +/- 40
      (3.5in +/- 1.6) for short depth-of-field to 180mm +/- 50 (7.1 in +/-
      2) for long depth-of-field), thus making the BCR2600 adaptable to a
      wide variety of conditions.
    * Usable In A Clean Room
      The BCR2600 uses a dust-free enclosure, allowing its use in a clean
      room of class 1 (0.1 m)
    * Network
      An optional special controller can be used to transfer the data via
      an RS-232C interface to the host computer, by connecting up to 31 bar
      code readers (BCR2600) through RS-485 interfaces. It can operate up
      to a distance of 1 km (0.6mi) maximum. With the combined use of
      BCR2600 readers and the controller one can easily build up a
      customized net work system.
    * Applications
      Data collection from the semiconductor manufacturing lines in a clean
      room. Data collection from the robot operating area in a robot line.
      Data collection from the production instruction/control unit in a
      multi-product facility. Data collection from the automated sorting
      and screening equipment in a distribution and carrier system. Data
      collection from an analytical system such as medical analysis
      systems, etc.
 </t>
  </si>
  <si>
    <t xml:space="preserve">32214</t>
  </si>
  <si>
    <t xml:space="preserve">Nitto</t>
  </si>
  <si>
    <t xml:space="preserve">44941001</t>
  </si>
  <si>
    <t xml:space="preserve">TAPE SPOOL</t>
  </si>
  <si>
    <t xml:space="preserve">32210</t>
  </si>
  <si>
    <t xml:space="preserve">HR8500-2</t>
  </si>
  <si>
    <t xml:space="preserve">INSTRUCTION MANUAL</t>
  </si>
  <si>
    <t xml:space="preserve">INSTRUCTIO MANUAL FOR HR-8500-2</t>
  </si>
  <si>
    <t xml:space="preserve">83597</t>
  </si>
  <si>
    <t xml:space="preserve">TT1R2-1</t>
  </si>
  <si>
    <t xml:space="preserve">teach pendant for robot TT1R2-1</t>
  </si>
  <si>
    <t xml:space="preserve">teach pendant for Nitto HR and DR 8500 tapers and detapers. TOL-O-Matic 
Hand Held Programmer TT1R2-1
Also used for Cybeq robot controllers.
this one is without cable, a few minor scratches, but good used working 
condition
</t>
  </si>
  <si>
    <t xml:space="preserve">70301</t>
  </si>
  <si>
    <t xml:space="preserve">NK</t>
  </si>
  <si>
    <t xml:space="preserve">RM 120</t>
  </si>
  <si>
    <t xml:space="preserve">REAL TIME  MONITOR</t>
  </si>
  <si>
    <t xml:space="preserve">FOR EBARA FREX 200. IN WORKING CONDITION. SEE PHOTOS FOR DETAILS.
LOCATED IN AVEZZANO 67051 ITALY.</t>
  </si>
  <si>
    <t xml:space="preserve">110357</t>
  </si>
  <si>
    <t xml:space="preserve">Nordson</t>
  </si>
  <si>
    <t xml:space="preserve">Matchbox</t>
  </si>
  <si>
    <t xml:space="preserve">110356</t>
  </si>
  <si>
    <t xml:space="preserve">110355</t>
  </si>
  <si>
    <t xml:space="preserve">110354</t>
  </si>
  <si>
    <t xml:space="preserve">110353</t>
  </si>
  <si>
    <t xml:space="preserve">110352</t>
  </si>
  <si>
    <t xml:space="preserve">110351</t>
  </si>
  <si>
    <t xml:space="preserve">110350</t>
  </si>
  <si>
    <t xml:space="preserve">110349</t>
  </si>
  <si>
    <t xml:space="preserve">110348</t>
  </si>
  <si>
    <t xml:space="preserve">110347</t>
  </si>
  <si>
    <t xml:space="preserve">70300</t>
  </si>
  <si>
    <t xml:space="preserve">Novascan</t>
  </si>
  <si>
    <t xml:space="preserve">945-00666-00</t>
  </si>
  <si>
    <t xml:space="preserve">HALOGEN LAMP</t>
  </si>
  <si>
    <t xml:space="preserve">115307</t>
  </si>
  <si>
    <t xml:space="preserve">NSK</t>
  </si>
  <si>
    <t xml:space="preserve">ELA-B030EF1-02</t>
  </si>
  <si>
    <t xml:space="preserve">DRIVER  USED   </t>
  </si>
  <si>
    <t xml:space="preserve">115308</t>
  </si>
  <si>
    <t xml:space="preserve">EMB014CF1-03</t>
  </si>
  <si>
    <t xml:space="preserve">DRIVER  ASIS]  </t>
  </si>
  <si>
    <t xml:space="preserve">115309</t>
  </si>
  <si>
    <t xml:space="preserve">EMB014CF1-04</t>
  </si>
  <si>
    <t xml:space="preserve">(WITHOUT BOLT) DRIVER  USED </t>
  </si>
  <si>
    <t xml:space="preserve">115310</t>
  </si>
  <si>
    <t xml:space="preserve">EMLYB2C13-05</t>
  </si>
  <si>
    <t xml:space="preserve">115311</t>
  </si>
  <si>
    <t xml:space="preserve">EMLZ10CF1-04</t>
  </si>
  <si>
    <t xml:space="preserve">115312</t>
  </si>
  <si>
    <t xml:space="preserve">ES2020C23-03</t>
  </si>
  <si>
    <t xml:space="preserve">115313</t>
  </si>
  <si>
    <t xml:space="preserve">ESA-0608AF6-21.1</t>
  </si>
  <si>
    <t xml:space="preserve">115314</t>
  </si>
  <si>
    <t xml:space="preserve">ESA-1410AF4-21.1</t>
  </si>
  <si>
    <t xml:space="preserve">(UNCLEAN) DRVIER  USED  </t>
  </si>
  <si>
    <t xml:space="preserve">115315</t>
  </si>
  <si>
    <t xml:space="preserve">ESA-B014T25-21</t>
  </si>
  <si>
    <t xml:space="preserve">115316</t>
  </si>
  <si>
    <t xml:space="preserve">ESA-B014T25-31</t>
  </si>
  <si>
    <t xml:space="preserve">115317</t>
  </si>
  <si>
    <t xml:space="preserve">ESA-J2006A23-21.1</t>
  </si>
  <si>
    <t xml:space="preserve">115318</t>
  </si>
  <si>
    <t xml:space="preserve">ESA-J2006A23-31</t>
  </si>
  <si>
    <t xml:space="preserve">115319</t>
  </si>
  <si>
    <t xml:space="preserve">ESA-J2006DF1-22</t>
  </si>
  <si>
    <t xml:space="preserve">(UNCLEAN) DRIVER  USED  </t>
  </si>
  <si>
    <t xml:space="preserve">115320</t>
  </si>
  <si>
    <t xml:space="preserve">ESA-LYB3C13-21</t>
  </si>
  <si>
    <t xml:space="preserve">115321</t>
  </si>
  <si>
    <t xml:space="preserve">ESA-Y2020A23-21</t>
  </si>
  <si>
    <t xml:space="preserve">DRVIER  USED   </t>
  </si>
  <si>
    <t xml:space="preserve">115322</t>
  </si>
  <si>
    <t xml:space="preserve">ESA-Y3040C25-21</t>
  </si>
  <si>
    <t xml:space="preserve">115323</t>
  </si>
  <si>
    <t xml:space="preserve">ESB-YS2005C23F2-03</t>
  </si>
  <si>
    <t xml:space="preserve">115324</t>
  </si>
  <si>
    <t xml:space="preserve">ESB-YSB5120ABC00-03</t>
  </si>
  <si>
    <t xml:space="preserve">115325</t>
  </si>
  <si>
    <t xml:space="preserve">ESLYB3A13-04</t>
  </si>
  <si>
    <t xml:space="preserve">115326</t>
  </si>
  <si>
    <t xml:space="preserve">EXA1A30C00B-03</t>
  </si>
  <si>
    <t xml:space="preserve">115327</t>
  </si>
  <si>
    <t xml:space="preserve">JS2006FN001</t>
  </si>
  <si>
    <t xml:space="preserve">CABLE MOTOR  USED  </t>
  </si>
  <si>
    <t xml:space="preserve">115328</t>
  </si>
  <si>
    <t xml:space="preserve">M-JSG014DN503</t>
  </si>
  <si>
    <t xml:space="preserve">MOTOR  ASIS]  </t>
  </si>
  <si>
    <t xml:space="preserve">115329</t>
  </si>
  <si>
    <t xml:space="preserve">M-PS1018KN002</t>
  </si>
  <si>
    <t xml:space="preserve">(CUT CABLE) MOTOR  USED </t>
  </si>
  <si>
    <t xml:space="preserve">115330</t>
  </si>
  <si>
    <t xml:space="preserve">RS0604FN002</t>
  </si>
  <si>
    <t xml:space="preserve">(UNCLEAN) MOTOR  USED  </t>
  </si>
  <si>
    <t xml:space="preserve">115331</t>
  </si>
  <si>
    <t xml:space="preserve">RS0608FN001</t>
  </si>
  <si>
    <t xml:space="preserve">115332</t>
  </si>
  <si>
    <t xml:space="preserve">MOTOR  USED   </t>
  </si>
  <si>
    <t xml:space="preserve">115333</t>
  </si>
  <si>
    <t xml:space="preserve">RS0608FN002</t>
  </si>
  <si>
    <t xml:space="preserve">(BROKEN) MOTOR  USED  </t>
  </si>
  <si>
    <t xml:space="preserve">115334</t>
  </si>
  <si>
    <t xml:space="preserve">RZ0608FN901</t>
  </si>
  <si>
    <t xml:space="preserve">115335</t>
  </si>
  <si>
    <t xml:space="preserve">YS2020FN001</t>
  </si>
  <si>
    <t xml:space="preserve">115336</t>
  </si>
  <si>
    <t xml:space="preserve">115337</t>
  </si>
  <si>
    <t xml:space="preserve">YS3040FN501</t>
  </si>
  <si>
    <t xml:space="preserve">MOTOR  USED </t>
  </si>
  <si>
    <t xml:space="preserve">83552</t>
  </si>
  <si>
    <t xml:space="preserve">NSK GLOBAL LTD</t>
  </si>
  <si>
    <t xml:space="preserve">MAEBASHI PLANT</t>
  </si>
  <si>
    <t xml:space="preserve">BALL SCREW</t>
  </si>
  <si>
    <t xml:space="preserve">W1201-112P</t>
  </si>
  <si>
    <t xml:space="preserve">200 FOR ALL 4 PIECES</t>
  </si>
  <si>
    <t xml:space="preserve">103387</t>
  </si>
  <si>
    <t xml:space="preserve">Nuclear Elettronica</t>
  </si>
  <si>
    <t xml:space="preserve">312E.44L REV A</t>
  </si>
  <si>
    <t xml:space="preserve">Dual Power Supply, +/- 15V / 1A</t>
  </si>
  <si>
    <t xml:space="preserve">Input 230 VAC +/- 10% Irms 1A
Output A 15V / 1A
Output B 15V / 1A
In stock and ready to ship from our Avezzano (AQ) 67051 Italy warehouse</t>
  </si>
  <si>
    <t xml:space="preserve">103384</t>
  </si>
  <si>
    <t xml:space="preserve">314E 5/12 - 6/2 rev A</t>
  </si>
  <si>
    <t xml:space="preserve">Power Supply, 5V/12A - 6V/2A</t>
  </si>
  <si>
    <t xml:space="preserve">Input 230 VAC +/- 10% Irms 1A
Va 5V /12A
Vb 6V / 2A
In stock and ready to ship from our Avezzano (AQ) 67051 Italy warehouse</t>
  </si>
  <si>
    <t xml:space="preserve">103385</t>
  </si>
  <si>
    <t xml:space="preserve">314E.100 REV A</t>
  </si>
  <si>
    <t xml:space="preserve">Power Supply, 5V/20A</t>
  </si>
  <si>
    <t xml:space="preserve">Input 230 VAC +/- 10% Irms 1A
Output 4.5 - 5.5 V
In stock and ready to ship from our Avezzano (AQ) 67051 Italy warehouse</t>
  </si>
  <si>
    <t xml:space="preserve">83916</t>
  </si>
  <si>
    <t xml:space="preserve">NUPRO</t>
  </si>
  <si>
    <t xml:space="preserve">7 MICRON</t>
  </si>
  <si>
    <t xml:space="preserve">WEIGHT:GR. 125
DIMENSION: CM. 8 X CM. 2 X CM. 2</t>
  </si>
  <si>
    <t xml:space="preserve">83917</t>
  </si>
  <si>
    <t xml:space="preserve">107</t>
  </si>
  <si>
    <t xml:space="preserve">WEIGHT:GR. 125
DIMENSION: CM. 12 X CM. 2 X CM. 2</t>
  </si>
  <si>
    <t xml:space="preserve">83905</t>
  </si>
  <si>
    <t xml:space="preserve">SS-4BK-V51</t>
  </si>
  <si>
    <t xml:space="preserve">REGULATOR PRESSURE</t>
  </si>
  <si>
    <t xml:space="preserve">IPE 4
WEIGHT: GR.300
DIMENSION: 7 CM. X 3 CM. X 10 CM. (H)</t>
  </si>
  <si>
    <t xml:space="preserve">83914</t>
  </si>
  <si>
    <t xml:space="preserve">SS-4R3A1-</t>
  </si>
  <si>
    <t xml:space="preserve">TUBE FITTINGS &amp; VALVE</t>
  </si>
  <si>
    <t xml:space="preserve">WEIGHT GR.250
DIMENSION: 9 CM. X 2,3 CM. X 5 CM. (H)</t>
  </si>
  <si>
    <t xml:space="preserve">102638</t>
  </si>
  <si>
    <t xml:space="preserve">Olympus</t>
  </si>
  <si>
    <t xml:space="preserve">BA124L001</t>
  </si>
  <si>
    <t xml:space="preserve">DC MOTOR W/ D500 GEAR HEAD</t>
  </si>
  <si>
    <t xml:space="preserve">In Avezzano, Italy. See attached photos for details of condition.</t>
  </si>
  <si>
    <t xml:space="preserve">102639</t>
  </si>
  <si>
    <t xml:space="preserve">65934</t>
  </si>
  <si>
    <t xml:space="preserve">BH2-UMA</t>
  </si>
  <si>
    <t xml:space="preserve">BRIGHTFIELD / DARKFIELD REFLECTED LIGHT ILLUMINATOR FOR THE BH SERIES MICROSCOPES</t>
  </si>
  <si>
    <t xml:space="preserve">Good condition
please ask if you have questions
Universal Vertical illuminator
OLYMPUS BH2-UMA BRIGHTFIELD / DARKFIELD REFLECTED LIGHT ILLUMINATOR FOR THE 
BH SERIES MICROSCOPES</t>
  </si>
  <si>
    <t xml:space="preserve">106201</t>
  </si>
  <si>
    <t xml:space="preserve">BH3 (Parts)</t>
  </si>
  <si>
    <t xml:space="preserve">Camera adapter and illuminator for Microscope</t>
  </si>
  <si>
    <t xml:space="preserve">-The camera mount fits a Sony FC711 CCD Camera
-Includes illuminator
-SEE PHOTOS FOR DETAILS
PACKED DIMENSIONS: 22 CM X 18 CM X 24 CM (H)
PACKED WEIGHT: 1 KG</t>
  </si>
  <si>
    <t xml:space="preserve">80254</t>
  </si>
  <si>
    <t xml:space="preserve">OLYMPUS</t>
  </si>
  <si>
    <t xml:space="preserve">DBAP-FA-Z</t>
  </si>
  <si>
    <t xml:space="preserve">SERVO DRIVER</t>
  </si>
  <si>
    <t xml:space="preserve">30W 500 PPR</t>
  </si>
  <si>
    <t xml:space="preserve">106190</t>
  </si>
  <si>
    <t xml:space="preserve">LH50A</t>
  </si>
  <si>
    <t xml:space="preserve">Microscope illuminator, 50W 12 V</t>
  </si>
  <si>
    <t xml:space="preserve">-In excellent condition
-removed from a working KLA 7700M inspection system
-see attached photos for details</t>
  </si>
  <si>
    <t xml:space="preserve">83835</t>
  </si>
  <si>
    <t xml:space="preserve">WHK 10X/20L-H</t>
  </si>
  <si>
    <t xml:space="preserve">EYEPIECES FOR TRINOCULAR MICROSCOPE</t>
  </si>
  <si>
    <t xml:space="preserve">TWO LENS
1: WHK 10X/20 L-H
2: WHK 10X20 L </t>
  </si>
  <si>
    <t xml:space="preserve">80247</t>
  </si>
  <si>
    <t xml:space="preserve">Olympus Optical</t>
  </si>
  <si>
    <t xml:space="preserve">DBAP-FA-Z GA</t>
  </si>
  <si>
    <t xml:space="preserve">Servo Driver</t>
  </si>
  <si>
    <t xml:space="preserve">Used Olympus Optical servo driver board, sold as-is, good condition, 
located in our Avezzano, Italy warehouse.</t>
  </si>
  <si>
    <t xml:space="preserve">106896</t>
  </si>
  <si>
    <t xml:space="preserve">Omniguard</t>
  </si>
  <si>
    <t xml:space="preserve">860UV-IR</t>
  </si>
  <si>
    <t xml:space="preserve">UV-IR Fire detector, w/ mount</t>
  </si>
  <si>
    <t xml:space="preserve">Omniguard UV-IR Fire detector, qty 2 immediately available, like new.
CE Marked
Omniguard part number 860-10100
NEMA 4 RAINTIGHT
SUITABLE FOR CL. 1 GROUP B.C.D
CL. II GROUP E,F,G
I/P VOLTAGE: 20-32 VDC
STDBY 90 mA
ALARM: 110 mA
TEST: 250 mA
Contact Rating: 2A AT 30 VDC RESISTIVE
0-20mA CURRENT LOOP OUTPUT
TEMP RANGE: MINUS 40 C TO PLUS 85 C
FM APPROVED
MEGGITT AVIONICS INC, MANCHESTER N.H. USA
MFR 58880 3981105-05 REV C
Ships from Avezzano, 67051, Italy warehouse  
DIMENSIONS OF QTY 2 IN CARDBOARD  BOX: 55 CM X 37 CM X 28 CM H
WEIGHT 8KG</t>
  </si>
  <si>
    <t xml:space="preserve">84399</t>
  </si>
  <si>
    <t xml:space="preserve">OMRON</t>
  </si>
  <si>
    <t xml:space="preserve">E2E-C1C1</t>
  </si>
  <si>
    <t xml:space="preserve">PROXIMITY SWITCH</t>
  </si>
  <si>
    <t xml:space="preserve">PROXIMITY SWITCH
E2E-C1C1
VOLTS 12 TO 24 VDC
WEIGHT: 150 GR.
DIMENSION: 9 X 5 X 6  (H) </t>
  </si>
  <si>
    <t xml:space="preserve">84404</t>
  </si>
  <si>
    <t xml:space="preserve">E3C--JC4</t>
  </si>
  <si>
    <t xml:space="preserve">AMPLIFIER UNIT</t>
  </si>
  <si>
    <t xml:space="preserve">AMPLIFIER UNIT
VOLTS 12 TO 24 VDC
WEIGHT: 120 GR.
DIMENSION: 13 X 5 X 5  (H) </t>
  </si>
  <si>
    <t xml:space="preserve">84395</t>
  </si>
  <si>
    <t xml:space="preserve">E3C-C</t>
  </si>
  <si>
    <t xml:space="preserve">PHOTOELECTRIC SWITCH</t>
  </si>
  <si>
    <t xml:space="preserve">PHOTOELECTRICS SWITCH
AMPLIFIER UNIT
VOLTS 100-240 VAC
WEIGHT: 350 GR.
DIMENSION: 14,5 X 6 X 6 (H)</t>
  </si>
  <si>
    <t xml:space="preserve">84386</t>
  </si>
  <si>
    <t xml:space="preserve">E3C-DM2R 2 M</t>
  </si>
  <si>
    <t xml:space="preserve">2 m</t>
  </si>
  <si>
    <t xml:space="preserve">LOT No.0345G
LOT No.0345G
LOT No.2964G
VOLTS C6 A247
WEIGHT: 120 GR.
DIMENSION: 15 X 6 X 3,5 (H) FOR EACH</t>
  </si>
  <si>
    <t xml:space="preserve">84401</t>
  </si>
  <si>
    <t xml:space="preserve">E3C-JC4P</t>
  </si>
  <si>
    <t xml:space="preserve">PHOTO ELECTRIC SWITCH</t>
  </si>
  <si>
    <t xml:space="preserve">PHOTO ELECTRIC SWITCH
VOLTS 12 TO 24 VDC
2 M
WEIGHT: 120 GR.
DIMENSION: 13 X 5 X 5  (H) </t>
  </si>
  <si>
    <t xml:space="preserve">84403</t>
  </si>
  <si>
    <t xml:space="preserve">E3HT--DS3E2</t>
  </si>
  <si>
    <t xml:space="preserve">PHOTO ELECTRIC SENSOR</t>
  </si>
  <si>
    <t xml:space="preserve">84397</t>
  </si>
  <si>
    <t xml:space="preserve">E3S-X3CE4</t>
  </si>
  <si>
    <t xml:space="preserve">TEMPERATURE CONTROLLER</t>
  </si>
  <si>
    <t xml:space="preserve">
WEIGHT: 200 GR.
DIMENSION: 13 X 5 X  (H) FOR EACH</t>
  </si>
  <si>
    <t xml:space="preserve">84400</t>
  </si>
  <si>
    <t xml:space="preserve">E3S-XE1</t>
  </si>
  <si>
    <t xml:space="preserve">PHOTO ELECTRIC SWITCH
E3S-XE1
WEIGHT: 150 GR.
DIMENSION: 13 X 5 X 5  (H) </t>
  </si>
  <si>
    <t xml:space="preserve">84402</t>
  </si>
  <si>
    <t xml:space="preserve">E3X-A11</t>
  </si>
  <si>
    <t xml:space="preserve">PHOTO ELECTRIC SWITCH
VOLTS 10 TO 30 VDC
2 M
WEIGHT: 120 GR.
DIMENSION: 13 X 5 X 5  (H) </t>
  </si>
  <si>
    <t xml:space="preserve">84398</t>
  </si>
  <si>
    <t xml:space="preserve">E3XR-CE4</t>
  </si>
  <si>
    <t xml:space="preserve">AMPLIFIER UNIT
E3XR-CE4
VOLTS 12 TO 24 VDC
WEIGHT: 120 GR.
DIMENSION: 13 X 5 X  (H) FOR EACH</t>
  </si>
  <si>
    <t xml:space="preserve">84396</t>
  </si>
  <si>
    <t xml:space="preserve">E5CJ</t>
  </si>
  <si>
    <t xml:space="preserve">MULTI RANGE</t>
  </si>
  <si>
    <t xml:space="preserve">Q2-G
VOLTS 100 TO 240 V AC
FREQ. 50/60 Hz
WEIGHT: 200 GR.
DIMENSION: 13 X 6 X 6 (H)</t>
  </si>
  <si>
    <t xml:space="preserve">84406</t>
  </si>
  <si>
    <t xml:space="preserve">E32-TC200A</t>
  </si>
  <si>
    <t xml:space="preserve">PHOTO ELECTRIC SWITCH
VOLTS 12 TO 24 VDC
WEIGHT: 100 GR.
DIMENSION: 11 X 11 X 2  (H) </t>
  </si>
  <si>
    <t xml:space="preserve">84405</t>
  </si>
  <si>
    <t xml:space="preserve">EE-SPW321</t>
  </si>
  <si>
    <t xml:space="preserve">PHOTO MICROSENSOR</t>
  </si>
  <si>
    <t xml:space="preserve">PHOTO MICROSENSOR
VOLTS 12 TO 24 VDC
WEIGHT: 120 GR.
DIMENSION: 11 X 11 X 2,5  (H) </t>
  </si>
  <si>
    <t xml:space="preserve">13195</t>
  </si>
  <si>
    <t xml:space="preserve">r88d-ua02ha</t>
  </si>
  <si>
    <t xml:space="preserve">servo driver</t>
  </si>
  <si>
    <t xml:space="preserve">NEW IN BOX
AC SERVO DRIVER 220V 30W</t>
  </si>
  <si>
    <t xml:space="preserve">83886</t>
  </si>
  <si>
    <t xml:space="preserve">TL-W5WC2</t>
  </si>
  <si>
    <t xml:space="preserve">TL-W5MC2
753C
PROXIMITY SENSOR
VOLTS:12 TO 24 VDC
LOT No. 0785C
2 METRE
WEIGHT: 50 GR.
DIMENSION BOX: 9 CM. X 9 CM. X 6 CM. (H)
</t>
  </si>
  <si>
    <t xml:space="preserve">21666</t>
  </si>
  <si>
    <t xml:space="preserve">ONE AC CORP</t>
  </si>
  <si>
    <t xml:space="preserve">FMV 321S</t>
  </si>
  <si>
    <t xml:space="preserve">TRANSFORMER FOR KLA 7700 SERIES PSU</t>
  </si>
  <si>
    <t xml:space="preserve">I/P 100-120-200-220-240 V OP 120V AC 12 A 30 day return warranty</t>
  </si>
  <si>
    <t xml:space="preserve">21123</t>
  </si>
  <si>
    <t xml:space="preserve">ORIEL</t>
  </si>
  <si>
    <t xml:space="preserve">68805</t>
  </si>
  <si>
    <t xml:space="preserve">POWER SUPPLY 40-200 WATTS  FOR MERCURY ARC LAMP</t>
  </si>
  <si>
    <t xml:space="preserve">UNIVERSAL POWER SUPPLY 40-200 WATTS AND LAMP HOUSE FOR MERCURY ARC LAMP. 
LAMP HOUSE INCLUDES FOCUS MECHANISM AND UV FILTER 220V/115V SWITCHABLE 10A 
POWER SUPPLY 31CM X 41 CM X 14 CM, 5 KG LAMP HOUSE 13CM X 26 CM X 30 CM8 K 
2 KG
WEIGHT 8 KG.</t>
  </si>
  <si>
    <t xml:space="preserve">83620</t>
  </si>
  <si>
    <t xml:space="preserve">ULTRAVIOLET LIGHT - LAMP HOUSING</t>
  </si>
  <si>
    <t xml:space="preserve">LAMP HOUSE FOR MERCURY ARC LAMP. LAMP HOUSE INCLUDES FOCUS MECHANISM AND UV 
FILTER
LAMP HOUSE 13CM X 26 CM X 30 CM K 2 KG
ALSO AVAILABLE - POWER SUPPLY FOR THIS LAMP HOUSE.
SEE SDI ID 21123</t>
  </si>
  <si>
    <t xml:space="preserve">83809</t>
  </si>
  <si>
    <t xml:space="preserve">ORIENTAL MOTOR</t>
  </si>
  <si>
    <t xml:space="preserve">2IK6GK-A</t>
  </si>
  <si>
    <t xml:space="preserve">INDICTION MOTOR
MOTOR,ELECRIC
6 W
100 V
50/60 Hz
0.25 A
1200/1450 rpm
30 MIN.
WEIGHT: 0,8 KG.
DIMENSION: 6 CM. X 6 CM. X 10 CM. (H)
</t>
  </si>
  <si>
    <t xml:space="preserve">83823</t>
  </si>
  <si>
    <t xml:space="preserve">4GK15K</t>
  </si>
  <si>
    <t xml:space="preserve">REVERSIBLE MOTOR
WU813 800
4RK25GK-A2M
25W
100V
50/60 Hz
1250/1500rpm
30min
WEIGHT: 2,7 KG.
DIMENSION: 10 CM. X 10 CM. X 20 CM. (H)</t>
  </si>
  <si>
    <t xml:space="preserve">83893</t>
  </si>
  <si>
    <t xml:space="preserve">4GN30K</t>
  </si>
  <si>
    <t xml:space="preserve">GEAR HEAD</t>
  </si>
  <si>
    <t xml:space="preserve">4GN30K
OM GEAR HEAD
QQ8 02581
WEIGHT: GR.600
DIMENSION: 8 CM. X 8 CM. X 8 CM. (H)</t>
  </si>
  <si>
    <t xml:space="preserve">13206</t>
  </si>
  <si>
    <t xml:space="preserve">4LF45N-2</t>
  </si>
  <si>
    <t xml:space="preserve">LINEAR HEAD</t>
  </si>
  <si>
    <t xml:space="preserve">NEW IN THE BOX</t>
  </si>
  <si>
    <t xml:space="preserve">83629</t>
  </si>
  <si>
    <t xml:space="preserve">4RK25RGK-AM</t>
  </si>
  <si>
    <t xml:space="preserve">REVERSIBLE MOTOR</t>
  </si>
  <si>
    <t xml:space="preserve">MAX OUTPUT 25W
100 V
50/60 Hz
10 F
4 P
WEIGHT: 2,5 KG.
DIMENSION: 24 CM. X 14 CM. X 136 CM.(H)</t>
  </si>
  <si>
    <t xml:space="preserve">83808</t>
  </si>
  <si>
    <t xml:space="preserve">5rk40gk-a2</t>
  </si>
  <si>
    <t xml:space="preserve">REVERSIBLE MOTOR
MOTOR,ELECRIC
40 W
100 V
50/60 Hz
1A
1300/1550 rpm
30 MIN.
WEIGHT: 2,5 KG.
DIMENSION: 9 CM. X 9 CM. X 14 CM. (H)  FOR EACH
</t>
  </si>
  <si>
    <t xml:space="preserve">13014</t>
  </si>
  <si>
    <t xml:space="preserve">Oriental Motor</t>
  </si>
  <si>
    <t xml:space="preserve">5RK40RGK-AM</t>
  </si>
  <si>
    <t xml:space="preserve">REVERSIBLE MOTOR,  40W 100V 50/60 HZ</t>
  </si>
  <si>
    <t xml:space="preserve">NEW IN BOX
MAX OUTPUT 40W     100V
50/60Hz 15 uF   4 P
30 Min
WEIGHT 3.2 KG DIMS 28 CM X 16 CM X 14 CM</t>
  </si>
  <si>
    <t xml:space="preserve">15900</t>
  </si>
  <si>
    <t xml:space="preserve">21K6GK-A2</t>
  </si>
  <si>
    <t xml:space="preserve">6W 100V 50/60HZ 0.25A 2.5A 2.5UF 1200/1450RPM
WEIGHT 750GR.
DIMENSION:6 CM. X 6 CM. X 10 CM. (H)</t>
  </si>
  <si>
    <t xml:space="preserve">83805</t>
  </si>
  <si>
    <t xml:space="preserve">21K6GN-A</t>
  </si>
  <si>
    <t xml:space="preserve">TW9 50602</t>
  </si>
  <si>
    <t xml:space="preserve">6W 100V
50/60 Hz
0.25 A
2.5uF
12001450r/MIN
TW9 50602
WEIGHT: 1 KG.
DIMENSION: 21 CM. X 9 CM. X 8 CM. (H)
</t>
  </si>
  <si>
    <t xml:space="preserve">83806</t>
  </si>
  <si>
    <t xml:space="preserve">51K40GN-AT</t>
  </si>
  <si>
    <t xml:space="preserve">MOTOR,ELECRIC
40 V
50/60 Hz
0.8 A
10 uF
1300/1550 rpm
TW9 50602
WEIGHT: 2,5 KG.
DIMENSION: 13 CM. X 9 CM. X 14 CM. (H)
</t>
  </si>
  <si>
    <t xml:space="preserve">83825</t>
  </si>
  <si>
    <t xml:space="preserve">MBM425-411</t>
  </si>
  <si>
    <t xml:space="preserve">SPEED CONTROL MOTOR</t>
  </si>
  <si>
    <t xml:space="preserve">AC MAGNETIC BRAKE
MAX OUTPUT 25 W
100V
50/60 Hz
0.95A 10F
90-1400/90-1700rpm 30min.
WEIGHT: 2,2 KG.
DIMENSION: 8 CM. X 8 CM. X 16 CM. (H)</t>
  </si>
  <si>
    <t xml:space="preserve">83807</t>
  </si>
  <si>
    <t xml:space="preserve">PB204-101</t>
  </si>
  <si>
    <t xml:space="preserve">MOTOR,ELECRIC
4W
100 V
50/60 Hz
30 MIN.
WEIGHT: 0,7 KG.
DIMENSION: 6 CM. X 6 CM. X 10 CM. (H)  FOR EACH
</t>
  </si>
  <si>
    <t xml:space="preserve">83834</t>
  </si>
  <si>
    <t xml:space="preserve">PH596-A</t>
  </si>
  <si>
    <t xml:space="preserve">STEPPING MOTOR</t>
  </si>
  <si>
    <t xml:space="preserve">VEXTA STEPPING MOTOR
5-PHASE
0.72DEG/STEP
DC: 1.25A
2.1 OMEGA
WEIGHT : KG.1,5
DIMENDION: 9 CM. X 9 CM. X 11 CM. (H)</t>
  </si>
  <si>
    <t xml:space="preserve">13066</t>
  </si>
  <si>
    <t xml:space="preserve">SEE COMMENTS</t>
  </si>
  <si>
    <t xml:space="preserve">GEAR HEADS</t>
  </si>
  <si>
    <t xml:space="preserve">4GK75K 3GK3K x3 3GN3.6K x2 4GK15K 4GK3K 2GK9K x2 2GN36K 4GN12.5K 4GK12.5K 
2GB360K 5GK3K 5GK50K x2 5GN120K 3GN3.6K x2 3GK3K x2 4GK5K 4GN18K
</t>
  </si>
  <si>
    <t xml:space="preserve">83875</t>
  </si>
  <si>
    <t xml:space="preserve">UPH564-A</t>
  </si>
  <si>
    <t xml:space="preserve">5 PHASE STEPPING MOTOR</t>
  </si>
  <si>
    <t xml:space="preserve">VEXTA STEPPING MOTOR
5-PHASE
0.72"/STEP
DC 0.75A 5 OMEGA
TW8 04827
WEIGTH: 500 GR.
DIMENSION: 13 CM.X 10 CM. X 9 CM. (H)</t>
  </si>
  <si>
    <t xml:space="preserve">69817</t>
  </si>
  <si>
    <t xml:space="preserve">VEXTA PK564-NAC</t>
  </si>
  <si>
    <t xml:space="preserve">Brand New 5-Phase Stepping Motor, 0.72 degree/step, with driver unit</t>
  </si>
  <si>
    <t xml:space="preserve">5 PHASE DRIVER AND MOTOR VEXTA PK564-NAC IN ORIGINAL  SEALED PACKAGING, 
WITH MANUAL.
DRIVER IS UDK5114N (1.4 AMPS)
DIMENSIONS AND WEIGHT IN BOX: 2.4 KG, 34 CM X 39 CM X 14 CM</t>
  </si>
  <si>
    <t xml:space="preserve">83811</t>
  </si>
  <si>
    <t xml:space="preserve">XU9</t>
  </si>
  <si>
    <t xml:space="preserve">MOTOR ELECTRIC FO FR CARRIER MOTOR</t>
  </si>
  <si>
    <t xml:space="preserve">REVERSIBLE MOTOR
MAX OUTPUT 25 W
100 V
50/60 Hz
0.8 A
4 P
10uF 3 0 MIN.
WEIGHT: 1,5 KG.
DIMENSION: 8 CM. X 8 CM. X 12 CM. (H)
</t>
  </si>
  <si>
    <t xml:space="preserve">110358</t>
  </si>
  <si>
    <t xml:space="preserve">Oxford Instruments</t>
  </si>
  <si>
    <t xml:space="preserve">OPT AMU</t>
  </si>
  <si>
    <t xml:space="preserve">Sold Ex-Works, UK Office , Part Number:MA00A30535 , Secondary P/N:547192</t>
  </si>
  <si>
    <t xml:space="preserve">83908</t>
  </si>
  <si>
    <t xml:space="preserve">PALL</t>
  </si>
  <si>
    <t xml:space="preserve">GLF6101VF4</t>
  </si>
  <si>
    <t xml:space="preserve">GAS FILTER</t>
  </si>
  <si>
    <t xml:space="preserve">0.01 MICRON
P/N GLF6101VF4
PRESS750 PSI
TEMP:100°F
WEIGHT: GR.250
DIMENSION: 5 CM. X 5 CM. X 15 CM. (H)</t>
  </si>
  <si>
    <t xml:space="preserve">80259</t>
  </si>
  <si>
    <t xml:space="preserve">GASKLEEN GAS FILTER</t>
  </si>
  <si>
    <t xml:space="preserve">77202</t>
  </si>
  <si>
    <t xml:space="preserve">Panasonic</t>
  </si>
  <si>
    <t xml:space="preserve">M91C90GD4W1</t>
  </si>
  <si>
    <t xml:space="preserve">AC Geared Motor (G Series)</t>
  </si>
  <si>
    <t xml:space="preserve">4P 90W Cont. 5uf
220V 50Hz, 0.78a
220V 60Hz, 0.75a
New in a box, Ships from AVEZZANO 67051 ITALY
</t>
  </si>
  <si>
    <t xml:space="preserve">83824</t>
  </si>
  <si>
    <t xml:space="preserve">PANASONIC</t>
  </si>
  <si>
    <t xml:space="preserve">MF A 020LATNP</t>
  </si>
  <si>
    <t xml:space="preserve">AC SERVO MOTOR</t>
  </si>
  <si>
    <t xml:space="preserve">MF A020LATNP
200W
RATED REV. 3000
CONT.TORQUE 0.64 NM
INERTIA 0.4X 10 KG-M2
WEIGHT: 3 KG.
DIMENSION: 13 CM. X 8 CM. X 21 CM. (H)
</t>
  </si>
  <si>
    <t xml:space="preserve">83838</t>
  </si>
  <si>
    <t xml:space="preserve">PARKER</t>
  </si>
  <si>
    <t xml:space="preserve">60 SERIES</t>
  </si>
  <si>
    <t xml:space="preserve">QUICK COUPLING FEMALE COUPLER BH4-60</t>
  </si>
  <si>
    <t xml:space="preserve">PRODUCT TYPE
  	QUICK COUPLING FEMALE COUPLER
TYPE 	60 SERIES
BODY SIZE 	1/2"
BODY MATERIAL 	BRASS
PORT SIZE 	1/2" - 14
PORT CONNECTION 	FEMALE NPTF
TEMPERATURE RATING 	-40 DEG TO +250 DEG F
PRESSURE RATING 	1,000 PSI
  	NITRILE
INTERFACE 	SERIES B ISO 7241-1
VALVE TYPE 	POPPET
LOCKING MECHANISM 	BALL
FLOW RATE 	12 GPM
ADDITIONAL DETAIL 	 
TRADE/BRAND NAME 	 
SYNONYM
TOTAL WEIGHT:4 KG.
WEIGHT:0,4 KG FOR EACH
DIMENSION: 5X5X12(H)
</t>
  </si>
  <si>
    <t xml:space="preserve">84058</t>
  </si>
  <si>
    <t xml:space="preserve">PATLITE</t>
  </si>
  <si>
    <t xml:space="preserve">SEFW-A</t>
  </si>
  <si>
    <t xml:space="preserve">SIGNAL TOWER</t>
  </si>
  <si>
    <t xml:space="preserve">VOLT 24 V AC/DC
WATT 2W/1STACK
WEIGHT:0,5 KG.
DIMENSION: 6  X 6 X 34 (H)</t>
  </si>
  <si>
    <t xml:space="preserve">115373</t>
  </si>
  <si>
    <t xml:space="preserve">PEARL KOGYO</t>
  </si>
  <si>
    <t xml:space="preserve">M-50A2VD-100MK</t>
  </si>
  <si>
    <t xml:space="preserve">RF MATCH</t>
  </si>
  <si>
    <t xml:space="preserve">115379</t>
  </si>
  <si>
    <t xml:space="preserve">RP-3000-100MK-PS</t>
  </si>
  <si>
    <t xml:space="preserve">115378</t>
  </si>
  <si>
    <t xml:space="preserve">115377</t>
  </si>
  <si>
    <t xml:space="preserve">115376</t>
  </si>
  <si>
    <t xml:space="preserve">16</t>
  </si>
  <si>
    <t xml:space="preserve">115375</t>
  </si>
  <si>
    <t xml:space="preserve">115374</t>
  </si>
  <si>
    <t xml:space="preserve">84232</t>
  </si>
  <si>
    <t xml:space="preserve">Pepperl Fuchs</t>
  </si>
  <si>
    <t xml:space="preserve">OBE5000-18GM70-SE5</t>
  </si>
  <si>
    <t xml:space="preserve">proximity sensor</t>
  </si>
  <si>
    <t xml:space="preserve">Pack of 2 used units</t>
  </si>
  <si>
    <t xml:space="preserve">84234</t>
  </si>
  <si>
    <t xml:space="preserve">pepperl&amp;fuchs</t>
  </si>
  <si>
    <t xml:space="preserve">OBE5000-18GM70-E5-V1</t>
  </si>
  <si>
    <t xml:space="preserve">Proximity sensor</t>
  </si>
  <si>
    <t xml:space="preserve">one used sensor</t>
  </si>
  <si>
    <t xml:space="preserve">84073</t>
  </si>
  <si>
    <t xml:space="preserve">Pfeiffer</t>
  </si>
  <si>
    <t xml:space="preserve">PTR26761A</t>
  </si>
  <si>
    <t xml:space="preserve">Pirani Gauge, D-35614 TPR265</t>
  </si>
  <si>
    <t xml:space="preserve">Pfeiffer vacuum, D-35614
typ: TPR265
NO: PTR26761A
14-30V, 1.5W
qty 2 available</t>
  </si>
  <si>
    <t xml:space="preserve">83587</t>
  </si>
  <si>
    <t xml:space="preserve">Pittman</t>
  </si>
  <si>
    <t xml:space="preserve">GM9213E081</t>
  </si>
  <si>
    <t xml:space="preserve">GEAR motor 19.1 vdc 65.5:1 RATIO</t>
  </si>
  <si>
    <t xml:space="preserve">Used Motor, Pittman, with wires    
Will  Ship from our AVEZZANO 67051 ITALY Warehouse  </t>
  </si>
  <si>
    <t xml:space="preserve">115401</t>
  </si>
  <si>
    <t xml:space="preserve">PLASMART</t>
  </si>
  <si>
    <t xml:space="preserve">PF05100-3B36S </t>
  </si>
  <si>
    <t xml:space="preserve">MATCH ASIS</t>
  </si>
  <si>
    <t xml:space="preserve">115405</t>
  </si>
  <si>
    <t xml:space="preserve">PF05100-3B36S MATCH ASIS</t>
  </si>
  <si>
    <t xml:space="preserve">115404</t>
  </si>
  <si>
    <t xml:space="preserve">115403</t>
  </si>
  <si>
    <t xml:space="preserve">115402</t>
  </si>
  <si>
    <t xml:space="preserve">115406</t>
  </si>
  <si>
    <t xml:space="preserve">PF05100-3B36S-1</t>
  </si>
  <si>
    <t xml:space="preserve">PF05100-3B36S-1 MATCH ASIS</t>
  </si>
  <si>
    <t xml:space="preserve">115407</t>
  </si>
  <si>
    <t xml:space="preserve">PF05100-3B36S-3</t>
  </si>
  <si>
    <t xml:space="preserve">PF05100-3B36S-3 MATCH ASIS</t>
  </si>
  <si>
    <t xml:space="preserve">83933</t>
  </si>
  <si>
    <t xml:space="preserve">PM500 09 P</t>
  </si>
  <si>
    <t xml:space="preserve">MASK</t>
  </si>
  <si>
    <t xml:space="preserve">RETICLE</t>
  </si>
  <si>
    <t xml:space="preserve">RETICLE SEAL SHIPPING STORAGE
WEIGHT 150 GR.
DIMENSION: CM. 13,5 X CM.14,5 X CM.2 (H)
</t>
  </si>
  <si>
    <t xml:space="preserve">83615</t>
  </si>
  <si>
    <t xml:space="preserve">PMS</t>
  </si>
  <si>
    <t xml:space="preserve">MICRO LPC-210</t>
  </si>
  <si>
    <t xml:space="preserve">MICROLASER PARTICLE COUNTER</t>
  </si>
  <si>
    <t xml:space="preserve">MALVERN WR 13 LN</t>
  </si>
  <si>
    <t xml:space="preserve">fair</t>
  </si>
  <si>
    <t xml:space="preserve">MICROLASER PARTICLE COUNTER
MICRO LPC-210
MALVERN WR 13 LN
LPC-210
PARTICLE MEASURING SYSTEM INC.
CAL. IDENT. No. 1PNS05
TEST DATE: JEN 03
NEXT TEST DUE :JEN 04
CAST.01698 291 330
SPT 6340Ù
WEIGHT : 26 KG.
DIMENSION: 67 CM.X 40 CM. X 20 CM. (H)</t>
  </si>
  <si>
    <t xml:space="preserve">83565</t>
  </si>
  <si>
    <t xml:space="preserve">Power Launch (?)</t>
  </si>
  <si>
    <t xml:space="preserve">FU100F</t>
  </si>
  <si>
    <t xml:space="preserve">Valve tube electron tube</t>
  </si>
  <si>
    <t xml:space="preserve">  Ued pulled from working condition, in box, one new one in a box
  FU100F, from China/Taiwan
 </t>
  </si>
  <si>
    <t xml:space="preserve">69870</t>
  </si>
  <si>
    <t xml:space="preserve">Power One</t>
  </si>
  <si>
    <t xml:space="preserve">HPM5A2A2KS234</t>
  </si>
  <si>
    <t xml:space="preserve">5V Switching Power Supply</t>
  </si>
  <si>
    <t xml:space="preserve">POWER ONE INTERNATIONAL SERIES SWITCHING POWER SUPPLY. TUV CERTIFIED RU 
CERTIFIED E131905 CSA COMPONENT TYPE CUSTOM RECTIFIER LR38879 LEVEL 6 INPUT 
50-60 HZ 230 V 23A MAX OUTPUT 2KW OUTPUT 5V 150 A LOCATED IN AVEZZANO, 
ITALY 67051 (NEAR ROME)</t>
  </si>
  <si>
    <t xml:space="preserve">111605</t>
  </si>
  <si>
    <t xml:space="preserve">DUAL 5V 150A POWER SUPPLY</t>
  </si>
  <si>
    <t xml:space="preserve">TERADYNE P/N 405-097-00
USED. DEINSTALLED FROM WORKING
I/P 230V 23A 50/60 HZ
O/P A2 +5V 150A ,A2 +5V 150A
MAX 2KW
H = 12.5 CM W = 20.5 CM D = 34 CM WEIGHT 8.5 KG
SHIPS FROM OUT AVEZZANO 67051 ITALY WAREHOUSE</t>
  </si>
  <si>
    <t xml:space="preserve">69872</t>
  </si>
  <si>
    <t xml:space="preserve">HPM5C1C1E1E1H1S240</t>
  </si>
  <si>
    <t xml:space="preserve">Switching Power Supply</t>
  </si>
  <si>
    <t xml:space="preserve">POWER ONE INTERNATIONAL SERIES SWITCHING POWER SUPPLY. TUV CERTIFIED RU 
CERTIFIED E131905 CSA COMPONENT TYPE CUSTOM RECTIFIER LR38879 LEVEL 6 INPUT 
50-60 HZ 230 V 23A MAX OUTPUT 2KW outputs: MODULE H1 3.3V AT 35 AMPS MODULE 
E1 28V AT 8.6 A MODULE E1 28V AT 8.6A MODULE C1 15V AT 16A MODULE C1 15V AT 
16A LOCATED IN AVEZZANO, ITALY 67051 (NEAR ROME)</t>
  </si>
  <si>
    <t xml:space="preserve">69873</t>
  </si>
  <si>
    <t xml:space="preserve">HPM5F2F2KS233</t>
  </si>
  <si>
    <t xml:space="preserve">2V Switching Power Supply</t>
  </si>
  <si>
    <t xml:space="preserve">POWER ONE INTERNATIONAL SERIES SWITCHING POWER SUPPLY. TUV CERTIFIED RU 
CERTIFIED E131905 CSA COMPONENT TYPE CUSTOM RECTIFIER LR38879 LEVEL 6 INPUT 
50-60 HZ 230 V 23A MAX OUTPUT 2KW OUTPUT 2V 150 A LOCATED IN AVEZZANO, 
ITALY 67051 (NEAR ROME)</t>
  </si>
  <si>
    <t xml:space="preserve">69874</t>
  </si>
  <si>
    <t xml:space="preserve">HPM5E2E2KS228</t>
  </si>
  <si>
    <t xml:space="preserve">28 V Switching Power Supply</t>
  </si>
  <si>
    <t xml:space="preserve">POWER ONE INTERNATIONAL SERIES SWITCHING POWER SUPPLY. TUV CERTIFIED RU 
CERTIFIED E131905 CSA COMPONENT TYPE CUSTOM RECTIFIER LR38879 LEVEL 6 INPUT 
50-60 HZ 230 V 23A MAX OUTPUT 2KW OUTPUT 28V 27A LOCATED IN AVEZZANO, ITALY 
67051 (NEAR ROME)</t>
  </si>
  <si>
    <t xml:space="preserve">69875</t>
  </si>
  <si>
    <t xml:space="preserve">SPM2E1E1S304</t>
  </si>
  <si>
    <t xml:space="preserve">POWER ONE INTERNATIONAL SERIES SWITCHING POWER SUPPLY. TUV CERTIFIED RU 
CERTIFIED E131905 CSA COMPONENT TYPE CUSTOM RECTIFIER LR38879 LEVEL 6 INPUT 
50-60 HZ 230 V 23A MAX OUTPUT 500 watts OUTPUT 28V 8.6A LOCATED IN 
AVEZZANO, ITALY 67051 (NEAR ROME)</t>
  </si>
  <si>
    <t xml:space="preserve">83506</t>
  </si>
  <si>
    <t xml:space="preserve">POWERTEC</t>
  </si>
  <si>
    <t xml:space="preserve">9J5-360-371</t>
  </si>
  <si>
    <t xml:space="preserve">SUPER SWITCHER TM SERIES POWER SUPPLY</t>
  </si>
  <si>
    <t xml:space="preserve">220 VOLTS</t>
  </si>
  <si>
    <t xml:space="preserve">AC INPUT: 115V-/230V;40A/20A
50/60 HZ
MAX TOTAL OUTPUT POWER 1800W</t>
  </si>
  <si>
    <t xml:space="preserve">83510</t>
  </si>
  <si>
    <t xml:space="preserve">POWERTEC ASTEC</t>
  </si>
  <si>
    <t xml:space="preserve">6C32-EE-371</t>
  </si>
  <si>
    <t xml:space="preserve">AC INPUT: 115V-/230V;20A/10A
50/60 HZ
MAX TOTAL OUTPUT POWER 800 W</t>
  </si>
  <si>
    <t xml:space="preserve">83507</t>
  </si>
  <si>
    <t xml:space="preserve">9J8-200-371</t>
  </si>
  <si>
    <t xml:space="preserve">83509</t>
  </si>
  <si>
    <t xml:space="preserve">9J12-130-371</t>
  </si>
  <si>
    <t xml:space="preserve">AC INPUT: 115V-/230V;24A/20A
50/60 HZ
MAX TOTAL OUTPUT POWER 1800 W</t>
  </si>
  <si>
    <t xml:space="preserve">83508</t>
  </si>
  <si>
    <t xml:space="preserve">AC INPUT: 115V-/230V;20A/15A
50/60 HZ
MAX TOTAL OUTPUT POWER 1100 W</t>
  </si>
  <si>
    <t xml:space="preserve">83928</t>
  </si>
  <si>
    <t xml:space="preserve">PULNIX</t>
  </si>
  <si>
    <t xml:space="preserve">TM-7EX</t>
  </si>
  <si>
    <t xml:space="preserve">VIDEO CAMERA WITH FUJI NF35A-2 LENS</t>
  </si>
  <si>
    <t xml:space="preserve">GAMMA 1.0
0.45 MGC
FLD
FRM
TM-ZEX
WEIGHT:GR.250
DIMENSION:13 CM. X 5 CM. X 5 CM.(H)
</t>
  </si>
  <si>
    <t xml:space="preserve">74251</t>
  </si>
  <si>
    <t xml:space="preserve">Qualiflow</t>
  </si>
  <si>
    <t xml:space="preserve">AFC 50D</t>
  </si>
  <si>
    <t xml:space="preserve">Mass Flow Controller;Meter,Spectrometer,Gas Mix, control </t>
  </si>
  <si>
    <t xml:space="preserve">Qualiflow AFC 50D Mass Flow Controller;Meter,Spectrometer,Gas Mix, control 
Last Calbrated 11/19/2009 N2</t>
  </si>
  <si>
    <t xml:space="preserve">114787</t>
  </si>
  <si>
    <t xml:space="preserve">Radisys</t>
  </si>
  <si>
    <t xml:space="preserve">61-0367-38</t>
  </si>
  <si>
    <t xml:space="preserve">486 USED</t>
  </si>
  <si>
    <t xml:space="preserve">84239</t>
  </si>
  <si>
    <t xml:space="preserve">Raytheon</t>
  </si>
  <si>
    <t xml:space="preserve">ELC-14947</t>
  </si>
  <si>
    <t xml:space="preserve">Directed light assembly, for ESI</t>
  </si>
  <si>
    <t xml:space="preserve">ESI / Raytheon Directed light Assembly
ELC-14947
</t>
  </si>
  <si>
    <t xml:space="preserve">77159</t>
  </si>
  <si>
    <t xml:space="preserve">Renishaw</t>
  </si>
  <si>
    <t xml:space="preserve">RGH24X30A00A</t>
  </si>
  <si>
    <t xml:space="preserve">Encoder Head NEW IN BOX</t>
  </si>
  <si>
    <t xml:space="preserve">Renishaw Encoder Head
Brand new in box with cable
Ships from our Boerne, TX Location</t>
  </si>
  <si>
    <t xml:space="preserve">110359</t>
  </si>
  <si>
    <t xml:space="preserve">RF Global Solutions</t>
  </si>
  <si>
    <t xml:space="preserve">RF Services Match controller</t>
  </si>
  <si>
    <t xml:space="preserve">Sold Ex-Works, UK Office , Part Number:RFS1000</t>
  </si>
  <si>
    <t xml:space="preserve">110363</t>
  </si>
  <si>
    <t xml:space="preserve">RF Services</t>
  </si>
  <si>
    <t xml:space="preserve">ICPSM</t>
  </si>
  <si>
    <t xml:space="preserve">Sold Ex-Works, UK Office , Part Number:553-09908-RW , Secondary 
P/N:232612-01</t>
  </si>
  <si>
    <t xml:space="preserve">110362</t>
  </si>
  <si>
    <t xml:space="preserve">Sold Ex-Works, UK Office , Part Number:533-09908-00 , Secondary 
P/N:232612-01</t>
  </si>
  <si>
    <t xml:space="preserve">110361</t>
  </si>
  <si>
    <t xml:space="preserve">Sold Ex-Works, UK Office , Part Number:232612-01</t>
  </si>
  <si>
    <t xml:space="preserve">110360</t>
  </si>
  <si>
    <t xml:space="preserve">110368</t>
  </si>
  <si>
    <t xml:space="preserve">LF Splitter</t>
  </si>
  <si>
    <t xml:space="preserve">Sold Ex-Works, UK Office , Part Number:934-15008-00 , Secondary 
P/N:9900-0033-01</t>
  </si>
  <si>
    <t xml:space="preserve">110367</t>
  </si>
  <si>
    <t xml:space="preserve">110366</t>
  </si>
  <si>
    <t xml:space="preserve">110365</t>
  </si>
  <si>
    <t xml:space="preserve">110364</t>
  </si>
  <si>
    <t xml:space="preserve">110389</t>
  </si>
  <si>
    <t xml:space="preserve">RFS 500</t>
  </si>
  <si>
    <t xml:space="preserve">Sold Ex-Works, UK Office , Part Number:9900-0003-31 , Secondary 
P/N:0995-99753</t>
  </si>
  <si>
    <t xml:space="preserve">110396</t>
  </si>
  <si>
    <t xml:space="preserve">RFS 500/700</t>
  </si>
  <si>
    <t xml:space="preserve">Sold Ex-Works, UK Office , Part Number:9900-0003-31 , Secondary 
P/N:0995-00753</t>
  </si>
  <si>
    <t xml:space="preserve">110395</t>
  </si>
  <si>
    <t xml:space="preserve">110394</t>
  </si>
  <si>
    <t xml:space="preserve">110393</t>
  </si>
  <si>
    <t xml:space="preserve">110392</t>
  </si>
  <si>
    <t xml:space="preserve">Sold Ex-Works, UK Office , Part Number:9900-0003-06 , Secondary 
P/N:9900-0033-01</t>
  </si>
  <si>
    <t xml:space="preserve">110391</t>
  </si>
  <si>
    <t xml:space="preserve">Sold Ex-Works, UK Office , Part Number:9900-0003-01</t>
  </si>
  <si>
    <t xml:space="preserve">110390</t>
  </si>
  <si>
    <t xml:space="preserve">110397</t>
  </si>
  <si>
    <t xml:space="preserve">RFS 700</t>
  </si>
  <si>
    <t xml:space="preserve">110398</t>
  </si>
  <si>
    <t xml:space="preserve">RFS 712</t>
  </si>
  <si>
    <t xml:space="preserve">Sold Ex-Works, UK Office , Part Number:232873-01</t>
  </si>
  <si>
    <t xml:space="preserve">110380</t>
  </si>
  <si>
    <t xml:space="preserve">RFS 1000</t>
  </si>
  <si>
    <t xml:space="preserve">Sold Ex-Works, UK Office , Part Number:9900-0003-15 , Secondary 
P/N:553-00098-00</t>
  </si>
  <si>
    <t xml:space="preserve">110379</t>
  </si>
  <si>
    <t xml:space="preserve">110378</t>
  </si>
  <si>
    <t xml:space="preserve">110377</t>
  </si>
  <si>
    <t xml:space="preserve">110376</t>
  </si>
  <si>
    <t xml:space="preserve">110375</t>
  </si>
  <si>
    <t xml:space="preserve">Sold Ex-Works, UK Office , Part Number:9900-0003-15</t>
  </si>
  <si>
    <t xml:space="preserve">110374</t>
  </si>
  <si>
    <t xml:space="preserve">110373</t>
  </si>
  <si>
    <t xml:space="preserve">110372</t>
  </si>
  <si>
    <t xml:space="preserve">110371</t>
  </si>
  <si>
    <t xml:space="preserve">110370</t>
  </si>
  <si>
    <t xml:space="preserve">110369</t>
  </si>
  <si>
    <t xml:space="preserve">110381</t>
  </si>
  <si>
    <t xml:space="preserve">RFS 1000M</t>
  </si>
  <si>
    <t xml:space="preserve">Sold Ex-Works, UK Office , Part Number:934-15001-00 , Secondary 
P/N:9201-0297</t>
  </si>
  <si>
    <t xml:space="preserve">110382</t>
  </si>
  <si>
    <t xml:space="preserve">RFS 2502</t>
  </si>
  <si>
    <t xml:space="preserve">Sold Ex-Works, UK Office , Part Number:553-20343-00 , Secondary 
P/N:233075-01</t>
  </si>
  <si>
    <t xml:space="preserve">110383</t>
  </si>
  <si>
    <t xml:space="preserve">RFS 3002 ICP</t>
  </si>
  <si>
    <t xml:space="preserve">Sold Ex-Works, UK Office , Part Number:553-03138-00 , Secondary P/N:232278</t>
  </si>
  <si>
    <t xml:space="preserve">110384</t>
  </si>
  <si>
    <t xml:space="preserve">RFS 3002A</t>
  </si>
  <si>
    <t xml:space="preserve">Sold Ex-Works, UK Office , Part Number:553-03138-00 , Secondary 
P/N:232278-01</t>
  </si>
  <si>
    <t xml:space="preserve">110385</t>
  </si>
  <si>
    <t xml:space="preserve">RFS 3002A ICP</t>
  </si>
  <si>
    <t xml:space="preserve">110386</t>
  </si>
  <si>
    <t xml:space="preserve">RFS 3006</t>
  </si>
  <si>
    <t xml:space="preserve">Sold Ex-Works, UK Office , Part Number:232278-02</t>
  </si>
  <si>
    <t xml:space="preserve">110387</t>
  </si>
  <si>
    <t xml:space="preserve">RFS 3009 ICPSM</t>
  </si>
  <si>
    <t xml:space="preserve">Sold as is ex-works, UK Office , Part Number:553-09908-00 , Secondary 
P/N:232612-01</t>
  </si>
  <si>
    <t xml:space="preserve">110400</t>
  </si>
  <si>
    <t xml:space="preserve">Splitter 1k</t>
  </si>
  <si>
    <t xml:space="preserve">110399</t>
  </si>
  <si>
    <t xml:space="preserve">110388</t>
  </si>
  <si>
    <t xml:space="preserve">RF Services </t>
  </si>
  <si>
    <t xml:space="preserve">RFS 3018</t>
  </si>
  <si>
    <t xml:space="preserve">Sold Ex-Works, UK Office , Part Number:233160-01 , Secondary 
P/N:553-19819-00</t>
  </si>
  <si>
    <t xml:space="preserve">110417</t>
  </si>
  <si>
    <t xml:space="preserve">RFPP</t>
  </si>
  <si>
    <t xml:space="preserve">AM-5</t>
  </si>
  <si>
    <t xml:space="preserve">Sold Ex-Works, UK Office , Part Number:WB-700</t>
  </si>
  <si>
    <t xml:space="preserve">110416</t>
  </si>
  <si>
    <t xml:space="preserve">Sold Ex-Works, UK Office , Part Number:7600001010</t>
  </si>
  <si>
    <t xml:space="preserve">110418</t>
  </si>
  <si>
    <t xml:space="preserve">AM-5 Controller</t>
  </si>
  <si>
    <t xml:space="preserve">Sold Ex-Works, UK Office , Part Number:AMNPS-2A</t>
  </si>
  <si>
    <t xml:space="preserve">110411</t>
  </si>
  <si>
    <t xml:space="preserve">AM-10</t>
  </si>
  <si>
    <t xml:space="preserve">Sold Ex-Works, UK Office , Part Number:AM-10-A37</t>
  </si>
  <si>
    <t xml:space="preserve">110410</t>
  </si>
  <si>
    <t xml:space="preserve">Sold Ex-Works, UK Office , Part Number:AM-10 2800 GENUS</t>
  </si>
  <si>
    <t xml:space="preserve">110409</t>
  </si>
  <si>
    <t xml:space="preserve">110408</t>
  </si>
  <si>
    <t xml:space="preserve">Sold Ex-Works, UK Office , Part Number:7610807010</t>
  </si>
  <si>
    <t xml:space="preserve">110407</t>
  </si>
  <si>
    <t xml:space="preserve">110406</t>
  </si>
  <si>
    <t xml:space="preserve">110405</t>
  </si>
  <si>
    <t xml:space="preserve">Sold Ex-Works, UK Office , Part Number:3150097-000</t>
  </si>
  <si>
    <t xml:space="preserve">110404</t>
  </si>
  <si>
    <t xml:space="preserve">110403</t>
  </si>
  <si>
    <t xml:space="preserve">110402</t>
  </si>
  <si>
    <t xml:space="preserve">110401</t>
  </si>
  <si>
    <t xml:space="preserve">110412</t>
  </si>
  <si>
    <t xml:space="preserve">AM-10 Controller</t>
  </si>
  <si>
    <t xml:space="preserve">110414</t>
  </si>
  <si>
    <t xml:space="preserve">Sold Ex-Works, UK Office , Part Number:AM-20P</t>
  </si>
  <si>
    <t xml:space="preserve">110413</t>
  </si>
  <si>
    <t xml:space="preserve">110419</t>
  </si>
  <si>
    <t xml:space="preserve">AMN</t>
  </si>
  <si>
    <t xml:space="preserve">110420</t>
  </si>
  <si>
    <t xml:space="preserve">AMNPS-2A  Controller</t>
  </si>
  <si>
    <t xml:space="preserve">Sold Ex-Works, UK Office , Part Number:4080901</t>
  </si>
  <si>
    <t xml:space="preserve">110426</t>
  </si>
  <si>
    <t xml:space="preserve">110425</t>
  </si>
  <si>
    <t xml:space="preserve">Sold Ex-Works, UK Office , Part Number:AMNPS -2A</t>
  </si>
  <si>
    <t xml:space="preserve">110424</t>
  </si>
  <si>
    <t xml:space="preserve">110423</t>
  </si>
  <si>
    <t xml:space="preserve">110422</t>
  </si>
  <si>
    <t xml:space="preserve">110421</t>
  </si>
  <si>
    <t xml:space="preserve">Sold Ex-Works, UK Office , Part Number:3150302-000</t>
  </si>
  <si>
    <t xml:space="preserve">110427</t>
  </si>
  <si>
    <t xml:space="preserve">ICP20-P</t>
  </si>
  <si>
    <t xml:space="preserve">Sold Ex-Works, UK Office , Part Number:8511139050</t>
  </si>
  <si>
    <t xml:space="preserve">110433</t>
  </si>
  <si>
    <t xml:space="preserve">Sold Ex-Works, UK Office , Part Number:7520572050 SE-091</t>
  </si>
  <si>
    <t xml:space="preserve">110432</t>
  </si>
  <si>
    <t xml:space="preserve">110431</t>
  </si>
  <si>
    <t xml:space="preserve">110430</t>
  </si>
  <si>
    <t xml:space="preserve">Sold Ex-Works, UK Office , Part Number:7520572050 , Secondary 
P/N:0920-01014</t>
  </si>
  <si>
    <t xml:space="preserve">110429</t>
  </si>
  <si>
    <t xml:space="preserve">110428</t>
  </si>
  <si>
    <t xml:space="preserve">Sold Ex-Works, UK Office , Part Number:7520572050</t>
  </si>
  <si>
    <t xml:space="preserve">110434</t>
  </si>
  <si>
    <t xml:space="preserve">LF-5S</t>
  </si>
  <si>
    <t xml:space="preserve">110435</t>
  </si>
  <si>
    <t xml:space="preserve">Sold Ex-Works, UK Office , Part Number:3150272-007</t>
  </si>
  <si>
    <t xml:space="preserve">110441</t>
  </si>
  <si>
    <t xml:space="preserve">RF20S</t>
  </si>
  <si>
    <t xml:space="preserve">Sold Ex-Works, UK Office , Part Number:RF-20SE</t>
  </si>
  <si>
    <t xml:space="preserve">110447</t>
  </si>
  <si>
    <t xml:space="preserve">RF25M</t>
  </si>
  <si>
    <t xml:space="preserve">Sold Ex-Works, UK Office , Part Number:7521968050 , Secondary 
P/N:660-096650-001E1</t>
  </si>
  <si>
    <t xml:space="preserve">110448</t>
  </si>
  <si>
    <t xml:space="preserve">RF30H</t>
  </si>
  <si>
    <t xml:space="preserve">Sold Ex-Works, UK Office , Part Number:7522170170 , Secondary 
P/N:660-096649-001E1</t>
  </si>
  <si>
    <t xml:space="preserve">110436</t>
  </si>
  <si>
    <t xml:space="preserve">RF 25M</t>
  </si>
  <si>
    <t xml:space="preserve">Sold Ex-Works, UK Office , Part Number:660-096650-002E1 , Secondary 
P/N:7521968050</t>
  </si>
  <si>
    <t xml:space="preserve">110437</t>
  </si>
  <si>
    <t xml:space="preserve">RF 30H</t>
  </si>
  <si>
    <t xml:space="preserve">Sold Ex-Works, UK Office , Part Number:660-096649-001E1 , Secondary 
P/N:7522170170</t>
  </si>
  <si>
    <t xml:space="preserve">110438</t>
  </si>
  <si>
    <t xml:space="preserve">RF 50</t>
  </si>
  <si>
    <t xml:space="preserve">110459</t>
  </si>
  <si>
    <t xml:space="preserve">Sold Ex-Works, UK Office , Part Number:751031301C</t>
  </si>
  <si>
    <t xml:space="preserve">110458</t>
  </si>
  <si>
    <t xml:space="preserve">Sold Ex-Works, UK Office , Part Number:7510313010</t>
  </si>
  <si>
    <t xml:space="preserve">110457</t>
  </si>
  <si>
    <t xml:space="preserve">Sold Ex-Works, UK Office , Part Number:7510313010 , Secondary P/N:490-0580</t>
  </si>
  <si>
    <t xml:space="preserve">110456</t>
  </si>
  <si>
    <t xml:space="preserve">110455</t>
  </si>
  <si>
    <t xml:space="preserve">110454</t>
  </si>
  <si>
    <t xml:space="preserve">Sold Ex-Works, UK Office , Part Number:751031011</t>
  </si>
  <si>
    <t xml:space="preserve">110453</t>
  </si>
  <si>
    <t xml:space="preserve">110452</t>
  </si>
  <si>
    <t xml:space="preserve">110439</t>
  </si>
  <si>
    <t xml:space="preserve">RF-20H Controller </t>
  </si>
  <si>
    <t xml:space="preserve">Sold Ex-Works, UK Office , Part Number:7910546020</t>
  </si>
  <si>
    <t xml:space="preserve">110440</t>
  </si>
  <si>
    <t xml:space="preserve">RF-20M</t>
  </si>
  <si>
    <t xml:space="preserve">Sold Ex-Works, UK Office , Part Number:7521403010</t>
  </si>
  <si>
    <t xml:space="preserve">110446</t>
  </si>
  <si>
    <t xml:space="preserve">RF-20S</t>
  </si>
  <si>
    <t xml:space="preserve">Sold Ex-Works, UK Office , Part Number:7520689130 , Secondary 
P/N:490-0002-2</t>
  </si>
  <si>
    <t xml:space="preserve">110445</t>
  </si>
  <si>
    <t xml:space="preserve">Sold Ex-Works, UK Office , Part Number:7511024070</t>
  </si>
  <si>
    <t xml:space="preserve">110444</t>
  </si>
  <si>
    <t xml:space="preserve">Sold Ex-Works, UK Office , Part Number:7511024020</t>
  </si>
  <si>
    <t xml:space="preserve">110443</t>
  </si>
  <si>
    <t xml:space="preserve">110442</t>
  </si>
  <si>
    <t xml:space="preserve">110451</t>
  </si>
  <si>
    <t xml:space="preserve">Sold Ex-Works, UK Office , Part Number:7520758011 , Secondary P/N:490-0530</t>
  </si>
  <si>
    <t xml:space="preserve">110450</t>
  </si>
  <si>
    <t xml:space="preserve">110449</t>
  </si>
  <si>
    <t xml:space="preserve">110415</t>
  </si>
  <si>
    <t xml:space="preserve">RFPP </t>
  </si>
  <si>
    <t xml:space="preserve">AM-30 Controller</t>
  </si>
  <si>
    <t xml:space="preserve">Sold Ex-Works, UK Office , Part Number:8021319010</t>
  </si>
  <si>
    <t xml:space="preserve">110460</t>
  </si>
  <si>
    <t xml:space="preserve">RFVII</t>
  </si>
  <si>
    <t xml:space="preserve">ATN-10</t>
  </si>
  <si>
    <t xml:space="preserve">110461</t>
  </si>
  <si>
    <t xml:space="preserve">ATN-50</t>
  </si>
  <si>
    <t xml:space="preserve">Sold Ex-Works, UK Office , Part Number:856-875-2121</t>
  </si>
  <si>
    <t xml:space="preserve">110463</t>
  </si>
  <si>
    <t xml:space="preserve">PT-II-CE Controller</t>
  </si>
  <si>
    <t xml:space="preserve">110462</t>
  </si>
  <si>
    <t xml:space="preserve">110464</t>
  </si>
  <si>
    <t xml:space="preserve">Sold Ex-Works, UK Office , Part Number:RF-20-XIII</t>
  </si>
  <si>
    <t xml:space="preserve">83881</t>
  </si>
  <si>
    <t xml:space="preserve">Rorze</t>
  </si>
  <si>
    <t xml:space="preserve">BERC-RD023MS</t>
  </si>
  <si>
    <t xml:space="preserve">2P MICRO STEP DRIVER</t>
  </si>
  <si>
    <t xml:space="preserve">VF C5622</t>
  </si>
  <si>
    <t xml:space="preserve">RD-023MS
2P MICRO STEP DRIVER
DC18V-40V
WEIGHT: 250 GR.
DIMENSION:11 CM. X 6 CM. X 3 CM.(H)FOR EACH
</t>
  </si>
  <si>
    <t xml:space="preserve">53053</t>
  </si>
  <si>
    <t xml:space="preserve">RR304L90</t>
  </si>
  <si>
    <t xml:space="preserve">Wafer handling robot, with 5 ceramic robot blades</t>
  </si>
  <si>
    <t xml:space="preserve">Model RORZE RR304L90 , with 5 ceramic fingers, five wafers at time
In excellent condition. Removed from a working tool.
Will ship to you from our warehouse in Avezzano 67051 Italy.</t>
  </si>
  <si>
    <t xml:space="preserve">56813</t>
  </si>
  <si>
    <t xml:space="preserve">Roth &amp; Rau</t>
  </si>
  <si>
    <t xml:space="preserve">SiNA (Spare Parts)</t>
  </si>
  <si>
    <t xml:space="preserve">Spare Parts from PECVD system for deposition of Silicon Nitride</t>
  </si>
  <si>
    <t xml:space="preserve">Spare parts taken from PECVD system - List available on request.
Roth &amp; Rau SiNA Plus - Component
Quantity
Manual
AEG_thyristor_typ_3A
1
Yes
AEG_thyristor_typ1A&amp;2A
1
Yes
DEUBLIN_rotary_water_feedthrough_55
1
Yes
ELERO_Compakt_EN
1
Yes
ELERO_IBN-Compakt
1
Yes
ELERO_Vario_EN
1
Yes
EUCHNER_CMS-E-BR
1
Yes
EUROTHERM_2408_manual
1
Yes
EUROTHERM_2408_Profibus
1
Yes
FESTO_CRVZS_Air-Reservoirs
1
Yes
FESTO_DNC_gate pneumatic cylinder
1
Yes
FESTO_JMFH_gate control valve
1
Yes
FESTO_MS-series_Maint.unit
1
Yes
FESTO_PEV_pressure switch
1
Yes
FESTO_valve_terminal_1
1
Yes
FESTO_valve_terminal_2
1
Yes
HELIOS_RR_90521_0501_EN
1
Yes
HELIOS_UK_158_159_EN
1
Yes
HERAEUS_Heater_40kW
1
Yes
IFM-PN7009
1
Yes
IFM-SI1000 (short)
1
Yes
IFM-SI1000
1
Yes
JUMO_TB-TW
1
Yes
LEISTER_MW-blower
1
Yes
LENZE_9300_Servo_Position_controller
1
Yes
LENZE_9300_Servo_Positioning_Controller
1
Yes
LENZE_9300_Servo_Positioning_Controller_v2-3_EN
1
Yes
LENZE_Frequency_inverters_8220_8240
1
Yes
LENZE_Frequency_inverters_8220_8240_0702_EN
1
Yes
MKS_Baratron_627b
1
Yes
MKS_Baratron627b_eng
1
Yes
MKS_MFC_1179
1
Yes
MKS_MFC1179B_eng
1
Yes
MUEGGE_MX016KG-110KL
1
Yes
P+F_M5-MV5-32-115_(OBE5000-F28-SE5)
1
Yes
P+F_OBE10M-18GM60-SE5-V1_(OBE5000-18GM70-SE5-V1)
1
Yes
PFEIFFER_angle_valve_EVB160_EN_complete
1
Yes
PFEIFFER_angle_valve_EVB160_EN_short
1
Yes
PFEIFFER_gauge_PKR251
1
Yes
PFEIFFER_gauge_TPR280
1
Yes
PILZ_PNOZ X4
1
Yes
R&amp;R_area heater_RR-3X400-8K1+RR-3X400-10K2_ENG
1
Yes
R&amp;R_Plasma Source Manual
1
Yes
R&amp;R-area-heater
1
Yes
SIEMENS_S7-300_AI_SM331
1
Yes
SIEMENS_S7-300_AO_SM332
1
Yes
SIEMENS_S7-300_DO_SM322
1
Yes
SIEMENS_S7-300_IHB_e
1
Yes</t>
  </si>
  <si>
    <t xml:space="preserve">110465</t>
  </si>
  <si>
    <t xml:space="preserve">Sairem</t>
  </si>
  <si>
    <t xml:space="preserve">MU Controller</t>
  </si>
  <si>
    <t xml:space="preserve">Sold Ex-Works, UK Office , Part Number:CBA-PL/E</t>
  </si>
  <si>
    <t xml:space="preserve">84373</t>
  </si>
  <si>
    <t xml:space="preserve">SAMSUNG</t>
  </si>
  <si>
    <t xml:space="preserve">MR16R0828AN1-CKB</t>
  </si>
  <si>
    <t xml:space="preserve">128 MB/8 RAM</t>
  </si>
  <si>
    <t xml:space="preserve">SAMSUNG 800-45 100
WEIGHT: 50 GR.
DIMENSION: 3 X 0,3 CM X 13 (H)
FOR EACH
</t>
  </si>
  <si>
    <t xml:space="preserve">86303</t>
  </si>
  <si>
    <t xml:space="preserve">Sankei Giken</t>
  </si>
  <si>
    <t xml:space="preserve">TCW-12000 CV</t>
  </si>
  <si>
    <t xml:space="preserve">Process Module Chiller</t>
  </si>
  <si>
    <t xml:space="preserve">See attached photos for details
3 phase 200 V 50/60 Hz 18/20 KVA
</t>
  </si>
  <si>
    <t xml:space="preserve">106206</t>
  </si>
  <si>
    <t xml:space="preserve">SANYO DENKI</t>
  </si>
  <si>
    <t xml:space="preserve">RBA2C-202</t>
  </si>
  <si>
    <t xml:space="preserve">SERVO DRIVER MODULE</t>
  </si>
  <si>
    <t xml:space="preserve">QTY 2 Available. Sanyo Denki RBA2C-202  Super Robustsyn Servo Driver Module
See attached photos for details</t>
  </si>
  <si>
    <t xml:space="preserve">83634</t>
  </si>
  <si>
    <t xml:space="preserve">SCANLAB</t>
  </si>
  <si>
    <t xml:space="preserve">RTC 2 Type XY-01</t>
  </si>
  <si>
    <t xml:space="preserve">PC INTERFACE BOARD</t>
  </si>
  <si>
    <t xml:space="preserve">20-TVS</t>
  </si>
  <si>
    <t xml:space="preserve">PC interface board and software disk for galvanometer-based beam 
positioning system.
DELIVERY DOCKET NO. 3032990
PART AND REV : 0112-002-10
ALTERA
GEM.:
IEC 61340-5-1
0506
WEIGHT FOR EACH: 0,50 KG
DIMENSION: 22 CM. X 15 CM. X 5 CM. (H) FOR EACH
PRICE: 499 USD FOR EACH BOARD</t>
  </si>
  <si>
    <t xml:space="preserve">83836</t>
  </si>
  <si>
    <t xml:space="preserve">SCFH AIR</t>
  </si>
  <si>
    <t xml:space="preserve">100 PSIG</t>
  </si>
  <si>
    <t xml:space="preserve">10420
SCFH AIR
100 PSIG MAX
</t>
  </si>
  <si>
    <t xml:space="preserve">84387</t>
  </si>
  <si>
    <t xml:space="preserve">SEEKA</t>
  </si>
  <si>
    <t xml:space="preserve">UM-T50DT</t>
  </si>
  <si>
    <t xml:space="preserve">UM-T50DT LOT NO. 512H,511H 2 PIECES
UM-R5T LOT NO. 51OH 2 PIECES
UM-T50DS LOT NO.62H,61J 1 PIECE
WEIGHT: 110 GR.
DIMENSION: 9 X 9 X 2 (H)
THE PRICE IS FOR EACH</t>
  </si>
  <si>
    <t xml:space="preserve">21521</t>
  </si>
  <si>
    <t xml:space="preserve">Seiko</t>
  </si>
  <si>
    <t xml:space="preserve">SDI 4000</t>
  </si>
  <si>
    <t xml:space="preserve">operation manual for SDI 4000 Semiconductor process evaluation SEM</t>
  </si>
  <si>
    <t xml:space="preserve">ORIGINAL MANUAL NON-CLEANROOM PAPER</t>
  </si>
  <si>
    <t xml:space="preserve">52191</t>
  </si>
  <si>
    <t xml:space="preserve">Seiko Seiki</t>
  </si>
  <si>
    <t xml:space="preserve">SCU 301H</t>
  </si>
  <si>
    <t xml:space="preserve">Turbo Pump  Controller Unit</t>
  </si>
  <si>
    <t xml:space="preserve">Turbo Molecular pump Controller
6 kg 24 cm x 41 cm x 14 cm
in excellent working condition</t>
  </si>
  <si>
    <t xml:space="preserve">71921</t>
  </si>
  <si>
    <t xml:space="preserve">SCU-1000C</t>
  </si>
  <si>
    <t xml:space="preserve">Controller for Seiko Seiki STP 1000C Turbo pump</t>
  </si>
  <si>
    <t xml:space="preserve">For Axcelis GSD 200 implanter.
Used , working condition
1200 VA
50/60 HZ 1 PHASE 200-240 VAC
WEIGHT 21 KG
CE MARKED
DIMENSIONS 53 CM X  50 CM X 14 CM
Not included cables.
Pumps is available
</t>
  </si>
  <si>
    <t xml:space="preserve">115408</t>
  </si>
  <si>
    <t xml:space="preserve">SEKI DENKO</t>
  </si>
  <si>
    <t xml:space="preserve">EATON H1101079  </t>
  </si>
  <si>
    <t xml:space="preserve">2000 950-1005-03 THERMOMETER USED</t>
  </si>
  <si>
    <t xml:space="preserve">20268</t>
  </si>
  <si>
    <t xml:space="preserve">SEKISUI</t>
  </si>
  <si>
    <t xml:space="preserve">VANTEC SIGMA 200 K1</t>
  </si>
  <si>
    <t xml:space="preserve">Antistatic 200 MM Wafer shipping box</t>
  </si>
  <si>
    <t xml:space="preserve">-Designed for storage and transport
-The boxes can also be used not only for silicon wafer but also for 
compound semiconductor wafers.
-Cover in Polycarbonate
-Cushion in antistatic Polypropylene
-Cassette in antistatic Polypropylene
 -Gasket Elastomer
 -Bottom in antistatic Polypropylene
 -used once and cleaned and sealed. -see attached specification for 
technical details.
</t>
  </si>
  <si>
    <t xml:space="preserve">77189</t>
  </si>
  <si>
    <t xml:space="preserve">Semco</t>
  </si>
  <si>
    <t xml:space="preserve">156 MM WAFER BOAT</t>
  </si>
  <si>
    <t xml:space="preserve">Solar Wafer (156mm) Quartz Rack/Holder for a Furnace</t>
  </si>
  <si>
    <t xml:space="preserve">New, UNUSED. TOTAL QTY 6 AVAILABLE. FOR 156 MM SQUARE SOLAR WAFERS.
BOX DIMENSIONS: 22 CM X 31 CM X 24 CM H , 1.1 KG PER QTY 1
 </t>
  </si>
  <si>
    <t xml:space="preserve">77185</t>
  </si>
  <si>
    <t xml:space="preserve">C60</t>
  </si>
  <si>
    <t xml:space="preserve">Cleanstar PFA Valve C608075305A12HPW C60 HPW</t>
  </si>
  <si>
    <t xml:space="preserve">Gemu Semco Cleanstar PFA Valve C608075305A12HPW C60 HPW *USED*
Semco Gemu Cleanstar C60 E012391 C608075305A12HPW valve
PS 6.0bar
PST 4,0 - 7,0bar
ICH-88071584-00-517105
This valve is from our solar line, it appears new in the box, but it is 
opened and may have been used. Selling as-is.
This item will ship from our Boerne, Texas USA warehouse.</t>
  </si>
  <si>
    <t xml:space="preserve">110467</t>
  </si>
  <si>
    <t xml:space="preserve">HVS 2K Controller</t>
  </si>
  <si>
    <t xml:space="preserve">Sold Ex-Works, UK Office , Part Number:HVS2KTP</t>
  </si>
  <si>
    <t xml:space="preserve">110466</t>
  </si>
  <si>
    <t xml:space="preserve">HVS 1500 Controller</t>
  </si>
  <si>
    <t xml:space="preserve">Sold Ex-Works, UK Office , Part Number:HVS 1500</t>
  </si>
  <si>
    <t xml:space="preserve">77198</t>
  </si>
  <si>
    <t xml:space="preserve">wafer boat</t>
  </si>
  <si>
    <t xml:space="preserve">Solar Wafer (156mm square) Quartz Rack/Holder for a Furnace</t>
  </si>
  <si>
    <t xml:space="preserve">  Used in good condition
 </t>
  </si>
  <si>
    <t xml:space="preserve">77191</t>
  </si>
  <si>
    <t xml:space="preserve">Wafer Boat</t>
  </si>
  <si>
    <t xml:space="preserve">Solar Wafer (156mm) Quartz wafer boat</t>
  </si>
  <si>
    <t xml:space="preserve">New in the box, qty 8+ available, for 156 mm square solar wafers.
Located at our Avezzano, Italy warehouse.
 </t>
  </si>
  <si>
    <t xml:space="preserve">84365</t>
  </si>
  <si>
    <t xml:space="preserve">Semitool</t>
  </si>
  <si>
    <t xml:space="preserve">A72-20M</t>
  </si>
  <si>
    <t xml:space="preserve">SRD Rotor  for 2 inch wafers</t>
  </si>
  <si>
    <t xml:space="preserve">Semitool SRD Rotor
Used,good condition
A72-20M
15364
515
3/8
 </t>
  </si>
  <si>
    <t xml:space="preserve">84364</t>
  </si>
  <si>
    <t xml:space="preserve">PA-72-30M</t>
  </si>
  <si>
    <t xml:space="preserve">SRD Rotor for 3 inch wafers</t>
  </si>
  <si>
    <t xml:space="preserve"> spares</t>
  </si>
  <si>
    <t xml:space="preserve">Semitool SRD Rotor
Used,good condition
PA-72-30M
 </t>
  </si>
  <si>
    <t xml:space="preserve">116420</t>
  </si>
  <si>
    <t xml:space="preserve">Storm III (Manual)</t>
  </si>
  <si>
    <t xml:space="preserve">Box and Cassette Cleaning System Equipment Manual V1.2</t>
  </si>
  <si>
    <t xml:space="preserve">Semitool Storm 3 Box and Cassette Cleaning System Equipment Manual, V1.2
Date: 06/10/96
See attached some photos showing index and title pages of this manual etc.
This manual is printed on cleanroom paper.
However, the schematics in section 7 appear to be printed on standard 
paper.
Will ship to you from our warehouse in Avezzano, 67051 Italy.</t>
  </si>
  <si>
    <t xml:space="preserve">78169</t>
  </si>
  <si>
    <t xml:space="preserve">Sensarray</t>
  </si>
  <si>
    <t xml:space="preserve">1530D-8-0023</t>
  </si>
  <si>
    <t xml:space="preserve">Process Probe Instrumented Wafer</t>
  </si>
  <si>
    <t xml:space="preserve">1500 series TC process probe.
Sensarray's 1500 series of thermocouple process probe temperature 
instrumented wafers and substrates are used as a substitute for actual 
production wafers to capture temerature data experienced by the wafer in 
semiconductor processing equipment.
The type 1530 can be used for hot and cold wall processing systems. The 
wafer has chromel-alumel type K thermocouples bonded into the wafer.
See attached photos for further details of the process specification and 
useage of the wafer.
Located in Avezzano 67051 Italy
WEIGHT 850 GRAMMES
DIMENSIONS 51 CM X 32 CM X 5 CM</t>
  </si>
  <si>
    <t xml:space="preserve">78170</t>
  </si>
  <si>
    <t xml:space="preserve">Process Prober Instrumented Wafer</t>
  </si>
  <si>
    <t xml:space="preserve">1500 series TC process probe.
Sensarray's 1500 series of thermocouple process probe temperature 
instrumented wafers and substrates are used as a substitute for actual 
production wafers to capture temerature data experienced by the wafer in 
semiconductor processing equipment.
The type 1530 can be used for hot and cold wall processing systems. The 
wafer has chromel-alumel type K thermocouples bonded into the wafer.
See attached photos for further details of the process specification and 
useage of the wafer.
Located in Naples, Italy.
SERIAL NUMBER 53651
WEIGHT 850 GRAMMES
DIMENSIONS 51 CM X 32 CM X 5 CM</t>
  </si>
  <si>
    <t xml:space="preserve">110474</t>
  </si>
  <si>
    <t xml:space="preserve">Seren</t>
  </si>
  <si>
    <t xml:space="preserve">AT6</t>
  </si>
  <si>
    <t xml:space="preserve">Sold Ex-Works, UK Office , Part Number:9400000045</t>
  </si>
  <si>
    <t xml:space="preserve">110473</t>
  </si>
  <si>
    <t xml:space="preserve">Sold Ex-Works, UK Office , Part Number:9400000018</t>
  </si>
  <si>
    <t xml:space="preserve">110475</t>
  </si>
  <si>
    <t xml:space="preserve">AT6M</t>
  </si>
  <si>
    <t xml:space="preserve">Sold Ex-Works, UK Office , Part Number:9400280001</t>
  </si>
  <si>
    <t xml:space="preserve">110468</t>
  </si>
  <si>
    <t xml:space="preserve">AT20</t>
  </si>
  <si>
    <t xml:space="preserve">Sold Ex-Works, UK Office , Part Number:9400110009</t>
  </si>
  <si>
    <t xml:space="preserve">110469</t>
  </si>
  <si>
    <t xml:space="preserve">AT30</t>
  </si>
  <si>
    <t xml:space="preserve">Sold Ex-Works, UK Office , Part Number:9400140004</t>
  </si>
  <si>
    <t xml:space="preserve">110470</t>
  </si>
  <si>
    <t xml:space="preserve">AT35</t>
  </si>
  <si>
    <t xml:space="preserve">Sold Ex-Works, UK Office , Part Number:9400110015</t>
  </si>
  <si>
    <t xml:space="preserve">110471</t>
  </si>
  <si>
    <t xml:space="preserve">AT35DSE2</t>
  </si>
  <si>
    <t xml:space="preserve">Sold Ex-Works, UK Office , Part Number:9400140011</t>
  </si>
  <si>
    <t xml:space="preserve">110472</t>
  </si>
  <si>
    <t xml:space="preserve">AT35VFC</t>
  </si>
  <si>
    <t xml:space="preserve">Sold Ex-Works, UK Office , Part Number:9400390000</t>
  </si>
  <si>
    <t xml:space="preserve">110480</t>
  </si>
  <si>
    <t xml:space="preserve">I1827MWF</t>
  </si>
  <si>
    <t xml:space="preserve">Sold Ex-Works, UK Office , Part Number:9600560000</t>
  </si>
  <si>
    <t xml:space="preserve">110479</t>
  </si>
  <si>
    <t xml:space="preserve">110481</t>
  </si>
  <si>
    <t xml:space="preserve">110478</t>
  </si>
  <si>
    <t xml:space="preserve">110477</t>
  </si>
  <si>
    <t xml:space="preserve">110482</t>
  </si>
  <si>
    <t xml:space="preserve">I2000</t>
  </si>
  <si>
    <t xml:space="preserve">Sold Ex-Works, UK Office , Part Number:IPS-I2000</t>
  </si>
  <si>
    <t xml:space="preserve">110489</t>
  </si>
  <si>
    <t xml:space="preserve">L301</t>
  </si>
  <si>
    <t xml:space="preserve">Sold Ex-Works, UK Office , Part Number:9600740012 , Secondary P/N:L301MKII</t>
  </si>
  <si>
    <t xml:space="preserve">110488</t>
  </si>
  <si>
    <t xml:space="preserve">Sold Ex-Works, UK Office , Part Number:9600740010</t>
  </si>
  <si>
    <t xml:space="preserve">110487</t>
  </si>
  <si>
    <t xml:space="preserve">110486</t>
  </si>
  <si>
    <t xml:space="preserve">110485</t>
  </si>
  <si>
    <t xml:space="preserve">Sold Ex-Works, UK Office , Part Number:9600740004</t>
  </si>
  <si>
    <t xml:space="preserve">110484</t>
  </si>
  <si>
    <t xml:space="preserve">Sold Ex-Works, UK Office , Part Number:9600740002</t>
  </si>
  <si>
    <t xml:space="preserve">110483</t>
  </si>
  <si>
    <t xml:space="preserve">110491</t>
  </si>
  <si>
    <t xml:space="preserve">L601</t>
  </si>
  <si>
    <t xml:space="preserve">Sold Ex-Works, UK Office , Part Number:9600640004</t>
  </si>
  <si>
    <t xml:space="preserve">110490</t>
  </si>
  <si>
    <t xml:space="preserve">110497</t>
  </si>
  <si>
    <t xml:space="preserve">MC2 Controller</t>
  </si>
  <si>
    <t xml:space="preserve">Sold Ex-Works, UK Office , Part Number:9200010030</t>
  </si>
  <si>
    <t xml:space="preserve">110496</t>
  </si>
  <si>
    <t xml:space="preserve">Sold Ex-Works, UK Office , Part Number:9200010029</t>
  </si>
  <si>
    <t xml:space="preserve">110495</t>
  </si>
  <si>
    <t xml:space="preserve">Sold Ex-Works, UK Office , Part Number:9200010023</t>
  </si>
  <si>
    <t xml:space="preserve">110494</t>
  </si>
  <si>
    <t xml:space="preserve">110493</t>
  </si>
  <si>
    <t xml:space="preserve">Sold Ex-Works, UK Office , Part Number:9200010000</t>
  </si>
  <si>
    <t xml:space="preserve">110492</t>
  </si>
  <si>
    <t xml:space="preserve">110498</t>
  </si>
  <si>
    <t xml:space="preserve">MCRS</t>
  </si>
  <si>
    <t xml:space="preserve">Sold Ex-Works, UK Office , Part Number:9500300001</t>
  </si>
  <si>
    <t xml:space="preserve">110499</t>
  </si>
  <si>
    <t xml:space="preserve">PSRS</t>
  </si>
  <si>
    <t xml:space="preserve">Sold Ex-Works, UK Office , Part Number:9500360001</t>
  </si>
  <si>
    <t xml:space="preserve">110502</t>
  </si>
  <si>
    <t xml:space="preserve">R601</t>
  </si>
  <si>
    <t xml:space="preserve">Sold Ex-Works, UK Office , Part Number:9600610054</t>
  </si>
  <si>
    <t xml:space="preserve">110500</t>
  </si>
  <si>
    <t xml:space="preserve">R2001</t>
  </si>
  <si>
    <t xml:space="preserve">Excellent condition with 3 months warranty.
Sold Ex-Works, UK Office , Part Number:9600650002</t>
  </si>
  <si>
    <t xml:space="preserve">110501</t>
  </si>
  <si>
    <t xml:space="preserve">R3001</t>
  </si>
  <si>
    <t xml:space="preserve">Sold Ex-Works, UK Office , Part Number:9600690006</t>
  </si>
  <si>
    <t xml:space="preserve">110476</t>
  </si>
  <si>
    <t xml:space="preserve">Seren </t>
  </si>
  <si>
    <t xml:space="preserve">Sold Ex-Works, UK Office , Part Number:MC3</t>
  </si>
  <si>
    <t xml:space="preserve">110503</t>
  </si>
  <si>
    <t xml:space="preserve">Seren Match</t>
  </si>
  <si>
    <t xml:space="preserve">Sold Ex-Works, UK Office , Part Number:PM313-0315</t>
  </si>
  <si>
    <t xml:space="preserve">110506</t>
  </si>
  <si>
    <t xml:space="preserve">SET</t>
  </si>
  <si>
    <t xml:space="preserve">SET 1500</t>
  </si>
  <si>
    <t xml:space="preserve">Sold Ex-Works, UK Office , Part Number:9901-0003-04</t>
  </si>
  <si>
    <t xml:space="preserve">110505</t>
  </si>
  <si>
    <t xml:space="preserve">110504</t>
  </si>
  <si>
    <t xml:space="preserve">77161</t>
  </si>
  <si>
    <t xml:space="preserve">Shimaden</t>
  </si>
  <si>
    <t xml:space="preserve">SR91-8P-90-1N0</t>
  </si>
  <si>
    <t xml:space="preserve">Temperature Regulator</t>
  </si>
  <si>
    <t xml:space="preserve">Shimaden SR91 Temperature REGULATOR.
Used, in good condition
Will Ship from our AVEZZANO 67051 ITALY  Warehouse</t>
  </si>
  <si>
    <t xml:space="preserve">83548</t>
  </si>
  <si>
    <t xml:space="preserve">Shindengen</t>
  </si>
  <si>
    <t xml:space="preserve">SDC05150G</t>
  </si>
  <si>
    <t xml:space="preserve">5V 150 A Regulated power supply, Advantest T5335P</t>
  </si>
  <si>
    <t xml:space="preserve">Removed from working service from Advantest T5335P tester
SDC05150G
WBL-PS5V150A
 </t>
  </si>
  <si>
    <t xml:space="preserve">105873</t>
  </si>
  <si>
    <t xml:space="preserve">Shinmei Keiki</t>
  </si>
  <si>
    <t xml:space="preserve">76610</t>
  </si>
  <si>
    <t xml:space="preserve">SHOWA</t>
  </si>
  <si>
    <t xml:space="preserve">341</t>
  </si>
  <si>
    <t xml:space="preserve">Laboratory Power Supply - 4 channel</t>
  </si>
  <si>
    <t xml:space="preserve">laboratory</t>
  </si>
  <si>
    <r>
      <rPr>
        <sz val="8"/>
        <rFont val="Arial"/>
        <family val="0"/>
      </rPr>
      <t xml:space="preserve">-Deinstalled, warehoused.
-In working condition
-See photos for details
-Available for immediate consignment
-Can be inspected by appointment
-Located in Avezzano 67051 Italy
Config: Output: 0~-6V 0.5A 0~+12V 2A 0~+/-20V 0.5A Number of Chambers: 
Process: Power supply Comments:
1.GENERAL INFORMATION
Tool ID 	PDE76
Serial Number 	112349
Vintage 	Unknown
OEM 	SHOWA ELECTRONICS
Model 	Model 341
Process 	QUAD OUTPUT POWER SUPPLY
Software Version 	Not specified
2.SAMPLE SPECIFICATION
Sample Size 	Not Specified
Sample Shape 	Not Specified
Cassette Port 	Not Specified
Wafer Cassette 	Not Specified
SMIF Interface 	Not Specified
3. SYSTEM CONFIGURATION(based on a catalog)
Spec. 	Power : 0</t>
    </r>
    <r>
      <rPr>
        <sz val="8"/>
        <rFont val="Noto Sans CJK SC"/>
        <family val="2"/>
      </rPr>
      <t xml:space="preserve">～</t>
    </r>
    <r>
      <rPr>
        <sz val="8"/>
        <rFont val="Arial"/>
        <family val="0"/>
      </rPr>
      <t xml:space="preserve">-6V 0.5A, 0</t>
    </r>
    <r>
      <rPr>
        <sz val="8"/>
        <rFont val="Noto Sans CJK SC"/>
        <family val="2"/>
      </rPr>
      <t xml:space="preserve">～</t>
    </r>
    <r>
      <rPr>
        <sz val="8"/>
        <rFont val="Arial"/>
        <family val="0"/>
      </rPr>
      <t xml:space="preserve">+12V 2A, 0</t>
    </r>
    <r>
      <rPr>
        <sz val="8"/>
        <rFont val="Noto Sans CJK SC"/>
        <family val="2"/>
      </rPr>
      <t xml:space="preserve">～</t>
    </r>
    <r>
      <rPr>
        <sz val="8"/>
        <rFont val="Arial"/>
        <family val="0"/>
      </rPr>
      <t xml:space="preserve">±20V 0.5A
Options
PDE76 Front Side 	  	 
PDE76 Back Side 	  	 
Serial Number 	  	 </t>
    </r>
  </si>
  <si>
    <t xml:space="preserve">76611</t>
  </si>
  <si>
    <t xml:space="preserve">SHOWA ELECTRONICS</t>
  </si>
  <si>
    <t xml:space="preserve">511-16</t>
  </si>
  <si>
    <t xml:space="preserve">REGULATED DC POWER SUPPLY</t>
  </si>
  <si>
    <t xml:space="preserve">-Deinstalled, warehoused.
-In working condition
-See photos for details
-Available for immediate consignment
-Can be inspected by appointment
-Located in Avezzano 67051 Italy
1.GENERAL INFORMATION
Tool ID 	PDE73
Serial Number 	112403
Vintage 	Unknown
OEM 	SHOWA ELECTRONICS
Model 	REGULATED DC POWER SUPPLY 511-16
Process 	REGULATED DC POWER SUPPLY
Software Version 	Not Specified
2.SAMPLE SPECIFICATION
Sample Size 	Not Specified
Sample Shape 	Not Specified
Cassette Port 	Not Specified
Wafer Cassette 	Not Specified
SMIF Interface 	Not Specified
3. SYSTEM CONFIGURATION(based on a catalog)
Spec. 	Ch : 4
Power : 0~16V Current : 9A
Options
PDE73 Front Side 	  	 
PDE73 Back Side 	  	 
Serial Number 	  	 </t>
  </si>
  <si>
    <t xml:space="preserve">84237</t>
  </si>
  <si>
    <t xml:space="preserve">SKF</t>
  </si>
  <si>
    <t xml:space="preserve">6002-2Z</t>
  </si>
  <si>
    <t xml:space="preserve">bearings</t>
  </si>
  <si>
    <t xml:space="preserve">Pack of qty 2 sold as a pack, new old stock</t>
  </si>
  <si>
    <t xml:space="preserve">84268</t>
  </si>
  <si>
    <t xml:space="preserve">SMC</t>
  </si>
  <si>
    <t xml:space="preserve">CDG1FA20-222</t>
  </si>
  <si>
    <t xml:space="preserve">AIR CYLINDER
CDG1FA20-222
CZ
MAX PRESS: 1.0 MPa  145 PSI
WEIGHT: 400 GR.
DIMENSION: 3,5 X 3,5 X 34 (H)
</t>
  </si>
  <si>
    <t xml:space="preserve">84262</t>
  </si>
  <si>
    <t xml:space="preserve">CDGBN20-204</t>
  </si>
  <si>
    <t xml:space="preserve">TOTAL WEIGHT: 1,300 KG.
DIMENSION FOR EACH: 6 X 5 37 (H)
CDBN20-204  B803 MAX PRESS. 1.0 MPa
CDMK20-250          MAX PRESS. 1.0 MPa
CDG1BA20-222      MAX PRESS. 1.0 MPa 145 psi
</t>
  </si>
  <si>
    <t xml:space="preserve">84269</t>
  </si>
  <si>
    <t xml:space="preserve">CDJ2F16</t>
  </si>
  <si>
    <t xml:space="preserve">AIR CYLINDER
CDJ2F16-250-B
MAX PRESS: 0,7 MPa  100 PSI
WEIGHT: 200 GR.
DIMENSION: 4 X 2 X 32,5 (H)
</t>
  </si>
  <si>
    <t xml:space="preserve">84263</t>
  </si>
  <si>
    <t xml:space="preserve">CDM2BZ20-125</t>
  </si>
  <si>
    <t xml:space="preserve">CDM2BZ20-125 -C80 MAX PRESSURE 1.0 MPa 145 PSa
TOTAL WEIGHT: 500 GR.
DIMENSION FOR EACH: 4 X 3 X 23 (H)
</t>
  </si>
  <si>
    <t xml:space="preserve">84267</t>
  </si>
  <si>
    <t xml:space="preserve">CDM2RA20-190</t>
  </si>
  <si>
    <t xml:space="preserve">AIR CYLINDER
CDM2RA20-190
X339
MAX PRESS: 1.0 MPa
WEIGHT: 250 GR.
DIMENSION: 3 X 3 X 29 (H)
</t>
  </si>
  <si>
    <t xml:space="preserve">83868</t>
  </si>
  <si>
    <t xml:space="preserve">CDQ1B32-40D</t>
  </si>
  <si>
    <t xml:space="preserve">CYL compact, CQ2 COMPACT CYLINDER</t>
  </si>
  <si>
    <t xml:space="preserve">MAX PRESS 9.9 KGF/CM
140 PSI
PQ
D80
WEIGHT: 700 GR.
DIMENSION: 10 CM. X 15 CM. X 7,5 CM.(H)</t>
  </si>
  <si>
    <t xml:space="preserve">83869</t>
  </si>
  <si>
    <t xml:space="preserve">CDQ1B40-20DM</t>
  </si>
  <si>
    <t xml:space="preserve">CYLINDER compact, CQ2 COMPACT CYLINDER</t>
  </si>
  <si>
    <t xml:space="preserve">MAX PRESS 9.9 KGF/CM
140 PSI
OQ
20 DM
D80
BIN: SU 225-2-D
WEIGHT: 500 GR.
DIMENSION: 9 CM. X 5 CM. X 8 CM.(H)</t>
  </si>
  <si>
    <t xml:space="preserve">83839</t>
  </si>
  <si>
    <t xml:space="preserve">CDQSWB20-35DC</t>
  </si>
  <si>
    <t xml:space="preserve">COMPACT CYLINDER</t>
  </si>
  <si>
    <t xml:space="preserve">SMC Part Description:CYL, COMPACT *LQA
SMC Products Line: ACTUATOR
SMC Family: CQ2 COMPACT CYLINDER
SMC Family Code: LD
SMC Class Description:32MM CQ2 EUROPEAN
WEIGHT: 250 GR
DIMENSION:3,5 X 3,5 X 12 (H)
THE PRICE IS FOR EACH
</t>
  </si>
  <si>
    <t xml:space="preserve">77163</t>
  </si>
  <si>
    <t xml:space="preserve">CDRB2BWU20-270S</t>
  </si>
  <si>
    <t xml:space="preserve">ACTUATOR, ROTARY, VANE TYPE</t>
  </si>
  <si>
    <t xml:space="preserve">New in Box
SMC Actuator, Rotary Vane type
CRB2H12
Ships from our AVEZZANO 67051 ITALY WAREHOUSE</t>
  </si>
  <si>
    <t xml:space="preserve">83612</t>
  </si>
  <si>
    <t xml:space="preserve">USED, with connectors   
SMC Actuator, Rotary Vane type
CRB2H12
Ships from our Boerne, TX Location
</t>
  </si>
  <si>
    <t xml:space="preserve">84079</t>
  </si>
  <si>
    <t xml:space="preserve">CDY1S15H</t>
  </si>
  <si>
    <t xml:space="preserve">TESTED</t>
  </si>
  <si>
    <t xml:space="preserve">CDY 1S15H
WIP 43031
INITIAL 7 GM
06861
WEIGHT: 1,350 KG.
DIMENSION: 10 X 28 X 4 (H)</t>
  </si>
  <si>
    <t xml:space="preserve">84259</t>
  </si>
  <si>
    <t xml:space="preserve">CMFN20-50</t>
  </si>
  <si>
    <t xml:space="preserve">84264</t>
  </si>
  <si>
    <t xml:space="preserve">CMFN20-50
MAX PRESSURE: 9.9
PSI UP
TOTAL WEIGHT: 220 GR.
DIMENSION FOR EACH: 8 X 4 X 17 (H)
</t>
  </si>
  <si>
    <t xml:space="preserve">83843</t>
  </si>
  <si>
    <t xml:space="preserve">CQ2B25-20DC</t>
  </si>
  <si>
    <t xml:space="preserve">ACTUATOR, CQ2 COMPACT CYLINDER</t>
  </si>
  <si>
    <t xml:space="preserve">CYL, COMPACT
ACTUATOR
CQ2 COMPACT CYLINDER
25MM CQ2 OTHERS (COMBO)
32MM CQ2 EUROPEAN
WEIGHT: 100 GR
DIMENSION:4 X 4 X 5 (H)
THE PRICE IS FOR EACH
32MM CQ2 DOUBLE-ACTING</t>
  </si>
  <si>
    <t xml:space="preserve">83842</t>
  </si>
  <si>
    <t xml:space="preserve">CQ2B25-25D</t>
  </si>
  <si>
    <t xml:space="preserve">ACTUATOR CYLINDER</t>
  </si>
  <si>
    <t xml:space="preserve">CYL, COMPACT, ADJ STK EXTEND
ACTUATOR
25MM CQ2 OTHERS (COMBO)
32MM CQ2 EUROPEAN
WEIGHT: 150 GR
DIMENSION:4 X 4 X 5,5 (H)
THE PRICE IS FOR EACH
32MM CQ2 DOUBLE-ACTING</t>
  </si>
  <si>
    <t xml:space="preserve">84225</t>
  </si>
  <si>
    <t xml:space="preserve">CY 4R08</t>
  </si>
  <si>
    <t xml:space="preserve">CY3B15-300 CYLINDER</t>
  </si>
  <si>
    <t xml:space="preserve">SMC CY3B15-300 cyl, rodless, mag. coupled, CY3B MAGNETICALLY COUPLED CYL.
WEIGHT:400 GR.
DIMENSION: 4 X 4 X 40 (H)</t>
  </si>
  <si>
    <t xml:space="preserve">83872</t>
  </si>
  <si>
    <t xml:space="preserve">DF9N</t>
  </si>
  <si>
    <t xml:space="preserve">VALVES</t>
  </si>
  <si>
    <t xml:space="preserve">CKD DF9N
WEIGHT: 100 GR.
DIMENSION:12 CM. X 2 CM. X 5 CM.(H) FOR EACH</t>
  </si>
  <si>
    <t xml:space="preserve">83844</t>
  </si>
  <si>
    <t xml:space="preserve">ECDQ2B32-30D</t>
  </si>
  <si>
    <t xml:space="preserve">CQ2 COMPACT CYLINDER</t>
  </si>
  <si>
    <t xml:space="preserve">SMC ECDQ2B32-30D cyl, compact, CQ2 COMPACT CYLINDER
NEW, UNUSED CONDITION.
25MM CQ2 OTHERS (COMBO)
32MM CQ2 EUROPEAN
WEIGHT: 300 GR
DIMENSION:6 X 4,5 X 8 (H)
THE PRICE IS FOR EACH
32MM CQ2 DOUBLE-ACTING</t>
  </si>
  <si>
    <t xml:space="preserve">83845</t>
  </si>
  <si>
    <t xml:space="preserve">ECDQ2B32-50D</t>
  </si>
  <si>
    <t xml:space="preserve">SMC ECDQ2B32-50D
WEIGHT:400 GR.
DIM:5,5 X 4,5 X 9 (H)
32MM CQ2 DOUBLE-ACTING</t>
  </si>
  <si>
    <t xml:space="preserve">83840</t>
  </si>
  <si>
    <t xml:space="preserve">ECQ2B32-10DC</t>
  </si>
  <si>
    <t xml:space="preserve">ACTUATOR, 32MM CQ2 DOUBLE-ACTING</t>
  </si>
  <si>
    <t xml:space="preserve">SMC Part Description: CYL, COMPACT *LQA
SMC Products Line: ACTUATOR
SMC Family: CQ2 COMPACT CYLINDER
SMC Family Code: L7
SMC Class Description: 32MM CQ2 EUROPEAN
WEIGHT: 100 GR
DIMENSION:5 X 5 X 4 (H)
THE PRICE IS FOR EACH
32MM CQ2 DOUBLE-ACTING
32MM CQ2 DOUBLE-ACTING</t>
  </si>
  <si>
    <t xml:space="preserve">83547</t>
  </si>
  <si>
    <t xml:space="preserve">IRS_056/09/GT</t>
  </si>
  <si>
    <t xml:space="preserve">RODLESS PNEUMATIC CYLINDER *NEW*</t>
  </si>
  <si>
    <t xml:space="preserve">Like new, wrapped in plastic
IRS_06/09/GT
RL16953
Mx Pressure 0.8 MPa
MY1B16-250A
</t>
  </si>
  <si>
    <t xml:space="preserve">83632</t>
  </si>
  <si>
    <t xml:space="preserve">MHF2-12D1R</t>
  </si>
  <si>
    <t xml:space="preserve">SMC cylinder </t>
  </si>
  <si>
    <t xml:space="preserve"> Used, removed from working tool, sold as-is.
 SMC Cylinder
Press. 0.1 - 0.7  </t>
  </si>
  <si>
    <t xml:space="preserve">83867</t>
  </si>
  <si>
    <t xml:space="preserve">MXS16-30 AS</t>
  </si>
  <si>
    <t xml:space="preserve">cyl, slide table, MXS/MXJ GUIDED CYLINDER</t>
  </si>
  <si>
    <t xml:space="preserve">PRESS 0.15-07 MPa
15-7 1 KGF/CM
22-100 PSI
WEIGHT: 700 GR.
DIMENSION: 8,5 CM. X 8 CM. X 4 CM.(H)</t>
  </si>
  <si>
    <t xml:space="preserve">77152</t>
  </si>
  <si>
    <t xml:space="preserve">RL17858 1030567</t>
  </si>
  <si>
    <t xml:space="preserve">0.8MPS RODLESS PNEUMATIC CYLINDER *NEW*</t>
  </si>
  <si>
    <t xml:space="preserve">Like new, wrapped in plastic</t>
  </si>
  <si>
    <t xml:space="preserve">84214</t>
  </si>
  <si>
    <t xml:space="preserve">ULUSP-00005</t>
  </si>
  <si>
    <t xml:space="preserve">PNEUMATIC MANIFOLD BASE BLOCK with SMC VL-14 VL-15 VL-16</t>
  </si>
  <si>
    <t xml:space="preserve">on ebay
</t>
  </si>
  <si>
    <t xml:space="preserve">84256</t>
  </si>
  <si>
    <t xml:space="preserve">WO 36517</t>
  </si>
  <si>
    <t xml:space="preserve">RODLESS CYLINDER</t>
  </si>
  <si>
    <t xml:space="preserve">CY1B25H-530
MAX PRESSURE 7 BAR
WO 36517
WEIGHT: 1,2 KG.
DIMENSION: 5 X 5 X 67 (H)
</t>
  </si>
  <si>
    <t xml:space="preserve">84236</t>
  </si>
  <si>
    <t xml:space="preserve">ZPT25US-B5</t>
  </si>
  <si>
    <t xml:space="preserve">Suction cups</t>
  </si>
  <si>
    <t xml:space="preserve">new in the pack, qty 5 for sale</t>
  </si>
  <si>
    <t xml:space="preserve">77157</t>
  </si>
  <si>
    <t xml:space="preserve">ZX1101-K15LZB-D21L-X121</t>
  </si>
  <si>
    <t xml:space="preserve">Vacuum GENERATOR ZXF35</t>
  </si>
  <si>
    <t xml:space="preserve">New in Box SMC ZXF1101-K15LZB-D21L-X121 Vacuum Ejector
ZXF35</t>
  </si>
  <si>
    <t xml:space="preserve">83505</t>
  </si>
  <si>
    <t xml:space="preserve">SORENSEN</t>
  </si>
  <si>
    <t xml:space="preserve">53268</t>
  </si>
  <si>
    <t xml:space="preserve">Sorensen</t>
  </si>
  <si>
    <t xml:space="preserve">SS200-S0120</t>
  </si>
  <si>
    <t xml:space="preserve">Power Supply Megatest Part number 113849</t>
  </si>
  <si>
    <t xml:space="preserve">Megatest Part Number:113849 Vintage 1994 Qty 3
Available Input: 230V 18A Output: 5V 360A</t>
  </si>
  <si>
    <t xml:space="preserve">7689</t>
  </si>
  <si>
    <t xml:space="preserve">Special Optics</t>
  </si>
  <si>
    <t xml:space="preserve">Beam Enlarger for Argon Ion Laser</t>
  </si>
  <si>
    <t xml:space="preserve">Beam Enlarger for Argon Ion laser</t>
  </si>
  <si>
    <t xml:space="preserve">parts</t>
  </si>
  <si>
    <t xml:space="preserve">Removed from an Insystems 8800 inspection system which uses holograms to 
evidence very small defects in wafers. Two available. Lens diameter 18 cm 
Warehoused in Avezzano (AQ) , Italy.</t>
  </si>
  <si>
    <t xml:space="preserve">53038</t>
  </si>
  <si>
    <t xml:space="preserve">Custom</t>
  </si>
  <si>
    <t xml:space="preserve">Motorized Iris 6"</t>
  </si>
  <si>
    <t xml:space="preserve">Motorized Iris assembly, see images for details.</t>
  </si>
  <si>
    <t xml:space="preserve">7690</t>
  </si>
  <si>
    <t xml:space="preserve">Fourier Transform Lens</t>
  </si>
  <si>
    <t xml:space="preserve">Fourier transform Lens for Argon Ion laser</t>
  </si>
  <si>
    <t xml:space="preserve">Removed from an Insystems 8800 inspection system which uses holograms to 
evidence very small defects in wafers. Two available. Lens diameter 34 cm 
Warehoused in Avezzano (AQ) , Italy.</t>
  </si>
  <si>
    <t xml:space="preserve">53040</t>
  </si>
  <si>
    <t xml:space="preserve">APOD #113</t>
  </si>
  <si>
    <t xml:space="preserve">Optics coming from an equipment called INsystem</t>
  </si>
  <si>
    <t xml:space="preserve">53043</t>
  </si>
  <si>
    <t xml:space="preserve">Beam expander</t>
  </si>
  <si>
    <t xml:space="preserve">53037</t>
  </si>
  <si>
    <t xml:space="preserve">Half silvered mirror 10" X 14"</t>
  </si>
  <si>
    <t xml:space="preserve">53039</t>
  </si>
  <si>
    <t xml:space="preserve">Mirror, 9" X 7"</t>
  </si>
  <si>
    <t xml:space="preserve">Optics coming from an equipment called INsystem, no pictures provided, 
mirror is sealed.</t>
  </si>
  <si>
    <t xml:space="preserve">110507</t>
  </si>
  <si>
    <t xml:space="preserve">SPTS</t>
  </si>
  <si>
    <t xml:space="preserve">A45494</t>
  </si>
  <si>
    <t xml:space="preserve">110508</t>
  </si>
  <si>
    <t xml:space="preserve">A48870R</t>
  </si>
  <si>
    <t xml:space="preserve">110509</t>
  </si>
  <si>
    <t xml:space="preserve">AC1948</t>
  </si>
  <si>
    <t xml:space="preserve">110510</t>
  </si>
  <si>
    <t xml:space="preserve">AS307416.07</t>
  </si>
  <si>
    <t xml:space="preserve">110511</t>
  </si>
  <si>
    <t xml:space="preserve">AS310777.04</t>
  </si>
  <si>
    <t xml:space="preserve">110512</t>
  </si>
  <si>
    <t xml:space="preserve">AS314055-03</t>
  </si>
  <si>
    <t xml:space="preserve">Sold Ex-Works, SDI Fabsurplus UK Office </t>
  </si>
  <si>
    <t xml:space="preserve">110513</t>
  </si>
  <si>
    <t xml:space="preserve">AS317624.A</t>
  </si>
  <si>
    <t xml:space="preserve">110514</t>
  </si>
  <si>
    <t xml:space="preserve">AS317624.H</t>
  </si>
  <si>
    <t xml:space="preserve">110516</t>
  </si>
  <si>
    <t xml:space="preserve">AS318775.07</t>
  </si>
  <si>
    <t xml:space="preserve">110515</t>
  </si>
  <si>
    <t xml:space="preserve">110517</t>
  </si>
  <si>
    <t xml:space="preserve">AS325489.01</t>
  </si>
  <si>
    <t xml:space="preserve">110518</t>
  </si>
  <si>
    <t xml:space="preserve">AS325489.02</t>
  </si>
  <si>
    <t xml:space="preserve">110520</t>
  </si>
  <si>
    <t xml:space="preserve">AS325490.01</t>
  </si>
  <si>
    <t xml:space="preserve">110519</t>
  </si>
  <si>
    <t xml:space="preserve">84414</t>
  </si>
  <si>
    <t xml:space="preserve">SQUARED</t>
  </si>
  <si>
    <t xml:space="preserve">SBO-2</t>
  </si>
  <si>
    <t xml:space="preserve">SWITCH</t>
  </si>
  <si>
    <t xml:space="preserve">3536</t>
  </si>
  <si>
    <t xml:space="preserve">CLASS 3
Ui 660 V
I TH 21 A
CLASS 1538
TYPE SBO-2
FORM S
SERIES A
KW 5.5
7.5 HP
KW 10
HP 13,5
WEIGHT: KG. 1,7
DIMENSION: 9 X 11 X 17,2 (H)  FOR EACH
</t>
  </si>
  <si>
    <t xml:space="preserve">84376</t>
  </si>
  <si>
    <t xml:space="preserve">STARTECH</t>
  </si>
  <si>
    <t xml:space="preserve">GC9SF</t>
  </si>
  <si>
    <t xml:space="preserve">GENDER CHANGER</t>
  </si>
  <si>
    <t xml:space="preserve">DB9 FEMALE
MINI GENDER CHANGER
WEIGHT:50 GR.
DIMENSION: 2 X 8,2 CM X 15 (H)
</t>
  </si>
  <si>
    <t xml:space="preserve">84297</t>
  </si>
  <si>
    <t xml:space="preserve">Staubli</t>
  </si>
  <si>
    <t xml:space="preserve">308998-001</t>
  </si>
  <si>
    <t xml:space="preserve">RX90 robot controller</t>
  </si>
  <si>
    <t xml:space="preserve">Staubli / FSI Robot controller for RX90
ASML 4022-485-18511-FET
Excellent condition</t>
  </si>
  <si>
    <t xml:space="preserve">110521</t>
  </si>
  <si>
    <t xml:space="preserve">STS</t>
  </si>
  <si>
    <t xml:space="preserve">ICP BALUN MATCH</t>
  </si>
  <si>
    <t xml:space="preserve">Was in full working order at deinstallation.
Sold as is ex-works, UK Office.
Part number:AS318775.07</t>
  </si>
  <si>
    <t xml:space="preserve">84022</t>
  </si>
  <si>
    <t xml:space="preserve">Sun</t>
  </si>
  <si>
    <t xml:space="preserve">Ultrasparc 60</t>
  </si>
  <si>
    <t xml:space="preserve">Unix computer from Teradyne J994</t>
  </si>
  <si>
    <t xml:space="preserve">Test</t>
  </si>
  <si>
    <t xml:space="preserve">This is the Sun Microsystems workstation from a Teradyne J994 test system.
It is in working condition.
The exact model is Sun Ultra 60 Creator 3D
P/n 600-6492-01 s/n 019H2A44
The installed hard disk is an IBM DORS-32160 SCSI.
The capacity is 2100 MB
See attached photos for details.
Location of item: Naples office, Napoli 80123 Italy.
Weight and dimensions of item:-
51 cm x 21 cm x 47 cm 17 kg</t>
  </si>
  <si>
    <t xml:space="preserve">84023</t>
  </si>
  <si>
    <t xml:space="preserve">Ultrasparc 60 (Hard Disk Drive)</t>
  </si>
  <si>
    <t xml:space="preserve">Hard Disk from Unix computer from Teradyne J994</t>
  </si>
  <si>
    <t xml:space="preserve">Hard disk from a Sun Microsystems workstation from a Teradyne J994 test 
system.
It is in working condition.
The exact model of the workstation was Sun Ultra 60 Creator 3D
P/n 600-6492-01
 hard disk is an IBM DORS-32160 SCSI.
The capacity is 2100 MB
See attached photo for details.
Location of item: Naples office, Napoli 80123 Italy.
</t>
  </si>
  <si>
    <t xml:space="preserve">84381</t>
  </si>
  <si>
    <t xml:space="preserve">SUNX</t>
  </si>
  <si>
    <t xml:space="preserve">CX-21/FX/SU</t>
  </si>
  <si>
    <t xml:space="preserve">SENSOR SYSTEM</t>
  </si>
  <si>
    <t xml:space="preserve">C8</t>
  </si>
  <si>
    <t xml:space="preserve">CX-21 C8  2 PIECES
FX-7   A8  2 PIECES
FX-13 D8  1 PIECE
SU-7  K8   1 PIECE
WEIGHT: 150 GR.
DIMENSION: 13 X 9 X 4 (H) FOR EACH</t>
  </si>
  <si>
    <t xml:space="preserve">84383</t>
  </si>
  <si>
    <t xml:space="preserve">GSA-5S</t>
  </si>
  <si>
    <t xml:space="preserve">QUALITY PROXIMITY SENSOR</t>
  </si>
  <si>
    <t xml:space="preserve">HB 012</t>
  </si>
  <si>
    <t xml:space="preserve">GSA-5S PS-930GA-1KJ NO.B7075
GSA-5S PS-930GA-1     NO.18076
WEIGHT: 500 GR.
DIMENSION: 11 X 7 X 9 (H) FOR EACH
THE PRICE IS FOR EACH SINGLE ITEM</t>
  </si>
  <si>
    <t xml:space="preserve">84385</t>
  </si>
  <si>
    <t xml:space="preserve">SH-21E</t>
  </si>
  <si>
    <t xml:space="preserve">WEIGHT: 100 GR.
DIMENSION: 9 X 8 X 2,5 (H)</t>
  </si>
  <si>
    <t xml:space="preserve">84380</t>
  </si>
  <si>
    <t xml:space="preserve">SS-A5</t>
  </si>
  <si>
    <t xml:space="preserve">SENSOR CONNECTIONS</t>
  </si>
  <si>
    <t xml:space="preserve">3C3K
0110-4100-00
WEIGHT: 200 GR.
DIMENSION: 15 X 9 X 4 (H) FOR EACH
THE PRICE IS FOR EACH</t>
  </si>
  <si>
    <t xml:space="preserve">84384</t>
  </si>
  <si>
    <t xml:space="preserve">SS-AT1 / SS2-300E</t>
  </si>
  <si>
    <t xml:space="preserve">SS-AT1  I5
SS2-300E 1J
WEIGHT: 150 GR.
DIMENSION: 8 X 8 X 4 (H) FOR EACH</t>
  </si>
  <si>
    <t xml:space="preserve">84382</t>
  </si>
  <si>
    <t xml:space="preserve">SU-7 LO</t>
  </si>
  <si>
    <t xml:space="preserve">SENSOR &amp; SYSTEM</t>
  </si>
  <si>
    <t xml:space="preserve">
WEIGHT: 150 GR.
DIMENSION: 13 X 9 X 4 (H) FOR EACH</t>
  </si>
  <si>
    <t xml:space="preserve">69782</t>
  </si>
  <si>
    <t xml:space="preserve">Super vexta</t>
  </si>
  <si>
    <t xml:space="preserve">udk5114n</t>
  </si>
  <si>
    <t xml:space="preserve">5-phase driver</t>
  </si>
  <si>
    <t xml:space="preserve">5 phase Driver and Motor UPK-566 NAC in origional packaging.</t>
  </si>
  <si>
    <t xml:space="preserve">70302</t>
  </si>
  <si>
    <t xml:space="preserve">SURPASS</t>
  </si>
  <si>
    <t xml:space="preserve">PTC 3/8 NU</t>
  </si>
  <si>
    <t xml:space="preserve">PRESSURE SENSOR FOR EBARA FREX 200</t>
  </si>
  <si>
    <t xml:space="preserve">PTFE PRESSURE SENSOR
FOR EBARA FREX 200</t>
  </si>
  <si>
    <t xml:space="preserve">87367</t>
  </si>
  <si>
    <t xml:space="preserve">SVG</t>
  </si>
  <si>
    <t xml:space="preserve">99-46450-01</t>
  </si>
  <si>
    <t xml:space="preserve">9200SE SVG ASML 90 track Z-robot</t>
  </si>
  <si>
    <t xml:space="preserve">-Sold "as is".
-See attached photos for the condition
-Untested, sold as-is for parts/refurbishment
</t>
  </si>
  <si>
    <t xml:space="preserve">72155</t>
  </si>
  <si>
    <t xml:space="preserve">SVG /ASM</t>
  </si>
  <si>
    <t xml:space="preserve">128197-001</t>
  </si>
  <si>
    <t xml:space="preserve">HEATER ELEMENT, HCGI</t>
  </si>
  <si>
    <t xml:space="preserve">At the warehouse of Fabsurplus Italy, location Avezzano 67051 Italy.See 
attached photos for condition.
NEW, Unused heater element.
In original crate.
s/n H2028
Heater dimensions: OD 84 X 24 X 29, L= 166 CM , ID = 30.5 CM, OD= 41.5 CM
Box size 214 cm x 61 cm x 73 cm.
Approx. weight 200 KG
Date of manufacture 2-7-03</t>
  </si>
  <si>
    <t xml:space="preserve">108986</t>
  </si>
  <si>
    <t xml:space="preserve">SVG Thermco</t>
  </si>
  <si>
    <t xml:space="preserve">165220-001 REV B</t>
  </si>
  <si>
    <t xml:space="preserve">EXTENDER BOARD</t>
  </si>
  <si>
    <t xml:space="preserve">SEE PHOTOS FOR DETAIL.
ORIGINAL OEM MANUFACTURER EXTENDER BOARD
WILL SHIP TO YOU FROM OUR AVEZZANO 67051 ITALY WAREHOUSE</t>
  </si>
  <si>
    <t xml:space="preserve">106941</t>
  </si>
  <si>
    <t xml:space="preserve">168150-002 REV 3 S13</t>
  </si>
  <si>
    <t xml:space="preserve">RELAY BOARD PCB</t>
  </si>
  <si>
    <t xml:space="preserve">BOARD FOR A THERMCO HORIZONAL FURNACE.
SEE ATTACHED PHOTO FOR DETAILS.
DEINSTALLED FROM WORKING.</t>
  </si>
  <si>
    <t xml:space="preserve">108983</t>
  </si>
  <si>
    <t xml:space="preserve">168160-001 REV 4</t>
  </si>
  <si>
    <t xml:space="preserve">PCB, ANALOG ATMOSPHERE APL</t>
  </si>
  <si>
    <t xml:space="preserve">A brand new PCB in original OEM wrapping. The bag has been opened in order 
to take photos of the PCB.
This consists of 2 PCBs, one mounted on the other:-
ANALOG ATM ASSY 168160-001 REV 4 S/N 10100
ATM ANALOG ADJUST ASSY 168170-001 REV 4 S/N 10108</t>
  </si>
  <si>
    <t xml:space="preserve">108982</t>
  </si>
  <si>
    <t xml:space="preserve">606180-01 rev 04</t>
  </si>
  <si>
    <t xml:space="preserve">WTU MOTION CONTROL I/F PCB</t>
  </si>
  <si>
    <t xml:space="preserve">DEINSTALLED AND WAREHOUSED.
AT OUR AVEZZANO, ITALY 67051 WAREHOUSE
SEE ATTACHED PHOTOS FOR DETAILS</t>
  </si>
  <si>
    <t xml:space="preserve">106942</t>
  </si>
  <si>
    <t xml:space="preserve">606200-01 REV 3 S5</t>
  </si>
  <si>
    <t xml:space="preserve">WAF CRT MOTION CONTROL I/F PCB</t>
  </si>
  <si>
    <t xml:space="preserve">108984</t>
  </si>
  <si>
    <t xml:space="preserve">606210-01 REV 4</t>
  </si>
  <si>
    <t xml:space="preserve">S4 CLPB MOTION CONTROL INTERFACE PCB</t>
  </si>
  <si>
    <t xml:space="preserve">NEW PCB IN ORIGINAL BAG.
BAG HAS BEEN OPENED TO TAKE PHOTOS</t>
  </si>
  <si>
    <t xml:space="preserve">106943</t>
  </si>
  <si>
    <t xml:space="preserve">606210-01 REV 4 S4</t>
  </si>
  <si>
    <t xml:space="preserve">CLPB MOTION CONTROL I/F PCB</t>
  </si>
  <si>
    <t xml:space="preserve">BOARD FOR A THERMCO HORIZONAL FURNACE.
SEE ATTACHED PHOTO FOR DETAILS.
NEW UNUSED</t>
  </si>
  <si>
    <t xml:space="preserve">108980</t>
  </si>
  <si>
    <t xml:space="preserve">606314-02 REV 1</t>
  </si>
  <si>
    <t xml:space="preserve">Galil Motion Controller CMU PCB, DMC 1330</t>
  </si>
  <si>
    <t xml:space="preserve">Deinstalled and warehoused. Located at our warehouse in Avezzano (AQ) 67051 
Italy. Available for immediate purchase.
SEE ATTACHED PHOTOS FOR DETAILS OF THE CONDITION.
GALIL MOTION CONTROL
DMC-1330-D130N07G
3 AXIS VME BUS</t>
  </si>
  <si>
    <t xml:space="preserve">108979</t>
  </si>
  <si>
    <t xml:space="preserve">606314-02 REV E</t>
  </si>
  <si>
    <t xml:space="preserve">Deinstalled and warehoused. Located at our warehouse in Avezzano (AQ) 67051 
Italy. Available for immediate purchase.
SEE ATTACHED PHOTOS FOR DETAILS OF THE CONDITION.
GALIL MOTION CONTROL
DMC 1330-D130N07G
3 AXIS VME BUS</t>
  </si>
  <si>
    <t xml:space="preserve">108985</t>
  </si>
  <si>
    <t xml:space="preserve">VMEXB12D-CS</t>
  </si>
  <si>
    <t xml:space="preserve">VMEBus J1/J2 Common Substrate Extender Board</t>
  </si>
  <si>
    <t xml:space="preserve">EXTENDER BOARD.
MADE BY DAWN VME PRODUCTS
DAWN ASSY 06-1004072</t>
  </si>
  <si>
    <t xml:space="preserve">83909</t>
  </si>
  <si>
    <t xml:space="preserve">SWAGELOK</t>
  </si>
  <si>
    <t xml:space="preserve">12M06</t>
  </si>
  <si>
    <t xml:space="preserve">SNO-TRIK
TUBE FITTINGS &amp; VALVE FOR HIGH PRESSURE
NUPRO
CAJON
PRECISION PIPE FITTINGS
SNO-TRIK
WEIGHT: GR. 900
DIMENSION:12 CM. X 9 CM. X CM. 5 (H)
</t>
  </si>
  <si>
    <t xml:space="preserve">83910</t>
  </si>
  <si>
    <t xml:space="preserve">55-8-VCO-4</t>
  </si>
  <si>
    <t xml:space="preserve">TUBE FITTINGS</t>
  </si>
  <si>
    <t xml:space="preserve">WEIGHT: GR. 150
DIMENSION:DIAMETER LARGE: 2,3 CM DIAMETER LITTLE:1,8 CM.
</t>
  </si>
  <si>
    <t xml:space="preserve">83919</t>
  </si>
  <si>
    <t xml:space="preserve">207/235/332</t>
  </si>
  <si>
    <t xml:space="preserve">IPE 108 GR.100 DIMENSION:CM.14 X CM.2 X CM. 2
IPE 110 GR.100 DIMENSION:CM. 9 X  CM.5 X CM. 2
IPE 112 GR. 90  DIMENSION:CM. 6 X  CM.5 X CM.2
IPE 113 GR. 80  DIMENSION:CM. 7 X  CM.5 X CM.2
</t>
  </si>
  <si>
    <t xml:space="preserve">83915</t>
  </si>
  <si>
    <t xml:space="preserve">GLV-4MW-3</t>
  </si>
  <si>
    <t xml:space="preserve">WELD FITTINGS</t>
  </si>
  <si>
    <t xml:space="preserve">L-606A</t>
  </si>
  <si>
    <t xml:space="preserve">MICROBETT
CAJON 316LV
6LV-4MW-3
R26GY0047
PO999318
NORDI
CR/SS
IPE 57
</t>
  </si>
  <si>
    <t xml:space="preserve">83911</t>
  </si>
  <si>
    <t xml:space="preserve">SS-4-VCO-3</t>
  </si>
  <si>
    <t xml:space="preserve">IPE 57
</t>
  </si>
  <si>
    <t xml:space="preserve">83912</t>
  </si>
  <si>
    <t xml:space="preserve">SS-4-VCO-4</t>
  </si>
  <si>
    <t xml:space="preserve">IPE 56
</t>
  </si>
  <si>
    <t xml:space="preserve">83913</t>
  </si>
  <si>
    <t xml:space="preserve">SS-605-4</t>
  </si>
  <si>
    <t xml:space="preserve">IPE 63
</t>
  </si>
  <si>
    <t xml:space="preserve">79890</t>
  </si>
  <si>
    <t xml:space="preserve">Systron Donner</t>
  </si>
  <si>
    <t xml:space="preserve">DL 40 - 2A</t>
  </si>
  <si>
    <t xml:space="preserve">Powe Supply - single and dual voltage</t>
  </si>
  <si>
    <t xml:space="preserve">IN GOOD WORKING CONDITION
LOCATION - AVEZZANO 67051 ITALY
WAREHOUSED
CAN BE INSPECTED BY APPOINTMENT
</t>
  </si>
  <si>
    <t xml:space="preserve">110526</t>
  </si>
  <si>
    <t xml:space="preserve">T&amp;C POWER</t>
  </si>
  <si>
    <t xml:space="preserve">Sold Ex-Works, UK Office , Part Number:06-380 Power Supply</t>
  </si>
  <si>
    <t xml:space="preserve">110525</t>
  </si>
  <si>
    <t xml:space="preserve">110524</t>
  </si>
  <si>
    <t xml:space="preserve">110523</t>
  </si>
  <si>
    <t xml:space="preserve">110522</t>
  </si>
  <si>
    <t xml:space="preserve">115412</t>
  </si>
  <si>
    <t xml:space="preserve">TAZMO</t>
  </si>
  <si>
    <t xml:space="preserve">S0093 S00931040012 </t>
  </si>
  <si>
    <t xml:space="preserve">115409</t>
  </si>
  <si>
    <t xml:space="preserve">S00751080032 S00751080034 S0075 </t>
  </si>
  <si>
    <t xml:space="preserve">115410</t>
  </si>
  <si>
    <t xml:space="preserve">S00751120048 S00751080033 S0075 </t>
  </si>
  <si>
    <t xml:space="preserve">115411</t>
  </si>
  <si>
    <t xml:space="preserve">S00751120048 S00751130054 S0075</t>
  </si>
  <si>
    <t xml:space="preserve">83522</t>
  </si>
  <si>
    <t xml:space="preserve">TDK</t>
  </si>
  <si>
    <t xml:space="preserve">E S R 05-12R-3</t>
  </si>
  <si>
    <t xml:space="preserve">SWITCHING REGULATOR</t>
  </si>
  <si>
    <t xml:space="preserve">NEC CORPORATION</t>
  </si>
  <si>
    <t xml:space="preserve">POWER SUPPLY
ESR -3
05-12R
AC 100V
DC 5V 12 A
</t>
  </si>
  <si>
    <t xml:space="preserve">110531</t>
  </si>
  <si>
    <t xml:space="preserve">RKW24</t>
  </si>
  <si>
    <t xml:space="preserve">Sold Ex-Works, UK Office , Part Number:RKW24-27R</t>
  </si>
  <si>
    <t xml:space="preserve">110530</t>
  </si>
  <si>
    <t xml:space="preserve">110529</t>
  </si>
  <si>
    <t xml:space="preserve">110528</t>
  </si>
  <si>
    <t xml:space="preserve">110527</t>
  </si>
  <si>
    <t xml:space="preserve">84502</t>
  </si>
  <si>
    <t xml:space="preserve">TED PELLA INC</t>
  </si>
  <si>
    <t xml:space="preserve">CAT 622 M</t>
  </si>
  <si>
    <t xml:space="preserve">TIN SPHERES ON CARBON</t>
  </si>
  <si>
    <t xml:space="preserve">17.8mm Mount</t>
  </si>
  <si>
    <t xml:space="preserve">P.O.BOX 492477
REDDING,CA 96049
CAT 622M
TIN SPHERES ON CARBON
17.8mm Mount
</t>
  </si>
  <si>
    <t xml:space="preserve">110547</t>
  </si>
  <si>
    <t xml:space="preserve">Tegal</t>
  </si>
  <si>
    <t xml:space="preserve">Tegal Match</t>
  </si>
  <si>
    <t xml:space="preserve">Sold Ex-Works, UK Office , Part Number:CR1303-10202 , Secondary P/N:450 KHZ</t>
  </si>
  <si>
    <t xml:space="preserve">110545</t>
  </si>
  <si>
    <t xml:space="preserve">Sold Ex-Works, UK Office , Part Number:CR1144-00104</t>
  </si>
  <si>
    <t xml:space="preserve">110544</t>
  </si>
  <si>
    <t xml:space="preserve">110543</t>
  </si>
  <si>
    <t xml:space="preserve">110542</t>
  </si>
  <si>
    <t xml:space="preserve">110541</t>
  </si>
  <si>
    <t xml:space="preserve">Sold Ex-Works, UK Office , Part Number:CR1144-00103</t>
  </si>
  <si>
    <t xml:space="preserve">110540</t>
  </si>
  <si>
    <t xml:space="preserve">Sold Ex-Works, UK Office , Part Number:CR1113-00301</t>
  </si>
  <si>
    <t xml:space="preserve">110539</t>
  </si>
  <si>
    <t xml:space="preserve">110538</t>
  </si>
  <si>
    <t xml:space="preserve">110536</t>
  </si>
  <si>
    <t xml:space="preserve">Sold Ex-Works, UK Office , Part Number:CR1008-00407</t>
  </si>
  <si>
    <t xml:space="preserve">110535</t>
  </si>
  <si>
    <t xml:space="preserve">110533</t>
  </si>
  <si>
    <t xml:space="preserve">Sold Ex-Works, UK Office , Part Number:CR1008-00206RW</t>
  </si>
  <si>
    <t xml:space="preserve">110532</t>
  </si>
  <si>
    <t xml:space="preserve">Sold Ex-Works, UK Office , Part Number:CR1008-00104</t>
  </si>
  <si>
    <t xml:space="preserve">110546</t>
  </si>
  <si>
    <t xml:space="preserve">Tegal Match </t>
  </si>
  <si>
    <t xml:space="preserve">Sold Ex-Works, UK Office , Part Number:CR1144-00104RW</t>
  </si>
  <si>
    <t xml:space="preserve">110537</t>
  </si>
  <si>
    <t xml:space="preserve">Sold Ex-Works, UK Office , Part Number:CR1008-00408EX</t>
  </si>
  <si>
    <t xml:space="preserve">110534</t>
  </si>
  <si>
    <t xml:space="preserve">Tegal </t>
  </si>
  <si>
    <t xml:space="preserve">Sold Ex-Works, UK Office , Part Number:CR1008-00406</t>
  </si>
  <si>
    <t xml:space="preserve">83832</t>
  </si>
  <si>
    <t xml:space="preserve">TEL Tokyo Electron</t>
  </si>
  <si>
    <t xml:space="preserve">028-016314-1</t>
  </si>
  <si>
    <t xml:space="preserve">FITTING TUBE...1016-0 8</t>
  </si>
  <si>
    <t xml:space="preserve">new and in original packing</t>
  </si>
  <si>
    <t xml:space="preserve">86253</t>
  </si>
  <si>
    <t xml:space="preserve">TEL TOKYO ELECTRON</t>
  </si>
  <si>
    <t xml:space="preserve">2985-429208-W4</t>
  </si>
  <si>
    <t xml:space="preserve">ACT 12 2985-429208-W4 ADH SUB UNIT BASE ASSY ADHESIVE MODULE</t>
  </si>
  <si>
    <t xml:space="preserve">300 mm</t>
  </si>
  <si>
    <t xml:space="preserve">Tokyo Electron Hot Plate
Used for ACT12
 2985-429208-W4
300mm ACT 12 2985-429208-W4 ADH SUB UNIT BASE ASSY ADHESIVE MODULE
Used in good condition, needs testing/refurbishment, sold as-is
PACKAGED DIMENSIONS: 62 CM X 67 CM X 40 CM (H)
WEIGHT</t>
  </si>
  <si>
    <t xml:space="preserve">77089</t>
  </si>
  <si>
    <t xml:space="preserve">3387-002688-12</t>
  </si>
  <si>
    <t xml:space="preserve">Tel P8XL Camera assembly</t>
  </si>
  <si>
    <t xml:space="preserve">  Used Tel P8XL Camera assembly, not working
 Sold for parts or repair only
 </t>
  </si>
  <si>
    <t xml:space="preserve">21135</t>
  </si>
  <si>
    <t xml:space="preserve">UPGRADE FOR SCCM OXIDE TOOL</t>
  </si>
  <si>
    <t xml:space="preserve">KIT FOR UPGRADE FOR SCCM OXIDE TOOL</t>
  </si>
  <si>
    <t xml:space="preserve">kit for upgrade of sccm oxide tel etcher. refer to the attached parts list 
for details</t>
  </si>
  <si>
    <t xml:space="preserve">77208</t>
  </si>
  <si>
    <t xml:space="preserve">Tempress</t>
  </si>
  <si>
    <t xml:space="preserve">02022</t>
  </si>
  <si>
    <t xml:space="preserve">Solar Wafer Quartz wafer boat, 5"</t>
  </si>
  <si>
    <t xml:space="preserve">156 mm</t>
  </si>
  <si>
    <t xml:space="preserve">Like new, Sold by each, In Avezzano, Italy.
Sold as-is, where-is
 </t>
  </si>
  <si>
    <t xml:space="preserve">114260</t>
  </si>
  <si>
    <t xml:space="preserve">TEMPRESS</t>
  </si>
  <si>
    <t xml:space="preserve">2506580-21 REV A</t>
  </si>
  <si>
    <t xml:space="preserve">TOUCH SCREEN FOR HORIZONTAL FURNACE TS8403</t>
  </si>
  <si>
    <t xml:space="preserve">QTY 2 AVAILABLE.
USED, WORKING CONDITION.
WITH DRIVER BOARDS.
SYSTEM PROM FPD DIFF P/N 918003 (1.13.241.4011)
LOCATED AT OUR WAREHOUSE IN AVEZZANO, 67051 ITALY
PACKED WEIGHT AND DIMS FOR QTY 2
39 CM X 40 CM X 24 CM H , WEIGHT 3.9 KG</t>
  </si>
  <si>
    <t xml:space="preserve">83829</t>
  </si>
  <si>
    <t xml:space="preserve">TEMPTRONIC</t>
  </si>
  <si>
    <t xml:space="preserve">THERMO SPOT </t>
  </si>
  <si>
    <t xml:space="preserve">THERMO SPOT HEATING HEAD</t>
  </si>
  <si>
    <t xml:space="preserve">WEIGHT: KG. 0,5
DIMENSION: 5 CM. X 5 CM. X 20 CM. (H) </t>
  </si>
  <si>
    <t xml:space="preserve">83553</t>
  </si>
  <si>
    <t xml:space="preserve">TP22-2</t>
  </si>
  <si>
    <t xml:space="preserve">TEMPERATURE TEMP SET</t>
  </si>
  <si>
    <t xml:space="preserve">83576</t>
  </si>
  <si>
    <t xml:space="preserve">TENCOR INSTRUMENTS</t>
  </si>
  <si>
    <t xml:space="preserve">AC 100-120 V</t>
  </si>
  <si>
    <t xml:space="preserve">POWER SW</t>
  </si>
  <si>
    <t xml:space="preserve">AC 100-120 V
TO COMPUTER
TO PRINTER
J1
J2
J6
J7
</t>
  </si>
  <si>
    <t xml:space="preserve">83575</t>
  </si>
  <si>
    <t xml:space="preserve">AC 100V</t>
  </si>
  <si>
    <t xml:space="preserve">AC 100 V</t>
  </si>
  <si>
    <t xml:space="preserve">GPIB
TTY TERMINAL
KEY CASSETTE
STATE
LAMP
FUSE 3A
WEIGHT 6 KG.
DIMENSION: 40 CM. X 30 CM X 14 CM (H)
</t>
  </si>
  <si>
    <t xml:space="preserve">83566</t>
  </si>
  <si>
    <t xml:space="preserve">Teradyne</t>
  </si>
  <si>
    <t xml:space="preserve">405-096-00</t>
  </si>
  <si>
    <t xml:space="preserve">POWER ONE Power Supply 150 Amp, 230 VAC (S233)</t>
  </si>
  <si>
    <t xml:space="preserve">    Power Supply 150 Amp, 230VAC 2-output, removed from working service 
from Teradyne J971 tester. Located in AVEZZANO ITALY 
MANUFACTURER Power One
</t>
  </si>
  <si>
    <t xml:space="preserve">82177</t>
  </si>
  <si>
    <t xml:space="preserve">405-097-00</t>
  </si>
  <si>
    <t xml:space="preserve">Power-One Dual 5 V Power Supply 150 Amp, 230 VAC, for Teradyne J971 tester</t>
  </si>
  <si>
    <t xml:space="preserve">TESTED, OPERATIONAL. PLEASE REFER TO ATTACHED PHOTOS.
POWER-ONE
DC POWER SUPPLY P/N HPM5A2A2KS234
50-60 HZ 230V 23A INPUT
MODULE A2 +/-5V 150A OUTPUT
MODULE A2 +/-5V 150A OUTPUT
QTY 4 AVAILABLE
WEIGHT 8.7 KG, DIMS 33 CM L X 22 CM W X 13 CM H
Located at the warehouse of SDI-Fabsurplus, Avezzano (AQ) 67051 Italy.
Available for immediate shipment to you.</t>
  </si>
  <si>
    <t xml:space="preserve">83497</t>
  </si>
  <si>
    <t xml:space="preserve">405-142-00</t>
  </si>
  <si>
    <t xml:space="preserve">Power Supply 150 Amp, 230 VAC</t>
  </si>
  <si>
    <t xml:space="preserve">    Power Supply 150 Amp, 230VAC 2-output, removed from working service 
from Teradyne J971 tester. Located in AVEZZANO 67051 ITALY
(S228) model, Teradyne P# 405-142-00
</t>
  </si>
  <si>
    <t xml:space="preserve">82925</t>
  </si>
  <si>
    <t xml:space="preserve">405-155-00</t>
  </si>
  <si>
    <t xml:space="preserve">Power-One International Series DC Switching Power Supply, I/P 230VAC/23A, O/P 3.3V/35A / 28V/8.6A / 28V/8.6A / 15V/16A / 15V/16A</t>
  </si>
  <si>
    <t xml:space="preserve">Power-One International Series DC Switching Power Supply, Model 
HPM5C1CE1EH1S240
I/P 230VAC/23A MAX,
O/P 3.3V/35A / 28V/8.6A / 28V/8.6A / 15V/16A / 15V/16A,
MAX OUTPUT 2000 WATTS, removed from working service from Teradyne J971 
tester.
Tested operational (See attached photos). Ready for shipment from Avezzano 
(AQ) 67051 Italy.
WEIGHT 7.6 KG DIMS 38 CM X 16 CM 23 CM  (H)</t>
  </si>
  <si>
    <t xml:space="preserve">83561</t>
  </si>
  <si>
    <t xml:space="preserve">405-167-00</t>
  </si>
  <si>
    <t xml:space="preserve">Power-One International Series Switching DC Power Supply SPM2E1E1S304 500W I/P 115-230v 12-7A	O/P 28VDC 8.6A / 28VDC 8.6A</t>
  </si>
  <si>
    <t xml:space="preserve">Power-One International Series Switching DC Power Supply 500W
Model: SPM2E1E1S304
I/P 115-230v 12-7A   
O/P 28VDC 8.6A / 28VDC 8.6A
Removed from working service from Teradyne J971 tester.
Located in Avezzano (AQ) 67051 Italy
WEIGHT 3.8 KG DIMS37 CM X 10 CM X 18 CM </t>
  </si>
  <si>
    <t xml:space="preserve">80321</t>
  </si>
  <si>
    <t xml:space="preserve">880-751-10</t>
  </si>
  <si>
    <t xml:space="preserve">Teradyne J971 PCB, Removed from working system, warehoused, additional numbers on board 61720 9521</t>
  </si>
  <si>
    <t xml:space="preserve">Teradyne working J971 board, removed from working system
Will ship Fedex in static bags from our Boerne, TX 78006 Warehouse
</t>
  </si>
  <si>
    <t xml:space="preserve">84840</t>
  </si>
  <si>
    <t xml:space="preserve">880-751-10 /E</t>
  </si>
  <si>
    <t xml:space="preserve">Precision Measurement unit PCB, REV E</t>
  </si>
  <si>
    <t xml:space="preserve">Teradyne 880-751-10 /E Precision Measurement PCB
Removed from working unit, in static-sensitive wrap, and stored in our 
Texas warehouse. </t>
  </si>
  <si>
    <t xml:space="preserve">80225</t>
  </si>
  <si>
    <t xml:space="preserve">950-212-03/B</t>
  </si>
  <si>
    <t xml:space="preserve">Teradyne J971 PCB, Removed from working system, warehoused, additional numbers on board /B 55119 9328</t>
  </si>
  <si>
    <t xml:space="preserve">Teradyne J971 P.C.B. for immediate sale.
De-installed from a working system. Located at our Avezzano 67051 Italy 
warehouse.</t>
  </si>
  <si>
    <t xml:space="preserve">80332</t>
  </si>
  <si>
    <t xml:space="preserve">950-217-04</t>
  </si>
  <si>
    <t xml:space="preserve">Teradyne J971 PCB, </t>
  </si>
  <si>
    <t xml:space="preserve">Removed from working system, warehoused, additional numbers on board /B 
61820 9536
Excellent condition Teradyne J971 tester board, removed from working system
Ships FEDEX from our Boerne, TX 78006 Warehouse</t>
  </si>
  <si>
    <t xml:space="preserve">108987</t>
  </si>
  <si>
    <t xml:space="preserve">TERADYNE</t>
  </si>
  <si>
    <t xml:space="preserve">950-217-04 REV B</t>
  </si>
  <si>
    <t xml:space="preserve">PC BOARD FOR TERADYNE J971 SP</t>
  </si>
  <si>
    <t xml:space="preserve">PCB REMOVED FROM A WORKING SYSTEM
TERADYNE XTW217 REV B
WITH 950-533-00A TW533 REV A
WITH BURR BROWN DAC729 TO DAC73
SEE PHOTOS FOR DETAILS</t>
  </si>
  <si>
    <t xml:space="preserve">80221</t>
  </si>
  <si>
    <t xml:space="preserve">950-220-02 rev a</t>
  </si>
  <si>
    <t xml:space="preserve">Teradyne J971 PCB, Removed from working system, warehoused, additional numbers on board /A 42419 9251</t>
  </si>
  <si>
    <t xml:space="preserve">80322</t>
  </si>
  <si>
    <t xml:space="preserve">950-421-01</t>
  </si>
  <si>
    <t xml:space="preserve">Teradyne J971 PCB, Removed from working system, warehoused, additional numbers on board /A 72019 9517</t>
  </si>
  <si>
    <t xml:space="preserve">Excellent condition Teradyne board, removed from working J971 Tester
Sold as-is and ships from our Boerne, TX 78006 Warehouse via FEDEX.
</t>
  </si>
  <si>
    <t xml:space="preserve">80219</t>
  </si>
  <si>
    <t xml:space="preserve">950-421-01/A</t>
  </si>
  <si>
    <t xml:space="preserve">Teradyne J971 PCB, Removed from working system, warehoused, additional numbers on board /A 61819 9517</t>
  </si>
  <si>
    <t xml:space="preserve">80218</t>
  </si>
  <si>
    <t xml:space="preserve">950-541-00 REV A</t>
  </si>
  <si>
    <t xml:space="preserve">Teradyne J971 PCB, Removed from working system, warehoused, additional numbers on board /A 53420 9208</t>
  </si>
  <si>
    <t xml:space="preserve">80217</t>
  </si>
  <si>
    <t xml:space="preserve">950-542-00</t>
  </si>
  <si>
    <t xml:space="preserve">Teradyne J971 PCB, Removed from working system, warehoused, additional numbers on board 30420 9208</t>
  </si>
  <si>
    <t xml:space="preserve">80331</t>
  </si>
  <si>
    <t xml:space="preserve">950-556-01 REV A</t>
  </si>
  <si>
    <t xml:space="preserve">Teradyne J971 PCB, Removed from working system, warehoused, additional numbers on board /A 80419 94222</t>
  </si>
  <si>
    <t xml:space="preserve">80327</t>
  </si>
  <si>
    <t xml:space="preserve">950-558-00 REV A</t>
  </si>
  <si>
    <t xml:space="preserve">Teradyne J971 PCB, Removed from working system, warehoused, additional numbers on board /A 64620 9509</t>
  </si>
  <si>
    <t xml:space="preserve">Teradyne J971 PATTERN GENERATOR SUPPORT P.C.B. for immediate sale.
De-installed from a working system. Located at our Avezzano 67051 Italy 
warehouse.</t>
  </si>
  <si>
    <t xml:space="preserve">80328</t>
  </si>
  <si>
    <t xml:space="preserve">950-560-00</t>
  </si>
  <si>
    <t xml:space="preserve">Teradyne J971 PCB, Removed from working system, warehoused, additional numbers on board /A 93610 9918</t>
  </si>
  <si>
    <t xml:space="preserve">Excellent condition J971 tester board, removed from working tester
Ships FEDEX from our Boerne, TX 78006 Warehouse.
</t>
  </si>
  <si>
    <t xml:space="preserve">108992</t>
  </si>
  <si>
    <t xml:space="preserve">950-560-00 REV A</t>
  </si>
  <si>
    <t xml:space="preserve">PCB REMOVED FROM A WORKING J971 SP TESTER SYSTEM
TERADYNE TW560 REV A MM1 9930A
SEE PHOTOS FOR DETAILS</t>
  </si>
  <si>
    <t xml:space="preserve">108988</t>
  </si>
  <si>
    <t xml:space="preserve">950-561-04 REV A</t>
  </si>
  <si>
    <t xml:space="preserve">PCB REMOVED FROM A WORKING J971 SP TEST SYSTEM
TERADYNE TW561 REV A
SEE PHOTOS FOR DETAILS</t>
  </si>
  <si>
    <t xml:space="preserve">80227</t>
  </si>
  <si>
    <t xml:space="preserve">950-561-04/A</t>
  </si>
  <si>
    <t xml:space="preserve">Teradyne J971 PCB, Removed from working system, warehoused, additional numbers on board /A 60620 9547</t>
  </si>
  <si>
    <t xml:space="preserve">80329</t>
  </si>
  <si>
    <t xml:space="preserve">950-562-00</t>
  </si>
  <si>
    <t xml:space="preserve">Teradyne J971 PCB, Removed from working system, warehoused, additional numbers on board /A 75019 9226</t>
  </si>
  <si>
    <t xml:space="preserve">108990</t>
  </si>
  <si>
    <t xml:space="preserve">950-562-00 REV A</t>
  </si>
  <si>
    <t xml:space="preserve">PCB REMOVED FROM A WORKING J971SP TESTER SYSTEM
TERADYNE TW562 REV A
SEE PHOTOS FOR DETAILS</t>
  </si>
  <si>
    <t xml:space="preserve">80325</t>
  </si>
  <si>
    <t xml:space="preserve">950-566-01</t>
  </si>
  <si>
    <t xml:space="preserve">Teradyne J971 PCB, Removed from working system, warehoused, additional numbers on board /A 60520 9448</t>
  </si>
  <si>
    <t xml:space="preserve">80324</t>
  </si>
  <si>
    <t xml:space="preserve">950-568-00</t>
  </si>
  <si>
    <t xml:space="preserve">Teradyne J971 PCB, Removed from working system, warehoused, additional numbers on board /A 73419 9710 TW568 REV A</t>
  </si>
  <si>
    <t xml:space="preserve">Excellent condition Teradyne J971 tester board, removed from working system
Located at our Avezzano 67051 Italy warehouse.</t>
  </si>
  <si>
    <t xml:space="preserve">80326</t>
  </si>
  <si>
    <t xml:space="preserve">950-569-03</t>
  </si>
  <si>
    <t xml:space="preserve">Teradyne J971 PCB, Removed from working system, warehoused, additional numbers on board /A 61419 9314</t>
  </si>
  <si>
    <t xml:space="preserve">108994</t>
  </si>
  <si>
    <t xml:space="preserve">950-569-03 REV A</t>
  </si>
  <si>
    <t xml:space="preserve">PCB REMOVED FROM A WORKING J971 SP TESTER SYSTEM
TERADYNE TW569 REV A MM1 6025
WITH QTY 2 OF TERADYNE 950-571-13 REV A 6130L 9108 Z18XXIT
SEE PHOTOS FOR DETAILS</t>
  </si>
  <si>
    <t xml:space="preserve">80224</t>
  </si>
  <si>
    <t xml:space="preserve">950-569-03/A</t>
  </si>
  <si>
    <t xml:space="preserve">80223</t>
  </si>
  <si>
    <t xml:space="preserve">950-572-04 Rev. A</t>
  </si>
  <si>
    <t xml:space="preserve">Teradyne J971 PCB, Removed from working system, warehoused, additional numbers on board /A 61219 9345</t>
  </si>
  <si>
    <t xml:space="preserve">80323</t>
  </si>
  <si>
    <t xml:space="preserve">950-574-01 REV A</t>
  </si>
  <si>
    <t xml:space="preserve">Teradyne J971 PCB, Removed from working system, warehoused, additional numbers on board /A 71620 8541 Z18xx</t>
  </si>
  <si>
    <t xml:space="preserve">78168</t>
  </si>
  <si>
    <t xml:space="preserve">950-656-00 rev B</t>
  </si>
  <si>
    <t xml:space="preserve">PCB from test system</t>
  </si>
  <si>
    <t xml:space="preserve">Teradyne 950-656-00 rev B PCB from teradyne J994 tester.
This board contains also the following sub-assemblies:
Qty 4 950-735-00 rev A
Qty 6 950-597-00 rev A
Weight 4 kg
Dims. 51.5 cm  x 38 cm x 10 cm
</t>
  </si>
  <si>
    <t xml:space="preserve">80215</t>
  </si>
  <si>
    <t xml:space="preserve">950-662-02/A</t>
  </si>
  <si>
    <t xml:space="preserve">Teradyne J971 PCB, Removed from working system, warehoused, additional numbers on board 60619 9341</t>
  </si>
  <si>
    <t xml:space="preserve">Teradyne J971 P.C.B. for immediate sale. qty 2 available.
De-installed from a working system. Located at our Avezzano 67051 Italy 
warehouse.</t>
  </si>
  <si>
    <t xml:space="preserve">80330</t>
  </si>
  <si>
    <t xml:space="preserve">950-681-00</t>
  </si>
  <si>
    <t xml:space="preserve">Teradyne J971 PCB, Removed from working system, warehoused, additional numbers on board /A 74920 9319</t>
  </si>
  <si>
    <t xml:space="preserve">Excellent condition Teradyne J971 Tester board, removed from working system
Ships FEDEX from our Boerne, TX 78006 Warehouse
</t>
  </si>
  <si>
    <t xml:space="preserve">108991</t>
  </si>
  <si>
    <t xml:space="preserve">950-681-00 REV A</t>
  </si>
  <si>
    <t xml:space="preserve">PCB REMOVED FROM A WORKING J971 SP TESTER SYSTEM
TERADYNE TW681 REV A
SEE PHOTOS FOR DETAILS</t>
  </si>
  <si>
    <t xml:space="preserve">80226</t>
  </si>
  <si>
    <t xml:space="preserve">950-687-01 rev D</t>
  </si>
  <si>
    <t xml:space="preserve">Teradyne J971 PCB, Removed from working system, warehoused, additional numbers on board /D 9752 L200</t>
  </si>
  <si>
    <t xml:space="preserve">80220</t>
  </si>
  <si>
    <t xml:space="preserve">950-713-00</t>
  </si>
  <si>
    <t xml:space="preserve">Teradyne J971 PCB, Removed from working system, warehoused, additional numbers on board 2220 9702 Z18XX</t>
  </si>
  <si>
    <t xml:space="preserve">Teradyne J971 P.C.B.for immediate sale.
De-installed from a working system. Located at our Avezzano 67051 Italy 
warehouse.</t>
  </si>
  <si>
    <t xml:space="preserve">80222</t>
  </si>
  <si>
    <t xml:space="preserve">950-777-01</t>
  </si>
  <si>
    <t xml:space="preserve">Teradyne J971 PCB, Removed from working system, warehoused, additional numbers on board /A 46500L 9513</t>
  </si>
  <si>
    <t xml:space="preserve">80216</t>
  </si>
  <si>
    <t xml:space="preserve">953-003-01</t>
  </si>
  <si>
    <t xml:space="preserve">Teradyne J971 PCB, Removed from working system, warehoused, additional numbers on board 7221 9720</t>
  </si>
  <si>
    <t xml:space="preserve">82231</t>
  </si>
  <si>
    <t xml:space="preserve">961-061-00</t>
  </si>
  <si>
    <t xml:space="preserve">Teradyne J971 Power Supply</t>
  </si>
  <si>
    <t xml:space="preserve">  Used Teradyne J971 power Supply
  Good condition, removed from deinstalled system
 </t>
  </si>
  <si>
    <t xml:space="preserve">82232</t>
  </si>
  <si>
    <t xml:space="preserve">961-128-00</t>
  </si>
  <si>
    <t xml:space="preserve">81836</t>
  </si>
  <si>
    <t xml:space="preserve">961-129-01</t>
  </si>
  <si>
    <t xml:space="preserve">Teradyne J971 test system power control panel</t>
  </si>
  <si>
    <t xml:space="preserve">Used Teradyne J971 power control panel
  Good condition, removed from deinstalled system
 </t>
  </si>
  <si>
    <t xml:space="preserve">78361</t>
  </si>
  <si>
    <t xml:space="preserve">J971SP (Spares)</t>
  </si>
  <si>
    <t xml:space="preserve">Boards from VLSI test system</t>
  </si>
  <si>
    <t xml:space="preserve">The items which are available are all the boards from the system,.
The mainframe of the system has been scrapped.
Date: 2-24-97
De-installed, warehoused
Board config:-
Position 	  	Board Part number 	 
10 	  	950-561-04/A 	 
  	  	60620 9547 	 
11 	  	950572-04/A 	 
  	  	61219 9345 	 
12 	  	950-572-04/A 	 
  	  	02919 9949 	 
13 	  	950-569-03/A 	 
  	  	61419 9314 	 
14 	  	950-569-03/A 	 
  	  	61419 9314 	 
15 	  	Blank 	 
16 	  	Blank 	 
17 	  	950-566-01/A 	 
  	  	70620 9448 	 
18 	  	950-566-01/A 	 
  	  	60520 9448 	 
19 	  	950-558-00/A 	 
  	  	64620 9509 	 
20 	  	950-569-03/A 	 
  	  	61419 9314 	 
21 	  	950-569-03/A 	 
  	  	61419 	 
22 	  	Blank 	 
23 	  	Blank 	 
24 	  	950-562-00/A 	 
  	  	75019 9226 	 
25 	  	950-560-00/A 	 
  	  	93610 9918 	 
26 	  	950-562-00/A 	 
  	  	61220 9226 	 
27 	  	950-556-01/A 	 
  	  	80419 9422 	 
28 	  	950-681-00/A 	 
  	  	74920 9319 	 
29 	  	Blank 	 
30 	  	950-777-01/- 	 
  	  	6500L 	 
31 	  	950-662-02/A 	 
  	  	60619 9341 	 
32 	  	950-662-02/A 	 
  	  	60719 9341 	 
33 	  	Blank 	 
34 	  	Blank 	 
35 	  	953-03-01/- 	 
  	  	72021 9720 	 
36 	  	Blank 	 
37 	  	Blank 	 
38 	  	Blank 	 
39 	  	Blank 	 
40 	  	950-540-00/A 	 
  	  	53420 9506 	 
41 	  	950-542-00/- 	 
  	  	30420 9208 	 
42 	  	Blank 	 
43 	  	950-220-02/A 	 
  	  	42419 9251 	 
44 	  	Blank 	 
45 	  	Blank 	 
46 	  	Blank 	 
47 	  	Blank 	 
48 	  	Blank 	 
49 	  	Blank 	 
80 	  	950-421-01/A 	 
  	  	72019 9517 	 
81 	  	950-217-04/B 	 
  	  	61820 9536 	 
82 	  	Blank 	 
83 	  	Blank 	 
84 	  	Blank 	 
85 	  	Blank 	 
86 	  	Blank 	 
87 	  	Blank 	 
88 	  	950-574-01/A 	 
  	  	71620 9541 	 
89 	  	950-568-00/A 	 
  	  	73419 9710 	 
90 	  	950-421-01/A 	 
  	  	61819 9517 	 
91 	  	Blank 	 
92 	  	950-713-001 	 
  	  	82220 9702 	 
93 	  	Blank 	 
94 	  	950-687-01/D 	 
  	  	9752 	 
95 	  	Blank 	 
96 	  	Blank 	 
97 	  	950-212-03/B 	 
  	  	5519 9328 	 
98 	  	Blank 	 
99 	  	Blank 	 </t>
  </si>
  <si>
    <t xml:space="preserve">80266</t>
  </si>
  <si>
    <t xml:space="preserve">TESCOM</t>
  </si>
  <si>
    <t xml:space="preserve">150</t>
  </si>
  <si>
    <t xml:space="preserve">REGULATORS PRESSURE</t>
  </si>
  <si>
    <t xml:space="preserve">THE PRICE IS FOR EACH</t>
  </si>
  <si>
    <t xml:space="preserve">70299</t>
  </si>
  <si>
    <t xml:space="preserve">Texwipe</t>
  </si>
  <si>
    <t xml:space="preserve">810-39234</t>
  </si>
  <si>
    <t xml:space="preserve">BRUSH, ELONGATED CORE EBARA (TEXWIPE)</t>
  </si>
  <si>
    <t xml:space="preserve">38 mm OD X 18 MM ID X 208 MM LENGTH
FOR EBARA FREX 200</t>
  </si>
  <si>
    <t xml:space="preserve">110549</t>
  </si>
  <si>
    <t xml:space="preserve">Thamway</t>
  </si>
  <si>
    <t xml:space="preserve">A161-6566B</t>
  </si>
  <si>
    <t xml:space="preserve">Sold Ex-Works, UK Office , Part Number:A161-6566B , Secondary P/N:20S0906C</t>
  </si>
  <si>
    <t xml:space="preserve">84243</t>
  </si>
  <si>
    <t xml:space="preserve">THK</t>
  </si>
  <si>
    <t xml:space="preserve">280L</t>
  </si>
  <si>
    <t xml:space="preserve">Linear Bearing and guide</t>
  </si>
  <si>
    <t xml:space="preserve">SRI5WIUUCI/280L
WEIGHT: 500 GR.
DIMENSION: 3,5 X 3 X 28,5 (H)</t>
  </si>
  <si>
    <t xml:space="preserve">84252</t>
  </si>
  <si>
    <t xml:space="preserve">689</t>
  </si>
  <si>
    <t xml:space="preserve">LINEAR WAY WITHOUT  BEARING</t>
  </si>
  <si>
    <t xml:space="preserve">689
WEIGHT 400 GR.
DIMENSION: 2 X 1 X 38,5 (H)
</t>
  </si>
  <si>
    <t xml:space="preserve">84251</t>
  </si>
  <si>
    <t xml:space="preserve">A6 C II</t>
  </si>
  <si>
    <t xml:space="preserve">LINEAR WAY WITH SINGLE BEARING</t>
  </si>
  <si>
    <t xml:space="preserve">A6 C II
WEIGHT 750 GR.
DIMENSION: 3,5 X 2,5 X 40 (H)
</t>
  </si>
  <si>
    <t xml:space="preserve">84247</t>
  </si>
  <si>
    <t xml:space="preserve">A6F 598</t>
  </si>
  <si>
    <t xml:space="preserve">ALF 598
WEIGHT 700 GR.
DIMENSION: 4 X 2 X 42,5 (H)
FOR EACH
</t>
  </si>
  <si>
    <t xml:space="preserve">84249</t>
  </si>
  <si>
    <t xml:space="preserve">ATHI240</t>
  </si>
  <si>
    <t xml:space="preserve">ATH1240
WEIGHT 300 GR.
DIMENSION: 3 X 1 X 47 (H)
</t>
  </si>
  <si>
    <t xml:space="preserve">84248</t>
  </si>
  <si>
    <t xml:space="preserve">HSRIZRI/UUM+490LM</t>
  </si>
  <si>
    <t xml:space="preserve">HSRIZRI/UUM+490LM
WEIGHT 500 GR.
DIMENSION: 3 X 2 X 50 (H)
</t>
  </si>
  <si>
    <t xml:space="preserve">84257</t>
  </si>
  <si>
    <t xml:space="preserve">KS 3J22</t>
  </si>
  <si>
    <t xml:space="preserve">RELIANCE BEARING</t>
  </si>
  <si>
    <t xml:space="preserve">PRECISION PARTS
WEIGTH IN THE BOX: 1,75 KG.
DIMENSION: 18 X 88 X 7 (H)
</t>
  </si>
  <si>
    <t xml:space="preserve">70303</t>
  </si>
  <si>
    <t xml:space="preserve">LMT40UUM+489LFM</t>
  </si>
  <si>
    <t xml:space="preserve">LEADSCREW  FOR EBARA FREX 200</t>
  </si>
  <si>
    <t xml:space="preserve">LEAD SCREWS
FOR EBARA FREX 200</t>
  </si>
  <si>
    <t xml:space="preserve">84245</t>
  </si>
  <si>
    <t xml:space="preserve">LWHS15</t>
  </si>
  <si>
    <t xml:space="preserve">LWH 15 P S 2
Y7G097
WEIGHT 700 GR.
DIMENSION: 3,5 X 3 X 34 (H)
FOR EACH</t>
  </si>
  <si>
    <t xml:space="preserve">84253</t>
  </si>
  <si>
    <t xml:space="preserve">RSR12VM</t>
  </si>
  <si>
    <t xml:space="preserve">LINEAR WAY WITH 2 BEARINGS</t>
  </si>
  <si>
    <t xml:space="preserve">RSR12VM
WEIGHT 200 GR.
DIMENSION: 3 X 1 X 30 (H)
</t>
  </si>
  <si>
    <t xml:space="preserve">84246</t>
  </si>
  <si>
    <t xml:space="preserve">RSR 15</t>
  </si>
  <si>
    <t xml:space="preserve">LINEAR WAY WITH 7 BEARINGS</t>
  </si>
  <si>
    <t xml:space="preserve">RSR 15
WEIGHT 900 GR.
DIMENSION: 3 X 2 X 35 (H)
</t>
  </si>
  <si>
    <t xml:space="preserve">84250</t>
  </si>
  <si>
    <t xml:space="preserve">Y8A31</t>
  </si>
  <si>
    <t xml:space="preserve">Y8A31
WEIGHT 750 GR.
DIMENSION: 3,5 X 2,5 X 40 (H)
</t>
  </si>
  <si>
    <t xml:space="preserve">83879</t>
  </si>
  <si>
    <t xml:space="preserve">THK CO.,LCD</t>
  </si>
  <si>
    <t xml:space="preserve">FBA 5</t>
  </si>
  <si>
    <t xml:space="preserve">FLAT BALL</t>
  </si>
  <si>
    <t xml:space="preserve">THK LM SYSTEM
FBA 5
FLAT BALL
WEIGHT: 200 GR.
DIMENSION: 14,5 CM. X 6 CM. X 5,5 CM. (H) FOR EACH</t>
  </si>
  <si>
    <t xml:space="preserve">83877</t>
  </si>
  <si>
    <t xml:space="preserve">OR17</t>
  </si>
  <si>
    <t xml:space="preserve">BLOCK SR-2V</t>
  </si>
  <si>
    <t xml:space="preserve">SR20V1UU (GK) BLOCK
WEIGHT: 200 GR.
DIMENSION: 6,5 CM. X 4,5 CM. X 2,5 CM. (H)
</t>
  </si>
  <si>
    <t xml:space="preserve">83878</t>
  </si>
  <si>
    <t xml:space="preserve">SC35uu</t>
  </si>
  <si>
    <t xml:space="preserve">LM CASE UNIT</t>
  </si>
  <si>
    <t xml:space="preserve">TBT ROBOT
BT ELEVATOR
B711
WEIGHT: 1 KG.
DIMENSION: 10 CM. X 7 CM. X 9 CM. (H) FOR EACH</t>
  </si>
  <si>
    <t xml:space="preserve">83828</t>
  </si>
  <si>
    <t xml:space="preserve">TOKIMEC</t>
  </si>
  <si>
    <t xml:space="preserve">012-7</t>
  </si>
  <si>
    <t xml:space="preserve">DIRECTIONAL CONTROL VALVE</t>
  </si>
  <si>
    <t xml:space="preserve">VICKERS AC 100V
P.N. VA12134A
SOL B
DG4V-3-2A-M-P2-T-7-50
VA 25/45
. X 5 CM. X 10 CM. (H)
WEIGHT: KG. 1,6
DIMENSION: 17 CM. X 10 CM. X 10 CM. (H) FOR EACH
2 PIECES</t>
  </si>
  <si>
    <t xml:space="preserve">83827</t>
  </si>
  <si>
    <t xml:space="preserve">VA12134A</t>
  </si>
  <si>
    <t xml:space="preserve">VICKERS AC 100V
P.N. VA12134A
SOL B
SOL A
DG4V-3-OC-M-P2-T-T-50
VA 25/45
. X 5 CM. X 10 CM. (H)
WEIGHT: KG. 3
DIMENSION: 20 CM. X 5 CM. X 10 CM. (H)</t>
  </si>
  <si>
    <t xml:space="preserve">83833</t>
  </si>
  <si>
    <t xml:space="preserve">TOKYO ELECRON</t>
  </si>
  <si>
    <t xml:space="preserve">011</t>
  </si>
  <si>
    <t xml:space="preserve">SUPPORT.PCB..SQ-80</t>
  </si>
  <si>
    <t xml:space="preserve">PARTS 044-001528-1</t>
  </si>
  <si>
    <t xml:space="preserve">83831</t>
  </si>
  <si>
    <t xml:space="preserve">015</t>
  </si>
  <si>
    <t xml:space="preserve">RELAY</t>
  </si>
  <si>
    <t xml:space="preserve">RELAY
MY4ZN-D2 DC24
V
</t>
  </si>
  <si>
    <t xml:space="preserve">83641</t>
  </si>
  <si>
    <t xml:space="preserve">TOKYO ELECTRON</t>
  </si>
  <si>
    <t xml:space="preserve">1D10-317R09-12</t>
  </si>
  <si>
    <t xml:space="preserve">PLATE,GALDEN FLOW CHECKER</t>
  </si>
  <si>
    <t xml:space="preserve">NEW IN ORIGINAL PACKING MATERIALS.
PARTS NUMBER1 D10-317 R09-12
WEIGHT : KG. 0,8
DIMENSION: 40 CM. X 12 CM. X 4 CM. (H)</t>
  </si>
  <si>
    <t xml:space="preserve">83640</t>
  </si>
  <si>
    <t xml:space="preserve">TOKYO ELECTRON / CONTEC</t>
  </si>
  <si>
    <t xml:space="preserve">FC-SD70</t>
  </si>
  <si>
    <t xml:space="preserve">flow meter</t>
  </si>
  <si>
    <t xml:space="preserve">FLOW CHECKER</t>
  </si>
  <si>
    <t xml:space="preserve">PARTS 1D86-032029-12
ETER TOP
MAX 4.8 W
WEIGHT: 1 KG.
DIMENSION WITH PACKAGE : 28 CM. X 15 CM. X 10 CM. (H)
DIMENSION WITHOUT PACK : 16 CM. X 10 CM. X 10 CM. (H)</t>
  </si>
  <si>
    <t xml:space="preserve">77088</t>
  </si>
  <si>
    <t xml:space="preserve">Tolomatic</t>
  </si>
  <si>
    <t xml:space="preserve">11240741</t>
  </si>
  <si>
    <t xml:space="preserve">Tolomatic cylinder, replacement for AMI tools</t>
  </si>
  <si>
    <t xml:space="preserve">New in box</t>
  </si>
  <si>
    <t xml:space="preserve">115303</t>
  </si>
  <si>
    <t xml:space="preserve">TOSOH</t>
  </si>
  <si>
    <t xml:space="preserve">4029H-13-109-501</t>
  </si>
  <si>
    <t xml:space="preserve">TOSOH ZB/A Al1%Cu 15.62"DIA X 1.900" [NEW]</t>
  </si>
  <si>
    <t xml:space="preserve">110561</t>
  </si>
  <si>
    <t xml:space="preserve">Trazar</t>
  </si>
  <si>
    <t xml:space="preserve">AMU2B-1</t>
  </si>
  <si>
    <t xml:space="preserve">Sold Ex-Works, UK Office , Part Number:553-00848-00 , Secondary 
P/N:2218-002</t>
  </si>
  <si>
    <t xml:space="preserve">110560</t>
  </si>
  <si>
    <t xml:space="preserve">110559</t>
  </si>
  <si>
    <t xml:space="preserve">110558</t>
  </si>
  <si>
    <t xml:space="preserve">110557</t>
  </si>
  <si>
    <t xml:space="preserve">110556</t>
  </si>
  <si>
    <t xml:space="preserve">110562</t>
  </si>
  <si>
    <t xml:space="preserve">AMU2D-1</t>
  </si>
  <si>
    <t xml:space="preserve">Sold Ex-Works, UK Office , Part Number:27-113860-00 , Secondary 
P/N:3767-001</t>
  </si>
  <si>
    <t xml:space="preserve">110563</t>
  </si>
  <si>
    <t xml:space="preserve">AMU3-20</t>
  </si>
  <si>
    <t xml:space="preserve">Sold Ex-Works, UK Office , Part Number: , Secondary P/N:1739-001</t>
  </si>
  <si>
    <t xml:space="preserve">110564</t>
  </si>
  <si>
    <t xml:space="preserve">AMU5-1</t>
  </si>
  <si>
    <t xml:space="preserve">110566</t>
  </si>
  <si>
    <t xml:space="preserve">AMU5C-1</t>
  </si>
  <si>
    <t xml:space="preserve">Sold Ex-Works, UK Office , Part Number:2334-003 , Secondary P/N:60-0010</t>
  </si>
  <si>
    <t xml:space="preserve">110565</t>
  </si>
  <si>
    <t xml:space="preserve">110567</t>
  </si>
  <si>
    <t xml:space="preserve">AMU5D-1</t>
  </si>
  <si>
    <t xml:space="preserve">Sold Ex-Works, UK Office , Part Number: , Secondary P/N:2334-004</t>
  </si>
  <si>
    <t xml:space="preserve">110550</t>
  </si>
  <si>
    <t xml:space="preserve">AMU10A-1</t>
  </si>
  <si>
    <t xml:space="preserve">110552</t>
  </si>
  <si>
    <t xml:space="preserve">AMU10B-1</t>
  </si>
  <si>
    <t xml:space="preserve">Sold Ex-Works, UK Office , Part Number: , Secondary P/N:2739-001</t>
  </si>
  <si>
    <t xml:space="preserve">110551</t>
  </si>
  <si>
    <t xml:space="preserve">110554</t>
  </si>
  <si>
    <t xml:space="preserve">AMU10D-4</t>
  </si>
  <si>
    <t xml:space="preserve">Sold Ex-Works, UK Office , Part Number:553-12708-00 , Secondary 
P/N:4032-001</t>
  </si>
  <si>
    <t xml:space="preserve">110553</t>
  </si>
  <si>
    <t xml:space="preserve">110555</t>
  </si>
  <si>
    <t xml:space="preserve">AMU10G-1</t>
  </si>
  <si>
    <t xml:space="preserve">Sold Ex-Works, UK Office , Part Number:27-05211-00 , Secondary P/N:2884-001</t>
  </si>
  <si>
    <t xml:space="preserve">110568</t>
  </si>
  <si>
    <t xml:space="preserve">ESC Control</t>
  </si>
  <si>
    <t xml:space="preserve">Sold Ex-Works, UK Office , Part Number:ECC4-4F , Secondary P/N:27-153218-00</t>
  </si>
  <si>
    <t xml:space="preserve">110569</t>
  </si>
  <si>
    <t xml:space="preserve">IG270</t>
  </si>
  <si>
    <t xml:space="preserve">Sold Ex-Works, UK Office , Part Number:6400-001</t>
  </si>
  <si>
    <t xml:space="preserve">110570</t>
  </si>
  <si>
    <t xml:space="preserve">RFS1-3 Switch Box</t>
  </si>
  <si>
    <t xml:space="preserve">Sold Ex-Works, UK Office , Part Number:27-041212-00 , Secondary 
P/N:61481-001</t>
  </si>
  <si>
    <t xml:space="preserve">110576</t>
  </si>
  <si>
    <t xml:space="preserve">RFS1-4 Switch Box</t>
  </si>
  <si>
    <t xml:space="preserve">Sold Ex-Works, UK Office , Part Number:02-103148-00 , Secondary 
P/N:61491-001</t>
  </si>
  <si>
    <t xml:space="preserve">110575</t>
  </si>
  <si>
    <t xml:space="preserve">110574</t>
  </si>
  <si>
    <t xml:space="preserve">110573</t>
  </si>
  <si>
    <t xml:space="preserve">110572</t>
  </si>
  <si>
    <t xml:space="preserve">110571</t>
  </si>
  <si>
    <t xml:space="preserve">110577</t>
  </si>
  <si>
    <t xml:space="preserve">SRN1-2</t>
  </si>
  <si>
    <t xml:space="preserve">Sold Ex-Works, UK Office , Part Number:27-045983-00 , Secondary 
P/N:1483-001</t>
  </si>
  <si>
    <t xml:space="preserve">110578</t>
  </si>
  <si>
    <t xml:space="preserve">Trazar (Phoenix)</t>
  </si>
  <si>
    <t xml:space="preserve">AMU10A-1S</t>
  </si>
  <si>
    <t xml:space="preserve">Sold Ex-Works, UK Office , Part Number: , Secondary P/N:1932-002</t>
  </si>
  <si>
    <t xml:space="preserve">110580</t>
  </si>
  <si>
    <t xml:space="preserve">110579</t>
  </si>
  <si>
    <t xml:space="preserve">110583</t>
  </si>
  <si>
    <t xml:space="preserve">Trikon</t>
  </si>
  <si>
    <t xml:space="preserve">Trikon M6</t>
  </si>
  <si>
    <t xml:space="preserve">Sold Ex-Works, UK Office , Part Number:M6HF</t>
  </si>
  <si>
    <t xml:space="preserve">110582</t>
  </si>
  <si>
    <t xml:space="preserve">110581</t>
  </si>
  <si>
    <t xml:space="preserve">110585</t>
  </si>
  <si>
    <t xml:space="preserve">Trumpf </t>
  </si>
  <si>
    <t xml:space="preserve">TruPlasma RF1003</t>
  </si>
  <si>
    <t xml:space="preserve">Fully refurbished with warranty ex-works, UK Office.
Part Number: 2068898</t>
  </si>
  <si>
    <t xml:space="preserve">110584</t>
  </si>
  <si>
    <t xml:space="preserve">Sold Ex-Works, UK Office , Part Number:2068898</t>
  </si>
  <si>
    <t xml:space="preserve">84370</t>
  </si>
  <si>
    <t xml:space="preserve">Tylan</t>
  </si>
  <si>
    <t xml:space="preserve">MDVX-015</t>
  </si>
  <si>
    <t xml:space="preserve">Throttle Valve, KF40, with vexta motor driver</t>
  </si>
  <si>
    <t xml:space="preserve">WITH VEXTA STEPPING MOTOR
2-PHASE 1.8'/STEP
DC 12 V 0,42A
RR 03781
WEIGHT: 3 KG.
DIMENSION: 12 X 14 X 24</t>
  </si>
  <si>
    <t xml:space="preserve">84078</t>
  </si>
  <si>
    <t xml:space="preserve">UNIPHASE</t>
  </si>
  <si>
    <t xml:space="preserve">1103P-0187</t>
  </si>
  <si>
    <t xml:space="preserve">HE NE Laser</t>
  </si>
  <si>
    <t xml:space="preserve">LASER
WEIGHT: 0,3 KG.
DIMENSION: 3 X3 X 36 (H)</t>
  </si>
  <si>
    <t xml:space="preserve">87615</t>
  </si>
  <si>
    <t xml:space="preserve">United Detector Technology, Inc.</t>
  </si>
  <si>
    <t xml:space="preserve">40X</t>
  </si>
  <si>
    <t xml:space="preserve">Laser Power Meter</t>
  </si>
  <si>
    <t xml:space="preserve">Warehoused
-Location: Avezzano (AQ) , 67051, Italy
Packaged weight and dimensions:-
18 cm x 20 cm x 24 cm 9h), weight 1.7 kg
</t>
  </si>
  <si>
    <t xml:space="preserve">110589</t>
  </si>
  <si>
    <t xml:space="preserve">Vante </t>
  </si>
  <si>
    <t xml:space="preserve">Sold Ex-Works, UK Office , Part Number:4600</t>
  </si>
  <si>
    <t xml:space="preserve">110588</t>
  </si>
  <si>
    <t xml:space="preserve">110587</t>
  </si>
  <si>
    <t xml:space="preserve">110586</t>
  </si>
  <si>
    <t xml:space="preserve">115413</t>
  </si>
  <si>
    <t xml:space="preserve">VARIAN</t>
  </si>
  <si>
    <t xml:space="preserve">9698871</t>
  </si>
  <si>
    <t xml:space="preserve">TV2K-G PUMP USED</t>
  </si>
  <si>
    <t xml:space="preserve">72140</t>
  </si>
  <si>
    <t xml:space="preserve">Varian</t>
  </si>
  <si>
    <t xml:space="preserve">E11001320 REV B</t>
  </si>
  <si>
    <t xml:space="preserve">TARGET, FOCUS, FARADAY</t>
  </si>
  <si>
    <t xml:space="preserve">72141</t>
  </si>
  <si>
    <t xml:space="preserve">E11002183</t>
  </si>
  <si>
    <t xml:space="preserve">PEDESTAL ASSY,MULTI 150/200MM</t>
  </si>
  <si>
    <t xml:space="preserve">72134</t>
  </si>
  <si>
    <t xml:space="preserve">E11002430</t>
  </si>
  <si>
    <t xml:space="preserve">WAFER COOLING CONTROLLER</t>
  </si>
  <si>
    <t xml:space="preserve">92387</t>
  </si>
  <si>
    <t xml:space="preserve">E11030450 REV 3</t>
  </si>
  <si>
    <t xml:space="preserve">VERT SCAN ACTUATOR</t>
  </si>
  <si>
    <t xml:space="preserve">QTY 2
DIMS IN BOX: 60 CM X 37 CM X 38 CM 9H)
WEIGHT 20 KG</t>
  </si>
  <si>
    <t xml:space="preserve">92468</t>
  </si>
  <si>
    <t xml:space="preserve">E11040440 Rev 7</t>
  </si>
  <si>
    <t xml:space="preserve">Secondary workstation for implanter</t>
  </si>
  <si>
    <t xml:space="preserve">-The remote PC cart for a Varian implanter
-It is mssing the PC
-Parts included:
-Trolley P/N E11040440 Rev 7
-HP Deskjet 560C Printer Varian P/N E20000085
-Varain p/n E20000053</t>
  </si>
  <si>
    <t xml:space="preserve">72133</t>
  </si>
  <si>
    <t xml:space="preserve">E17015570</t>
  </si>
  <si>
    <t xml:space="preserve">SCANACT,COUNTER WEIGHT</t>
  </si>
  <si>
    <t xml:space="preserve">At the warehouse of Fabsurplus Italy, location Avezzano 67051 Italy.See 
attached photos for condition.
qty 2 available.</t>
  </si>
  <si>
    <t xml:space="preserve">72144</t>
  </si>
  <si>
    <t xml:space="preserve">E17026680         </t>
  </si>
  <si>
    <t xml:space="preserve">PLATE,GROUND,GRAPHSCAN                  </t>
  </si>
  <si>
    <t xml:space="preserve">72143</t>
  </si>
  <si>
    <t xml:space="preserve">E17026720         </t>
  </si>
  <si>
    <t xml:space="preserve">PLATE,GROUND,GRAPHSCAN-SCAN             </t>
  </si>
  <si>
    <t xml:space="preserve">72138</t>
  </si>
  <si>
    <t xml:space="preserve">E17032320</t>
  </si>
  <si>
    <t xml:space="preserve">CHASIS GUIDE M FRME ESSERV</t>
  </si>
  <si>
    <t xml:space="preserve">72136</t>
  </si>
  <si>
    <t xml:space="preserve">E17064301</t>
  </si>
  <si>
    <t xml:space="preserve">BEAM SHIELD</t>
  </si>
  <si>
    <t xml:space="preserve">72145</t>
  </si>
  <si>
    <t xml:space="preserve">E17101600</t>
  </si>
  <si>
    <t xml:space="preserve">COVER,DUAL VAPORIZER</t>
  </si>
  <si>
    <t xml:space="preserve">84082</t>
  </si>
  <si>
    <t xml:space="preserve">Turbo-V 250 MacroTorr</t>
  </si>
  <si>
    <t xml:space="preserve">Turbo Pump DN ISO 100 Type</t>
  </si>
  <si>
    <t xml:space="preserve">New in original packaging.
The packaging has been opened in order to take photos.
Location: Avezzano (AQ) 67051 Italy.
CE marked
Model 9699007 S024
Inlet flange is DN ISO 100 type
S/N 85077
DIMENSION: 40 cm X 30 cm  X 32(H) cm
WEIGHT: 4 KG CA
Pumping speed (l/s)
N 2 : 250 l/s
He: 220 l/s
H 2 : 200 l/s
Compression ratio N 2 : 2 x 10 8
He: 1 x 10 5
H 2 : 1 x 10 4
Base pressure* with recommended mechanical fore-
pump:
2 x 10 -10 mbar (1.5 x 10 -10 Torr)
with recommended diaphragm fore
pump:
2 x 10 -8 mbar (1.5 x 10 -8 Torr)
Inlet flange
DN 100 ISO
Foreline flange NW 16 KF
Rotational speed 56000 RPM
Start-up time &lt; 3 minutes
Recommended
forepump Two stage rotary pump SD-40
Diaphragm pump: MDP 30
Operating
position any
Cooling
requirements Natural air convection
Forced air or water optional
Operating ambient
temperature + 5° C to + 35° C
Coolant water flow: 30 l/h (0.13 GPM)
temperature: + 10° C to + 30° C
pressure: 3 to 4 bar
Bakeout
temperature 120° C at inlet CF flange maximum
80° C with ISO flange
Vibration level
(displacement) &lt; 0.01 μm at inlet flange
Noise level 45 dB (A) at 1 meter
Input 58 Vac, three phase, 933 Hz
Lubricant permanent lubrication
Storage
temperature - 20° C to + 70° C
Weight kg (lbs) ISO: 7.5 (3.4);</t>
  </si>
  <si>
    <t xml:space="preserve">95409</t>
  </si>
  <si>
    <t xml:space="preserve">110591</t>
  </si>
  <si>
    <t xml:space="preserve">Varian Match</t>
  </si>
  <si>
    <t xml:space="preserve">Sold Ex-Works, UK Office , Part Number:04-705530-01D</t>
  </si>
  <si>
    <t xml:space="preserve">72151</t>
  </si>
  <si>
    <t xml:space="preserve">various</t>
  </si>
  <si>
    <t xml:space="preserve">VARIAN SOURCE PARTS</t>
  </si>
  <si>
    <t xml:space="preserve">72146</t>
  </si>
  <si>
    <t xml:space="preserve">72150</t>
  </si>
  <si>
    <t xml:space="preserve">ISOLATION VALVE PARTS</t>
  </si>
  <si>
    <t xml:space="preserve">72149</t>
  </si>
  <si>
    <t xml:space="preserve">MKS HPS VALVE 62161</t>
  </si>
  <si>
    <t xml:space="preserve">72152</t>
  </si>
  <si>
    <t xml:space="preserve">MKS HPS VALVE 69542</t>
  </si>
  <si>
    <t xml:space="preserve">72148</t>
  </si>
  <si>
    <t xml:space="preserve">SOURCE COVER</t>
  </si>
  <si>
    <t xml:space="preserve">72147</t>
  </si>
  <si>
    <t xml:space="preserve">VARIAN GRAPHITES</t>
  </si>
  <si>
    <t xml:space="preserve">110590</t>
  </si>
  <si>
    <t xml:space="preserve">Varian </t>
  </si>
  <si>
    <t xml:space="preserve">Sold Ex-Works, UK Office , Part Number:VPW2870P5-S , Secondary P/N:04716797</t>
  </si>
  <si>
    <t xml:space="preserve">102593</t>
  </si>
  <si>
    <t xml:space="preserve">Various</t>
  </si>
  <si>
    <t xml:space="preserve">Vacuum Valves</t>
  </si>
  <si>
    <t xml:space="preserve">Various Vacuum valves (MKS, Varian, Fuji Seiki) and fittings</t>
  </si>
  <si>
    <t xml:space="preserve">Different Gate Valves for Sale. 
Manufacturer
Model
Description
Quantity
MDC
Kav-100
Pneumatic Valve
2
Fuji Seiki
1100204
Industrial Pump Valve
4
Varian
L6280601
Aluminium Block Valve
2
Nupro/Swagelok
SS-4Bk-1C
Bellows Sealed Valves
7
 </t>
  </si>
  <si>
    <t xml:space="preserve">115414</t>
  </si>
  <si>
    <t xml:space="preserve">VAT</t>
  </si>
  <si>
    <t xml:space="preserve">10846-UE24-ALK1 </t>
  </si>
  <si>
    <t xml:space="preserve">GATE VALVE [ASIS]</t>
  </si>
  <si>
    <t xml:space="preserve">101025</t>
  </si>
  <si>
    <t xml:space="preserve">14040-je24-0004</t>
  </si>
  <si>
    <t xml:space="preserve">HV Gate Valve</t>
  </si>
  <si>
    <t xml:space="preserve">Please check pictures below for more information</t>
  </si>
  <si>
    <t xml:space="preserve">101026</t>
  </si>
  <si>
    <t xml:space="preserve">101027</t>
  </si>
  <si>
    <t xml:space="preserve">84408</t>
  </si>
  <si>
    <t xml:space="preserve">14046-PE44-1016</t>
  </si>
  <si>
    <t xml:space="preserve">Gate Valve 8"</t>
  </si>
  <si>
    <t xml:space="preserve">Used, Untested AMAT VAT Valve
14046-PE44-1016</t>
  </si>
  <si>
    <t xml:space="preserve">115415</t>
  </si>
  <si>
    <t xml:space="preserve">65150-PHCG-AMK3 </t>
  </si>
  <si>
    <t xml:space="preserve">THROTTLING GATE VALVE ASSY [USED]</t>
  </si>
  <si>
    <t xml:space="preserve">83907</t>
  </si>
  <si>
    <t xml:space="preserve">VERIFLO CORP.</t>
  </si>
  <si>
    <t xml:space="preserve">42800147</t>
  </si>
  <si>
    <t xml:space="preserve">WEIGHT: GR.200
DIMENSION: 12 CM. X 2 CM. X 5,5 CM. (H)</t>
  </si>
  <si>
    <t xml:space="preserve">103383</t>
  </si>
  <si>
    <t xml:space="preserve">Vero Electronics</t>
  </si>
  <si>
    <t xml:space="preserve">116-010069H</t>
  </si>
  <si>
    <t xml:space="preserve">Monovolt PK120 Power Supply, +5V 20A</t>
  </si>
  <si>
    <t xml:space="preserve">VIN 115/230 VAC
F IN 47-63 HZ,
I IN 2,5/1,35 A CE MARKED</t>
  </si>
  <si>
    <t xml:space="preserve">110592</t>
  </si>
  <si>
    <t xml:space="preserve">Sold Ex-Works, UK Office , Part Number:ST800-CC50-M2-OTZ</t>
  </si>
  <si>
    <t xml:space="preserve">103382</t>
  </si>
  <si>
    <t xml:space="preserve">Vexta</t>
  </si>
  <si>
    <t xml:space="preserve">BLD1024H</t>
  </si>
  <si>
    <t xml:space="preserve">Brushless DC Motor Driver, DC24V</t>
  </si>
  <si>
    <t xml:space="preserve">-Removed from a working Applied Materials RTP Chamber
-Includes insulating bracket part number 0020-36782 P1
-See attached photos for details
-Thought to be in working condition</t>
  </si>
  <si>
    <t xml:space="preserve">83826</t>
  </si>
  <si>
    <t xml:space="preserve">VEXTA</t>
  </si>
  <si>
    <t xml:space="preserve">UPH569H-B</t>
  </si>
  <si>
    <t xml:space="preserve">new, unused, VEXTA STEPPING MOTOR
5-PHASE
0.72/STEP
DC 2.8A
1 OMEGA
SW8 00765
WEIGHT: 1,4 KG.
DIMENSION: 6 CM. X 6 CM. X 13 CM. (H)</t>
  </si>
  <si>
    <t xml:space="preserve">84233</t>
  </si>
  <si>
    <t xml:space="preserve">Viton</t>
  </si>
  <si>
    <t xml:space="preserve">43-2-131</t>
  </si>
  <si>
    <t xml:space="preserve">O-ring seal, Roth &amp; Rau</t>
  </si>
  <si>
    <t xml:space="preserve">Pack of 3 used, Viton Roth &amp; Rau 43-2-131 seals
For use with Chamber cover 1+2+5
pack of 3</t>
  </si>
  <si>
    <t xml:space="preserve">77171</t>
  </si>
  <si>
    <t xml:space="preserve">WARNER LINEAR</t>
  </si>
  <si>
    <t xml:space="preserve">K2G20-24V-BR-10lsc</t>
  </si>
  <si>
    <t xml:space="preserve">LINEAR ACTUATOR , 24V DC</t>
  </si>
  <si>
    <t xml:space="preserve">   
WARNER LINEAR K2G20-24V-BR-10lsc
LINEAR ACTUATOR , 24V DC
New in Box, Ships from our Boerne, TX Warehouse</t>
  </si>
  <si>
    <t xml:space="preserve">77164</t>
  </si>
  <si>
    <t xml:space="preserve">Wasco</t>
  </si>
  <si>
    <t xml:space="preserve">SV129-31W3A/2065</t>
  </si>
  <si>
    <t xml:space="preserve">Vacuum pressure switch 75 Torr</t>
  </si>
  <si>
    <t xml:space="preserve">   Wasco SV129-31WA/2065
75 Torr Vacuum Switch
1A 115V
Ships from our Boerne, TX Warehouse</t>
  </si>
  <si>
    <t xml:space="preserve">108981</t>
  </si>
  <si>
    <t xml:space="preserve">Watkins Johnston</t>
  </si>
  <si>
    <t xml:space="preserve">903169-001 rev D</t>
  </si>
  <si>
    <t xml:space="preserve">WJ 952 MFC REGULATION PCB</t>
  </si>
  <si>
    <t xml:space="preserve">DEINSTALLED, WAREHOUSED.
LOCATED AT OUR AVEZZANO (aq) 67051 ITALY WAREHOUSE</t>
  </si>
  <si>
    <t xml:space="preserve">77165</t>
  </si>
  <si>
    <t xml:space="preserve">WATLOW</t>
  </si>
  <si>
    <t xml:space="preserve">DC10-40P0-0000</t>
  </si>
  <si>
    <t xml:space="preserve">SOLID STATE POWER CONTROL, AMP: 55 AMPS, NEW</t>
  </si>
  <si>
    <t xml:space="preserve">     WATLOW DC10-40P0-0000 SOLID STATE POWER CONTROL, AMP: 55 AMPS, NEW   
New in Original Box, Ships from our AVEZZANO, ITALY warehouse.
Box was opened to take photos.
Includes instruction manual with wiring diamgrams etc.
Shiiping weight / dims 1.7 kg 26 cm x 15 cm x 22cm</t>
  </si>
  <si>
    <t xml:space="preserve">82219</t>
  </si>
  <si>
    <t xml:space="preserve">WAVECREST</t>
  </si>
  <si>
    <t xml:space="preserve">DTS-2070C (-52)</t>
  </si>
  <si>
    <t xml:space="preserve">Credence Duo Wavecrest digital time controller</t>
  </si>
  <si>
    <t xml:space="preserve">qty 2 Wavecrest digital time controllers, removed from working Credence Duo 
SX testers.
Boxed, located in our Boerne, TX Warehouse.
CE marked
VREF 4.991 VDC
FREQ 100 MHz</t>
  </si>
  <si>
    <t xml:space="preserve">105856</t>
  </si>
  <si>
    <t xml:space="preserve">Weir</t>
  </si>
  <si>
    <t xml:space="preserve">HSS 100/5</t>
  </si>
  <si>
    <t xml:space="preserve">Power Supply Unit</t>
  </si>
  <si>
    <t xml:space="preserve">Weir power Supply
In good condition.
See attached photos for details.</t>
  </si>
  <si>
    <t xml:space="preserve">105857</t>
  </si>
  <si>
    <t xml:space="preserve">Switching Power Supply Unit AC to DC</t>
  </si>
  <si>
    <t xml:space="preserve">Weir power Supply
In good condition.
See attached photos for details.
Outputs: +24v 3a, +5.1V 12A, -12V 3a, -5.2v 2a</t>
  </si>
  <si>
    <t xml:space="preserve">84100</t>
  </si>
  <si>
    <t xml:space="preserve">Wiha</t>
  </si>
  <si>
    <t xml:space="preserve">368 3 SW</t>
  </si>
  <si>
    <t xml:space="preserve">Ball end screw driver</t>
  </si>
  <si>
    <t xml:space="preserve">Wiha classis Qualitat 368 3 SW ball end screw driver
made in germany
used, good condition</t>
  </si>
  <si>
    <t xml:space="preserve">105863</t>
  </si>
  <si>
    <t xml:space="preserve">WIKA</t>
  </si>
  <si>
    <t xml:space="preserve">233.50.100</t>
  </si>
  <si>
    <t xml:space="preserve">-1 BAR PRESSURE GAUGE G1/2A D1001/2"</t>
  </si>
  <si>
    <t xml:space="preserve">* New unused
OIL FILLED VACUUM GUAGE ERZEUGNI 9020802</t>
  </si>
  <si>
    <t xml:space="preserve">53033</t>
  </si>
  <si>
    <t xml:space="preserve">Yamatake honeywell</t>
  </si>
  <si>
    <t xml:space="preserve">WLS302</t>
  </si>
  <si>
    <t xml:space="preserve">switch</t>
  </si>
  <si>
    <t xml:space="preserve">Temporized switch, see pictures for details
 </t>
  </si>
  <si>
    <t xml:space="preserve">83866</t>
  </si>
  <si>
    <t xml:space="preserve">Zeiss</t>
  </si>
  <si>
    <t xml:space="preserve">475690-0206</t>
  </si>
  <si>
    <t xml:space="preserve">Joint plate</t>
  </si>
  <si>
    <t xml:space="preserve">                
Brand new joint plate, Zeiss 475690-0206-000-000
still sealed
(for Axiomat?)</t>
  </si>
  <si>
    <t xml:space="preserve">83865</t>
  </si>
  <si>
    <t xml:space="preserve">477473-0207</t>
  </si>
  <si>
    <t xml:space="preserve">Cover plate</t>
  </si>
  <si>
    <t xml:space="preserve">                
Brand new cover plate, Zeiss 477473-0207
still sealed
(Joystick cover plate?)</t>
  </si>
  <si>
    <t xml:space="preserve">83861</t>
  </si>
  <si>
    <t xml:space="preserve">910137</t>
  </si>
  <si>
    <t xml:space="preserve">Microscope illumination transformer</t>
  </si>
  <si>
    <t xml:space="preserve">  Good Condition used Zeiss transformer with plugs, etc, working condition
Setup for 110V USA voltage plug
910137-900
   </t>
  </si>
  <si>
    <t xml:space="preserve">83864</t>
  </si>
  <si>
    <t xml:space="preserve">990634-5100</t>
  </si>
  <si>
    <t xml:space="preserve">Joystick, Carl Zeiss</t>
  </si>
  <si>
    <t xml:space="preserve">  Good Condition used Zeiss Joystick working condition
Zeiss 990634-5100
   </t>
  </si>
  <si>
    <t xml:space="preserve">84097</t>
  </si>
  <si>
    <t xml:space="preserve">AxioMAT screws</t>
  </si>
  <si>
    <t xml:space="preserve">AxioMAT Thumbscrews, spare parts</t>
  </si>
  <si>
    <t xml:space="preserve">Good Condition used assorted Zeiss AxioMAT Thumbscrews, precision, for 
Zeiss Axiotron axiomat and others
qty 9 available
Price for all 9</t>
  </si>
  <si>
    <t xml:space="preserve">83738</t>
  </si>
  <si>
    <t xml:space="preserve">Axiotron (spare Parts)</t>
  </si>
  <si>
    <t xml:space="preserve">Axiotron microscope spare parts</t>
  </si>
  <si>
    <t xml:space="preserve">Good Condition used assorted Zeiss Axiotron spare parts, lenses, etc.
See photos and make your best offer</t>
  </si>
  <si>
    <t xml:space="preserve">84077</t>
  </si>
  <si>
    <t xml:space="preserve">C35</t>
  </si>
  <si>
    <t xml:space="preserve">35mm Camera with microscope attachments</t>
  </si>
  <si>
    <t xml:space="preserve">Good  Condition Carl Zeiss C35 35mm camera 
With Microscope attachments
</t>
  </si>
  <si>
    <t xml:space="preserve">84242</t>
  </si>
  <si>
    <t xml:space="preserve">corygon 2.8/60mm</t>
  </si>
  <si>
    <t xml:space="preserve">2.8/60mm objective lens</t>
  </si>
  <si>
    <t xml:space="preserve">used,good condition</t>
  </si>
  <si>
    <t xml:space="preserve">83939</t>
  </si>
  <si>
    <t xml:space="preserve">Stage part</t>
  </si>
  <si>
    <t xml:space="preserve">moveable x,y stage part</t>
  </si>
  <si>
    <t xml:space="preserve">Used, good condition Carl Zeiss stage part
Unknown we think it was for Zeiss AxioMAT
</t>
  </si>
  <si>
    <t xml:space="preserve">84101</t>
  </si>
  <si>
    <t xml:space="preserve">Turret</t>
  </si>
  <si>
    <t xml:space="preserve">Turret 4 position for Zeiss, Leica and others, good condition</t>
  </si>
  <si>
    <t xml:space="preserve">    Good used condition 4-position Turret for Zeiss, Leica and others.
</t>
  </si>
  <si>
    <t xml:space="preserve">71497</t>
  </si>
  <si>
    <t xml:space="preserve">ZENITH</t>
  </si>
  <si>
    <t xml:space="preserve">ZPS-400</t>
  </si>
  <si>
    <t xml:space="preserve">Multiple voltage power supply</t>
  </si>
  <si>
    <t xml:space="preserve"> 
Zenith ZPS-400 115/230VAC ZPS400 Power Supply
Input : 115/230 VAC 47-65Hz
Input Current 6.7 / 3.9A
Total ouput PWR 400W Max
CH 2-4 output PWR 300W Max
Forced Convection 50 CFM Min
Made in Mexico
Used Tested and Working
Good Cosmetic and Working condition
No Attachment / No Software CD, Driver only above described and in picture 
Selling same item as in given actual pictures
CHANNEL 1:   5 VOLTS
CHANNEL 2:   12-24 VOLTS
CHANNEL 3:   5-15 VOLTS
CHANNEL 4:   5-15 VOLTS
 INPUT VOLTAGE: 100-240 VOLTS    47-65HZ.
INPUT CURRENT: 6.6A.
TOTAL OUTPUT POWER: 400W NAX/480W PK</t>
  </si>
</sst>
</file>

<file path=xl/styles.xml><?xml version="1.0" encoding="utf-8"?>
<styleSheet xmlns="http://schemas.openxmlformats.org/spreadsheetml/2006/main">
  <numFmts count="3">
    <numFmt numFmtId="164" formatCode="General"/>
    <numFmt numFmtId="165" formatCode="@"/>
    <numFmt numFmtId="166" formatCode="dd\.mm\.yyyy"/>
  </numFmts>
  <fonts count="7">
    <font>
      <sz val="10"/>
      <name val="Arial"/>
      <family val="0"/>
    </font>
    <font>
      <sz val="10"/>
      <name val="Arial"/>
      <family val="0"/>
    </font>
    <font>
      <sz val="10"/>
      <name val="Arial"/>
      <family val="0"/>
    </font>
    <font>
      <sz val="10"/>
      <name val="Arial"/>
      <family val="0"/>
    </font>
    <font>
      <b val="true"/>
      <sz val="8"/>
      <name val="Arial"/>
      <family val="0"/>
    </font>
    <font>
      <sz val="8"/>
      <name val="Arial"/>
      <family val="0"/>
    </font>
    <font>
      <sz val="8"/>
      <name val="Noto Sans CJK SC"/>
      <family val="2"/>
    </font>
  </fonts>
  <fills count="4">
    <fill>
      <patternFill patternType="none"/>
    </fill>
    <fill>
      <patternFill patternType="gray125"/>
    </fill>
    <fill>
      <patternFill patternType="solid">
        <fgColor rgb="FF969696"/>
        <bgColor rgb="FF808080"/>
      </patternFill>
    </fill>
    <fill>
      <patternFill patternType="solid">
        <fgColor rgb="FFC0C0C0"/>
        <bgColor rgb="FFCCCCFF"/>
      </patternFill>
    </fill>
  </fills>
  <borders count="2">
    <border diagonalUp="false" diagonalDown="false">
      <left/>
      <right/>
      <top/>
      <bottom/>
      <diagonal/>
    </border>
    <border diagonalUp="false" diagonalDown="false">
      <left/>
      <right/>
      <top/>
      <bottom style="dashed"/>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
    <xf numFmtId="164" fontId="0" fillId="0" borderId="0" xfId="0" applyFont="false" applyBorder="false" applyAlignment="false" applyProtection="false">
      <alignment horizontal="general" vertical="bottom" textRotation="0" wrapText="false" indent="0" shrinkToFit="false"/>
      <protection locked="true" hidden="false"/>
    </xf>
    <xf numFmtId="165" fontId="4" fillId="2" borderId="1" xfId="0" applyFont="true" applyBorder="true" applyAlignment="false" applyProtection="false">
      <alignment horizontal="general" vertical="bottom" textRotation="0" wrapText="false" indent="0" shrinkToFit="false"/>
      <protection locked="true" hidden="false"/>
    </xf>
    <xf numFmtId="165" fontId="5" fillId="3" borderId="0" xfId="0" applyFont="true" applyBorder="true" applyAlignment="false" applyProtection="false">
      <alignment horizontal="general" vertical="bottom" textRotation="0" wrapText="false" indent="0" shrinkToFit="false"/>
      <protection locked="true" hidden="false"/>
    </xf>
    <xf numFmtId="165" fontId="5" fillId="0" borderId="0" xfId="0" applyFont="true" applyBorder="true" applyAlignment="false" applyProtection="false">
      <alignment horizontal="general" vertical="bottom" textRotation="0" wrapText="false" indent="0" shrinkToFit="false"/>
      <protection locked="true" hidden="false"/>
    </xf>
    <xf numFmtId="166" fontId="5" fillId="0" borderId="0" xfId="0" applyFont="true" applyBorder="true" applyAlignment="false" applyProtection="false">
      <alignment horizontal="general" vertical="bottom" textRotation="0" wrapText="false" indent="0" shrinkToFit="false"/>
      <protection locked="true" hidden="false"/>
    </xf>
    <xf numFmtId="165" fontId="5" fillId="0" borderId="0" xfId="0" applyFont="true" applyBorder="true" applyAlignment="true" applyProtection="false">
      <alignment horizontal="general" vertical="bottom" textRotation="0" wrapText="true" indent="0" shrinkToFit="false"/>
      <protection locked="true" hidden="false"/>
    </xf>
    <xf numFmtId="165" fontId="5" fillId="3" borderId="0" xfId="0" applyFont="true" applyBorder="true" applyAlignment="true" applyProtection="false">
      <alignment horizontal="general" vertical="bottom" textRotation="0" wrapText="true" indent="0" shrinkToFit="false"/>
      <protection locked="true" hidden="false"/>
    </xf>
    <xf numFmtId="166" fontId="5" fillId="3" borderId="0" xfId="0" applyFont="true" applyBorder="true" applyAlignment="fals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3">
    <dxf>
      <fill>
        <patternFill patternType="solid">
          <fgColor rgb="FF969696"/>
          <bgColor rgb="FF000000"/>
        </patternFill>
      </fill>
    </dxf>
    <dxf>
      <fill>
        <patternFill patternType="solid">
          <fgColor rgb="FFC0C0C0"/>
          <bgColor rgb="FF000000"/>
        </patternFill>
      </fill>
    </dxf>
    <dxf>
      <fill>
        <patternFill patternType="solid">
          <bgColor rgb="FF000000"/>
        </patternFill>
      </fill>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L2935"/>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E10" activeCellId="0" sqref="E10"/>
    </sheetView>
  </sheetViews>
  <sheetFormatPr defaultColWidth="9.0546875" defaultRowHeight="11.9" zeroHeight="false" outlineLevelRow="0" outlineLevelCol="0"/>
  <cols>
    <col collapsed="false" customWidth="true" hidden="false" outlineLevel="0" max="1" min="1" style="0" width="52.59"/>
    <col collapsed="false" customWidth="true" hidden="false" outlineLevel="0" max="2" min="2" style="0" width="8.06"/>
    <col collapsed="false" customWidth="true" hidden="false" outlineLevel="0" max="3" min="3" style="0" width="14.46"/>
    <col collapsed="false" customWidth="true" hidden="false" outlineLevel="0" max="4" min="4" style="0" width="20.45"/>
    <col collapsed="false" customWidth="true" hidden="false" outlineLevel="0" max="5" min="5" style="0" width="54.53"/>
    <col collapsed="false" customWidth="true" hidden="false" outlineLevel="0" max="12" min="12" style="0" width="63.58"/>
    <col collapsed="false" customWidth="true" hidden="false" outlineLevel="0" max="16384" min="16366" style="0" width="11.53"/>
  </cols>
  <sheetData>
    <row r="1" customFormat="false" ht="11.9" hidden="false" customHeight="true" outlineLevel="0" collapsed="false">
      <c r="A1" s="1" t="s">
        <v>0</v>
      </c>
      <c r="B1" s="1" t="s">
        <v>1</v>
      </c>
      <c r="C1" s="1" t="s">
        <v>2</v>
      </c>
      <c r="D1" s="1" t="s">
        <v>3</v>
      </c>
      <c r="E1" s="1" t="s">
        <v>4</v>
      </c>
      <c r="F1" s="1" t="s">
        <v>5</v>
      </c>
      <c r="G1" s="1" t="s">
        <v>6</v>
      </c>
      <c r="H1" s="1" t="s">
        <v>7</v>
      </c>
      <c r="I1" s="1" t="s">
        <v>8</v>
      </c>
      <c r="J1" s="1" t="s">
        <v>9</v>
      </c>
      <c r="K1" s="1" t="s">
        <v>10</v>
      </c>
      <c r="L1" s="1" t="s">
        <v>11</v>
      </c>
    </row>
    <row r="2" customFormat="false" ht="11.9" hidden="false" customHeight="true" outlineLevel="0" collapsed="false">
      <c r="A2" s="2" t="str">
        <f aca="false">HYPERLINK("https://www.fabsurplus.com/sdi_catalog/salesItemDetails.do?id=80264")</f>
        <v>https://www.fabsurplus.com/sdi_catalog/salesItemDetails.do?id=80264</v>
      </c>
      <c r="B2" s="2" t="s">
        <v>12</v>
      </c>
      <c r="C2" s="2" t="s">
        <v>13</v>
      </c>
      <c r="D2" s="2" t="s">
        <v>14</v>
      </c>
      <c r="E2" s="2" t="s">
        <v>15</v>
      </c>
      <c r="F2" s="2" t="s">
        <v>16</v>
      </c>
      <c r="G2" s="2" t="s">
        <v>17</v>
      </c>
      <c r="H2" s="2" t="s">
        <v>18</v>
      </c>
      <c r="I2" s="2"/>
      <c r="J2" s="2" t="s">
        <v>19</v>
      </c>
      <c r="K2" s="2" t="s">
        <v>20</v>
      </c>
      <c r="L2" s="2" t="s">
        <v>21</v>
      </c>
    </row>
    <row r="3" customFormat="false" ht="11.9" hidden="false" customHeight="true" outlineLevel="0" collapsed="false">
      <c r="A3" s="3" t="str">
        <f aca="false">HYPERLINK("https://www.fabsurplus.com/sdi_catalog/salesItemDetails.do?id=4247")</f>
        <v>https://www.fabsurplus.com/sdi_catalog/salesItemDetails.do?id=4247</v>
      </c>
      <c r="B3" s="3" t="s">
        <v>22</v>
      </c>
      <c r="C3" s="3" t="s">
        <v>23</v>
      </c>
      <c r="D3" s="3" t="s">
        <v>24</v>
      </c>
      <c r="E3" s="3" t="s">
        <v>25</v>
      </c>
      <c r="F3" s="3" t="s">
        <v>16</v>
      </c>
      <c r="G3" s="3" t="s">
        <v>26</v>
      </c>
      <c r="H3" s="3" t="s">
        <v>27</v>
      </c>
      <c r="I3" s="3"/>
      <c r="J3" s="3" t="s">
        <v>19</v>
      </c>
      <c r="K3" s="3" t="s">
        <v>20</v>
      </c>
      <c r="L3" s="3"/>
    </row>
    <row r="4" customFormat="false" ht="11.9" hidden="false" customHeight="true" outlineLevel="0" collapsed="false">
      <c r="A4" s="2" t="str">
        <f aca="false">HYPERLINK("https://www.fabsurplus.com/sdi_catalog/salesItemDetails.do?id=4249")</f>
        <v>https://www.fabsurplus.com/sdi_catalog/salesItemDetails.do?id=4249</v>
      </c>
      <c r="B4" s="2" t="s">
        <v>28</v>
      </c>
      <c r="C4" s="2" t="s">
        <v>23</v>
      </c>
      <c r="D4" s="2" t="s">
        <v>29</v>
      </c>
      <c r="E4" s="2" t="s">
        <v>30</v>
      </c>
      <c r="F4" s="2" t="s">
        <v>16</v>
      </c>
      <c r="G4" s="2" t="s">
        <v>26</v>
      </c>
      <c r="H4" s="2" t="s">
        <v>27</v>
      </c>
      <c r="I4" s="2"/>
      <c r="J4" s="2" t="s">
        <v>19</v>
      </c>
      <c r="K4" s="2" t="s">
        <v>20</v>
      </c>
      <c r="L4" s="2"/>
    </row>
    <row r="5" customFormat="false" ht="11.9" hidden="false" customHeight="true" outlineLevel="0" collapsed="false">
      <c r="A5" s="3" t="str">
        <f aca="false">HYPERLINK("https://www.fabsurplus.com/sdi_catalog/salesItemDetails.do?id=111589")</f>
        <v>https://www.fabsurplus.com/sdi_catalog/salesItemDetails.do?id=111589</v>
      </c>
      <c r="B5" s="3" t="s">
        <v>31</v>
      </c>
      <c r="C5" s="3" t="s">
        <v>32</v>
      </c>
      <c r="D5" s="3" t="s">
        <v>33</v>
      </c>
      <c r="E5" s="3" t="s">
        <v>34</v>
      </c>
      <c r="F5" s="3" t="s">
        <v>16</v>
      </c>
      <c r="G5" s="3" t="s">
        <v>26</v>
      </c>
      <c r="H5" s="3" t="s">
        <v>35</v>
      </c>
      <c r="I5" s="4" t="n">
        <v>39569</v>
      </c>
      <c r="J5" s="3" t="s">
        <v>19</v>
      </c>
      <c r="K5" s="3" t="s">
        <v>20</v>
      </c>
      <c r="L5" s="5" t="s">
        <v>36</v>
      </c>
    </row>
    <row r="6" customFormat="false" ht="11.9" hidden="false" customHeight="true" outlineLevel="0" collapsed="false">
      <c r="A6" s="2" t="str">
        <f aca="false">HYPERLINK("https://www.fabsurplus.com/sdi_catalog/salesItemDetails.do?id=109623")</f>
        <v>https://www.fabsurplus.com/sdi_catalog/salesItemDetails.do?id=109623</v>
      </c>
      <c r="B6" s="2" t="s">
        <v>37</v>
      </c>
      <c r="C6" s="2" t="s">
        <v>38</v>
      </c>
      <c r="D6" s="2" t="s">
        <v>39</v>
      </c>
      <c r="E6" s="2" t="s">
        <v>40</v>
      </c>
      <c r="F6" s="2" t="s">
        <v>16</v>
      </c>
      <c r="G6" s="2" t="s">
        <v>41</v>
      </c>
      <c r="H6" s="2"/>
      <c r="I6" s="2"/>
      <c r="J6" s="2" t="s">
        <v>42</v>
      </c>
      <c r="K6" s="2"/>
      <c r="L6" s="2" t="s">
        <v>43</v>
      </c>
    </row>
    <row r="7" customFormat="false" ht="11.9" hidden="false" customHeight="true" outlineLevel="0" collapsed="false">
      <c r="A7" s="3" t="str">
        <f aca="false">HYPERLINK("https://www.fabsurplus.com/sdi_catalog/salesItemDetails.do?id=109622")</f>
        <v>https://www.fabsurplus.com/sdi_catalog/salesItemDetails.do?id=109622</v>
      </c>
      <c r="B7" s="3" t="s">
        <v>44</v>
      </c>
      <c r="C7" s="3" t="s">
        <v>38</v>
      </c>
      <c r="D7" s="3" t="s">
        <v>39</v>
      </c>
      <c r="E7" s="3" t="s">
        <v>40</v>
      </c>
      <c r="F7" s="3" t="s">
        <v>16</v>
      </c>
      <c r="G7" s="3" t="s">
        <v>41</v>
      </c>
      <c r="H7" s="3"/>
      <c r="I7" s="3"/>
      <c r="J7" s="3" t="s">
        <v>42</v>
      </c>
      <c r="K7" s="3"/>
      <c r="L7" s="3" t="s">
        <v>43</v>
      </c>
    </row>
    <row r="8" customFormat="false" ht="11.9" hidden="false" customHeight="true" outlineLevel="0" collapsed="false">
      <c r="A8" s="2" t="str">
        <f aca="false">HYPERLINK("https://www.fabsurplus.com/sdi_catalog/salesItemDetails.do?id=109627")</f>
        <v>https://www.fabsurplus.com/sdi_catalog/salesItemDetails.do?id=109627</v>
      </c>
      <c r="B8" s="2" t="s">
        <v>45</v>
      </c>
      <c r="C8" s="2" t="s">
        <v>38</v>
      </c>
      <c r="D8" s="2" t="s">
        <v>46</v>
      </c>
      <c r="E8" s="2" t="s">
        <v>47</v>
      </c>
      <c r="F8" s="2" t="s">
        <v>16</v>
      </c>
      <c r="G8" s="2" t="s">
        <v>41</v>
      </c>
      <c r="H8" s="2"/>
      <c r="I8" s="2"/>
      <c r="J8" s="2" t="s">
        <v>42</v>
      </c>
      <c r="K8" s="2"/>
      <c r="L8" s="2" t="s">
        <v>48</v>
      </c>
    </row>
    <row r="9" customFormat="false" ht="11.9" hidden="false" customHeight="true" outlineLevel="0" collapsed="false">
      <c r="A9" s="3" t="str">
        <f aca="false">HYPERLINK("https://www.fabsurplus.com/sdi_catalog/salesItemDetails.do?id=109626")</f>
        <v>https://www.fabsurplus.com/sdi_catalog/salesItemDetails.do?id=109626</v>
      </c>
      <c r="B9" s="3" t="s">
        <v>49</v>
      </c>
      <c r="C9" s="3" t="s">
        <v>38</v>
      </c>
      <c r="D9" s="3" t="s">
        <v>46</v>
      </c>
      <c r="E9" s="3" t="s">
        <v>47</v>
      </c>
      <c r="F9" s="3" t="s">
        <v>16</v>
      </c>
      <c r="G9" s="3" t="s">
        <v>41</v>
      </c>
      <c r="H9" s="3"/>
      <c r="I9" s="3"/>
      <c r="J9" s="3" t="s">
        <v>42</v>
      </c>
      <c r="K9" s="3"/>
      <c r="L9" s="3" t="s">
        <v>48</v>
      </c>
    </row>
    <row r="10" customFormat="false" ht="11.9" hidden="false" customHeight="true" outlineLevel="0" collapsed="false">
      <c r="A10" s="2" t="str">
        <f aca="false">HYPERLINK("https://www.fabsurplus.com/sdi_catalog/salesItemDetails.do?id=109625")</f>
        <v>https://www.fabsurplus.com/sdi_catalog/salesItemDetails.do?id=109625</v>
      </c>
      <c r="B10" s="2" t="s">
        <v>50</v>
      </c>
      <c r="C10" s="2" t="s">
        <v>38</v>
      </c>
      <c r="D10" s="2" t="s">
        <v>46</v>
      </c>
      <c r="E10" s="2" t="s">
        <v>47</v>
      </c>
      <c r="F10" s="2" t="s">
        <v>16</v>
      </c>
      <c r="G10" s="2" t="s">
        <v>41</v>
      </c>
      <c r="H10" s="2"/>
      <c r="I10" s="2"/>
      <c r="J10" s="2" t="s">
        <v>42</v>
      </c>
      <c r="K10" s="2"/>
      <c r="L10" s="2" t="s">
        <v>48</v>
      </c>
    </row>
    <row r="11" customFormat="false" ht="11.9" hidden="false" customHeight="true" outlineLevel="0" collapsed="false">
      <c r="A11" s="3" t="str">
        <f aca="false">HYPERLINK("https://www.fabsurplus.com/sdi_catalog/salesItemDetails.do?id=109624")</f>
        <v>https://www.fabsurplus.com/sdi_catalog/salesItemDetails.do?id=109624</v>
      </c>
      <c r="B11" s="3" t="s">
        <v>51</v>
      </c>
      <c r="C11" s="3" t="s">
        <v>38</v>
      </c>
      <c r="D11" s="3" t="s">
        <v>46</v>
      </c>
      <c r="E11" s="3" t="s">
        <v>47</v>
      </c>
      <c r="F11" s="3" t="s">
        <v>16</v>
      </c>
      <c r="G11" s="3" t="s">
        <v>41</v>
      </c>
      <c r="H11" s="3"/>
      <c r="I11" s="3"/>
      <c r="J11" s="3" t="s">
        <v>42</v>
      </c>
      <c r="K11" s="3"/>
      <c r="L11" s="3" t="s">
        <v>52</v>
      </c>
    </row>
    <row r="12" customFormat="false" ht="11.9" hidden="false" customHeight="true" outlineLevel="0" collapsed="false">
      <c r="A12" s="3" t="str">
        <f aca="false">HYPERLINK("https://www.fabsurplus.com/sdi_catalog/salesItemDetails.do?id=109628")</f>
        <v>https://www.fabsurplus.com/sdi_catalog/salesItemDetails.do?id=109628</v>
      </c>
      <c r="B12" s="3" t="s">
        <v>53</v>
      </c>
      <c r="C12" s="3" t="s">
        <v>38</v>
      </c>
      <c r="D12" s="3" t="s">
        <v>54</v>
      </c>
      <c r="E12" s="3" t="s">
        <v>47</v>
      </c>
      <c r="F12" s="3" t="s">
        <v>16</v>
      </c>
      <c r="G12" s="3" t="s">
        <v>41</v>
      </c>
      <c r="H12" s="3"/>
      <c r="I12" s="3"/>
      <c r="J12" s="3" t="s">
        <v>42</v>
      </c>
      <c r="K12" s="3"/>
      <c r="L12" s="3" t="s">
        <v>55</v>
      </c>
    </row>
    <row r="13" customFormat="false" ht="11.9" hidden="false" customHeight="true" outlineLevel="0" collapsed="false">
      <c r="A13" s="2" t="str">
        <f aca="false">HYPERLINK("https://www.fabsurplus.com/sdi_catalog/salesItemDetails.do?id=109629")</f>
        <v>https://www.fabsurplus.com/sdi_catalog/salesItemDetails.do?id=109629</v>
      </c>
      <c r="B13" s="2" t="s">
        <v>56</v>
      </c>
      <c r="C13" s="2" t="s">
        <v>38</v>
      </c>
      <c r="D13" s="2" t="s">
        <v>57</v>
      </c>
      <c r="E13" s="2" t="s">
        <v>47</v>
      </c>
      <c r="F13" s="2" t="s">
        <v>16</v>
      </c>
      <c r="G13" s="2" t="s">
        <v>41</v>
      </c>
      <c r="H13" s="2"/>
      <c r="I13" s="2"/>
      <c r="J13" s="2" t="s">
        <v>42</v>
      </c>
      <c r="K13" s="2"/>
      <c r="L13" s="2" t="s">
        <v>58</v>
      </c>
    </row>
    <row r="14" customFormat="false" ht="11.9" hidden="false" customHeight="true" outlineLevel="0" collapsed="false">
      <c r="A14" s="3" t="str">
        <f aca="false">HYPERLINK("https://www.fabsurplus.com/sdi_catalog/salesItemDetails.do?id=115338")</f>
        <v>https://www.fabsurplus.com/sdi_catalog/salesItemDetails.do?id=115338</v>
      </c>
      <c r="B14" s="3" t="s">
        <v>59</v>
      </c>
      <c r="C14" s="3" t="s">
        <v>60</v>
      </c>
      <c r="D14" s="3" t="s">
        <v>61</v>
      </c>
      <c r="E14" s="3" t="s">
        <v>62</v>
      </c>
      <c r="F14" s="3" t="s">
        <v>16</v>
      </c>
      <c r="G14" s="3" t="s">
        <v>41</v>
      </c>
      <c r="H14" s="3"/>
      <c r="I14" s="3"/>
      <c r="J14" s="3" t="s">
        <v>19</v>
      </c>
      <c r="K14" s="3"/>
      <c r="L14" s="3" t="s">
        <v>63</v>
      </c>
    </row>
    <row r="15" customFormat="false" ht="11.9" hidden="false" customHeight="true" outlineLevel="0" collapsed="false">
      <c r="A15" s="2" t="str">
        <f aca="false">HYPERLINK("https://www.fabsurplus.com/sdi_catalog/salesItemDetails.do?id=115339")</f>
        <v>https://www.fabsurplus.com/sdi_catalog/salesItemDetails.do?id=115339</v>
      </c>
      <c r="B15" s="2" t="s">
        <v>64</v>
      </c>
      <c r="C15" s="2" t="s">
        <v>60</v>
      </c>
      <c r="D15" s="2" t="s">
        <v>65</v>
      </c>
      <c r="E15" s="2" t="s">
        <v>66</v>
      </c>
      <c r="F15" s="2" t="s">
        <v>16</v>
      </c>
      <c r="G15" s="2" t="s">
        <v>41</v>
      </c>
      <c r="H15" s="2"/>
      <c r="I15" s="2"/>
      <c r="J15" s="2" t="s">
        <v>19</v>
      </c>
      <c r="K15" s="2"/>
      <c r="L15" s="2" t="s">
        <v>63</v>
      </c>
    </row>
    <row r="16" customFormat="false" ht="11.9" hidden="false" customHeight="true" outlineLevel="0" collapsed="false">
      <c r="A16" s="3" t="str">
        <f aca="false">HYPERLINK("https://www.fabsurplus.com/sdi_catalog/salesItemDetails.do?id=115340")</f>
        <v>https://www.fabsurplus.com/sdi_catalog/salesItemDetails.do?id=115340</v>
      </c>
      <c r="B16" s="3" t="s">
        <v>67</v>
      </c>
      <c r="C16" s="3" t="s">
        <v>60</v>
      </c>
      <c r="D16" s="3" t="s">
        <v>68</v>
      </c>
      <c r="E16" s="3" t="s">
        <v>62</v>
      </c>
      <c r="F16" s="3" t="s">
        <v>69</v>
      </c>
      <c r="G16" s="3" t="s">
        <v>41</v>
      </c>
      <c r="H16" s="3"/>
      <c r="I16" s="3"/>
      <c r="J16" s="3" t="s">
        <v>19</v>
      </c>
      <c r="K16" s="3"/>
      <c r="L16" s="3" t="s">
        <v>63</v>
      </c>
    </row>
    <row r="17" customFormat="false" ht="11.9" hidden="false" customHeight="true" outlineLevel="0" collapsed="false">
      <c r="A17" s="2" t="str">
        <f aca="false">HYPERLINK("https://www.fabsurplus.com/sdi_catalog/salesItemDetails.do?id=115341")</f>
        <v>https://www.fabsurplus.com/sdi_catalog/salesItemDetails.do?id=115341</v>
      </c>
      <c r="B17" s="2" t="s">
        <v>70</v>
      </c>
      <c r="C17" s="2" t="s">
        <v>60</v>
      </c>
      <c r="D17" s="2" t="s">
        <v>71</v>
      </c>
      <c r="E17" s="2" t="s">
        <v>72</v>
      </c>
      <c r="F17" s="2" t="s">
        <v>16</v>
      </c>
      <c r="G17" s="2" t="s">
        <v>41</v>
      </c>
      <c r="H17" s="2"/>
      <c r="I17" s="2"/>
      <c r="J17" s="2" t="s">
        <v>19</v>
      </c>
      <c r="K17" s="2"/>
      <c r="L17" s="2" t="s">
        <v>63</v>
      </c>
    </row>
    <row r="18" customFormat="false" ht="11.9" hidden="false" customHeight="true" outlineLevel="0" collapsed="false">
      <c r="A18" s="3" t="str">
        <f aca="false">HYPERLINK("https://www.fabsurplus.com/sdi_catalog/salesItemDetails.do?id=115342")</f>
        <v>https://www.fabsurplus.com/sdi_catalog/salesItemDetails.do?id=115342</v>
      </c>
      <c r="B18" s="3" t="s">
        <v>73</v>
      </c>
      <c r="C18" s="3" t="s">
        <v>60</v>
      </c>
      <c r="D18" s="3" t="s">
        <v>74</v>
      </c>
      <c r="E18" s="3" t="s">
        <v>72</v>
      </c>
      <c r="F18" s="3" t="s">
        <v>16</v>
      </c>
      <c r="G18" s="3" t="s">
        <v>41</v>
      </c>
      <c r="H18" s="3"/>
      <c r="I18" s="3"/>
      <c r="J18" s="3" t="s">
        <v>19</v>
      </c>
      <c r="K18" s="3"/>
      <c r="L18" s="3" t="s">
        <v>63</v>
      </c>
    </row>
    <row r="19" customFormat="false" ht="11.9" hidden="false" customHeight="true" outlineLevel="0" collapsed="false">
      <c r="A19" s="2" t="str">
        <f aca="false">HYPERLINK("https://www.fabsurplus.com/sdi_catalog/salesItemDetails.do?id=115343")</f>
        <v>https://www.fabsurplus.com/sdi_catalog/salesItemDetails.do?id=115343</v>
      </c>
      <c r="B19" s="2" t="s">
        <v>75</v>
      </c>
      <c r="C19" s="2" t="s">
        <v>60</v>
      </c>
      <c r="D19" s="2" t="s">
        <v>76</v>
      </c>
      <c r="E19" s="2" t="s">
        <v>72</v>
      </c>
      <c r="F19" s="2" t="s">
        <v>77</v>
      </c>
      <c r="G19" s="2" t="s">
        <v>41</v>
      </c>
      <c r="H19" s="2"/>
      <c r="I19" s="2"/>
      <c r="J19" s="2" t="s">
        <v>19</v>
      </c>
      <c r="K19" s="2"/>
      <c r="L19" s="2" t="s">
        <v>63</v>
      </c>
    </row>
    <row r="20" customFormat="false" ht="11.9" hidden="false" customHeight="true" outlineLevel="0" collapsed="false">
      <c r="A20" s="3" t="str">
        <f aca="false">HYPERLINK("https://www.fabsurplus.com/sdi_catalog/salesItemDetails.do?id=115344")</f>
        <v>https://www.fabsurplus.com/sdi_catalog/salesItemDetails.do?id=115344</v>
      </c>
      <c r="B20" s="3" t="s">
        <v>78</v>
      </c>
      <c r="C20" s="3" t="s">
        <v>60</v>
      </c>
      <c r="D20" s="3" t="s">
        <v>79</v>
      </c>
      <c r="E20" s="3" t="s">
        <v>80</v>
      </c>
      <c r="F20" s="3" t="s">
        <v>16</v>
      </c>
      <c r="G20" s="3" t="s">
        <v>41</v>
      </c>
      <c r="H20" s="3"/>
      <c r="I20" s="3"/>
      <c r="J20" s="3" t="s">
        <v>19</v>
      </c>
      <c r="K20" s="3"/>
      <c r="L20" s="3" t="s">
        <v>63</v>
      </c>
    </row>
    <row r="21" customFormat="false" ht="11.9" hidden="false" customHeight="true" outlineLevel="0" collapsed="false">
      <c r="A21" s="3" t="str">
        <f aca="false">HYPERLINK("https://www.fabsurplus.com/sdi_catalog/salesItemDetails.do?id=115353")</f>
        <v>https://www.fabsurplus.com/sdi_catalog/salesItemDetails.do?id=115353</v>
      </c>
      <c r="B21" s="3" t="s">
        <v>81</v>
      </c>
      <c r="C21" s="3" t="s">
        <v>82</v>
      </c>
      <c r="D21" s="3" t="s">
        <v>83</v>
      </c>
      <c r="E21" s="3" t="s">
        <v>84</v>
      </c>
      <c r="F21" s="3" t="s">
        <v>16</v>
      </c>
      <c r="G21" s="3" t="s">
        <v>26</v>
      </c>
      <c r="H21" s="3"/>
      <c r="I21" s="3"/>
      <c r="J21" s="3" t="s">
        <v>19</v>
      </c>
      <c r="K21" s="3"/>
      <c r="L21" s="3" t="s">
        <v>63</v>
      </c>
    </row>
    <row r="22" customFormat="false" ht="11.9" hidden="false" customHeight="true" outlineLevel="0" collapsed="false">
      <c r="A22" s="2" t="str">
        <f aca="false">HYPERLINK("https://www.fabsurplus.com/sdi_catalog/salesItemDetails.do?id=114702")</f>
        <v>https://www.fabsurplus.com/sdi_catalog/salesItemDetails.do?id=114702</v>
      </c>
      <c r="B22" s="2" t="s">
        <v>85</v>
      </c>
      <c r="C22" s="2" t="s">
        <v>82</v>
      </c>
      <c r="D22" s="2" t="s">
        <v>86</v>
      </c>
      <c r="E22" s="2" t="s">
        <v>87</v>
      </c>
      <c r="F22" s="2" t="s">
        <v>16</v>
      </c>
      <c r="G22" s="2" t="s">
        <v>26</v>
      </c>
      <c r="H22" s="2"/>
      <c r="I22" s="2"/>
      <c r="J22" s="2" t="s">
        <v>19</v>
      </c>
      <c r="K22" s="2"/>
      <c r="L22" s="2" t="s">
        <v>63</v>
      </c>
    </row>
    <row r="23" customFormat="false" ht="11.9" hidden="false" customHeight="true" outlineLevel="0" collapsed="false">
      <c r="A23" s="3" t="str">
        <f aca="false">HYPERLINK("https://www.fabsurplus.com/sdi_catalog/salesItemDetails.do?id=114821")</f>
        <v>https://www.fabsurplus.com/sdi_catalog/salesItemDetails.do?id=114821</v>
      </c>
      <c r="B23" s="3" t="s">
        <v>88</v>
      </c>
      <c r="C23" s="3" t="s">
        <v>82</v>
      </c>
      <c r="D23" s="3" t="s">
        <v>86</v>
      </c>
      <c r="E23" s="3" t="s">
        <v>89</v>
      </c>
      <c r="F23" s="3" t="s">
        <v>16</v>
      </c>
      <c r="G23" s="3" t="s">
        <v>26</v>
      </c>
      <c r="H23" s="3"/>
      <c r="I23" s="3"/>
      <c r="J23" s="3" t="s">
        <v>19</v>
      </c>
      <c r="K23" s="3"/>
      <c r="L23" s="3" t="s">
        <v>63</v>
      </c>
    </row>
    <row r="24" customFormat="false" ht="11.9" hidden="false" customHeight="true" outlineLevel="0" collapsed="false">
      <c r="A24" s="2" t="str">
        <f aca="false">HYPERLINK("https://www.fabsurplus.com/sdi_catalog/salesItemDetails.do?id=114769")</f>
        <v>https://www.fabsurplus.com/sdi_catalog/salesItemDetails.do?id=114769</v>
      </c>
      <c r="B24" s="2" t="s">
        <v>90</v>
      </c>
      <c r="C24" s="2" t="s">
        <v>82</v>
      </c>
      <c r="D24" s="2" t="s">
        <v>91</v>
      </c>
      <c r="E24" s="2" t="s">
        <v>92</v>
      </c>
      <c r="F24" s="2" t="s">
        <v>16</v>
      </c>
      <c r="G24" s="2" t="s">
        <v>26</v>
      </c>
      <c r="H24" s="2"/>
      <c r="I24" s="2"/>
      <c r="J24" s="2" t="s">
        <v>19</v>
      </c>
      <c r="K24" s="2"/>
      <c r="L24" s="2" t="s">
        <v>63</v>
      </c>
    </row>
    <row r="25" customFormat="false" ht="11.9" hidden="false" customHeight="true" outlineLevel="0" collapsed="false">
      <c r="A25" s="2" t="str">
        <f aca="false">HYPERLINK("https://www.fabsurplus.com/sdi_catalog/salesItemDetails.do?id=114841")</f>
        <v>https://www.fabsurplus.com/sdi_catalog/salesItemDetails.do?id=114841</v>
      </c>
      <c r="B25" s="2" t="s">
        <v>93</v>
      </c>
      <c r="C25" s="2" t="s">
        <v>82</v>
      </c>
      <c r="D25" s="2" t="s">
        <v>94</v>
      </c>
      <c r="E25" s="2" t="s">
        <v>95</v>
      </c>
      <c r="F25" s="2" t="s">
        <v>16</v>
      </c>
      <c r="G25" s="2" t="s">
        <v>26</v>
      </c>
      <c r="H25" s="2"/>
      <c r="I25" s="2"/>
      <c r="J25" s="2" t="s">
        <v>19</v>
      </c>
      <c r="K25" s="2"/>
      <c r="L25" s="2" t="s">
        <v>63</v>
      </c>
    </row>
    <row r="26" customFormat="false" ht="11.9" hidden="false" customHeight="true" outlineLevel="0" collapsed="false">
      <c r="A26" s="2" t="str">
        <f aca="false">HYPERLINK("https://www.fabsurplus.com/sdi_catalog/salesItemDetails.do?id=114842")</f>
        <v>https://www.fabsurplus.com/sdi_catalog/salesItemDetails.do?id=114842</v>
      </c>
      <c r="B26" s="2" t="s">
        <v>96</v>
      </c>
      <c r="C26" s="2" t="s">
        <v>82</v>
      </c>
      <c r="D26" s="2" t="s">
        <v>94</v>
      </c>
      <c r="E26" s="2" t="s">
        <v>97</v>
      </c>
      <c r="F26" s="2" t="s">
        <v>77</v>
      </c>
      <c r="G26" s="2" t="s">
        <v>26</v>
      </c>
      <c r="H26" s="2"/>
      <c r="I26" s="2"/>
      <c r="J26" s="2" t="s">
        <v>19</v>
      </c>
      <c r="K26" s="2"/>
      <c r="L26" s="2" t="s">
        <v>63</v>
      </c>
    </row>
    <row r="27" customFormat="false" ht="11.9" hidden="false" customHeight="true" outlineLevel="0" collapsed="false">
      <c r="A27" s="3" t="str">
        <f aca="false">HYPERLINK("https://www.fabsurplus.com/sdi_catalog/salesItemDetails.do?id=114845")</f>
        <v>https://www.fabsurplus.com/sdi_catalog/salesItemDetails.do?id=114845</v>
      </c>
      <c r="B27" s="3" t="s">
        <v>98</v>
      </c>
      <c r="C27" s="3" t="s">
        <v>82</v>
      </c>
      <c r="D27" s="3" t="s">
        <v>99</v>
      </c>
      <c r="E27" s="3" t="s">
        <v>100</v>
      </c>
      <c r="F27" s="3" t="s">
        <v>101</v>
      </c>
      <c r="G27" s="3" t="s">
        <v>26</v>
      </c>
      <c r="H27" s="3"/>
      <c r="I27" s="3"/>
      <c r="J27" s="3" t="s">
        <v>19</v>
      </c>
      <c r="K27" s="3"/>
      <c r="L27" s="3" t="s">
        <v>63</v>
      </c>
    </row>
    <row r="28" customFormat="false" ht="11.9" hidden="false" customHeight="true" outlineLevel="0" collapsed="false">
      <c r="A28" s="2" t="str">
        <f aca="false">HYPERLINK("https://www.fabsurplus.com/sdi_catalog/salesItemDetails.do?id=114844")</f>
        <v>https://www.fabsurplus.com/sdi_catalog/salesItemDetails.do?id=114844</v>
      </c>
      <c r="B28" s="2" t="s">
        <v>102</v>
      </c>
      <c r="C28" s="2" t="s">
        <v>82</v>
      </c>
      <c r="D28" s="2" t="s">
        <v>99</v>
      </c>
      <c r="E28" s="2" t="s">
        <v>103</v>
      </c>
      <c r="F28" s="2" t="s">
        <v>104</v>
      </c>
      <c r="G28" s="2" t="s">
        <v>26</v>
      </c>
      <c r="H28" s="2"/>
      <c r="I28" s="2"/>
      <c r="J28" s="2" t="s">
        <v>19</v>
      </c>
      <c r="K28" s="2"/>
      <c r="L28" s="2" t="s">
        <v>63</v>
      </c>
    </row>
    <row r="29" customFormat="false" ht="11.9" hidden="false" customHeight="true" outlineLevel="0" collapsed="false">
      <c r="A29" s="2" t="str">
        <f aca="false">HYPERLINK("https://www.fabsurplus.com/sdi_catalog/salesItemDetails.do?id=114846")</f>
        <v>https://www.fabsurplus.com/sdi_catalog/salesItemDetails.do?id=114846</v>
      </c>
      <c r="B29" s="2" t="s">
        <v>105</v>
      </c>
      <c r="C29" s="2" t="s">
        <v>82</v>
      </c>
      <c r="D29" s="2" t="s">
        <v>99</v>
      </c>
      <c r="E29" s="2" t="s">
        <v>106</v>
      </c>
      <c r="F29" s="2" t="s">
        <v>77</v>
      </c>
      <c r="G29" s="2" t="s">
        <v>26</v>
      </c>
      <c r="H29" s="2"/>
      <c r="I29" s="2"/>
      <c r="J29" s="2" t="s">
        <v>19</v>
      </c>
      <c r="K29" s="2"/>
      <c r="L29" s="2" t="s">
        <v>63</v>
      </c>
    </row>
    <row r="30" customFormat="false" ht="11.9" hidden="false" customHeight="true" outlineLevel="0" collapsed="false">
      <c r="A30" s="3" t="str">
        <f aca="false">HYPERLINK("https://www.fabsurplus.com/sdi_catalog/salesItemDetails.do?id=114843")</f>
        <v>https://www.fabsurplus.com/sdi_catalog/salesItemDetails.do?id=114843</v>
      </c>
      <c r="B30" s="3" t="s">
        <v>107</v>
      </c>
      <c r="C30" s="3" t="s">
        <v>82</v>
      </c>
      <c r="D30" s="3" t="s">
        <v>99</v>
      </c>
      <c r="E30" s="3" t="s">
        <v>108</v>
      </c>
      <c r="F30" s="3" t="s">
        <v>16</v>
      </c>
      <c r="G30" s="3" t="s">
        <v>26</v>
      </c>
      <c r="H30" s="3"/>
      <c r="I30" s="3"/>
      <c r="J30" s="3" t="s">
        <v>19</v>
      </c>
      <c r="K30" s="3"/>
      <c r="L30" s="3" t="s">
        <v>63</v>
      </c>
    </row>
    <row r="31" customFormat="false" ht="11.9" hidden="false" customHeight="true" outlineLevel="0" collapsed="false">
      <c r="A31" s="3" t="str">
        <f aca="false">HYPERLINK("https://www.fabsurplus.com/sdi_catalog/salesItemDetails.do?id=115345")</f>
        <v>https://www.fabsurplus.com/sdi_catalog/salesItemDetails.do?id=115345</v>
      </c>
      <c r="B31" s="3" t="s">
        <v>109</v>
      </c>
      <c r="C31" s="3" t="s">
        <v>60</v>
      </c>
      <c r="D31" s="3" t="s">
        <v>110</v>
      </c>
      <c r="E31" s="3" t="s">
        <v>111</v>
      </c>
      <c r="F31" s="3" t="s">
        <v>77</v>
      </c>
      <c r="G31" s="3" t="s">
        <v>41</v>
      </c>
      <c r="H31" s="3"/>
      <c r="I31" s="3"/>
      <c r="J31" s="3" t="s">
        <v>19</v>
      </c>
      <c r="K31" s="3"/>
      <c r="L31" s="3" t="s">
        <v>63</v>
      </c>
    </row>
    <row r="32" customFormat="false" ht="11.9" hidden="false" customHeight="true" outlineLevel="0" collapsed="false">
      <c r="A32" s="2" t="str">
        <f aca="false">HYPERLINK("https://www.fabsurplus.com/sdi_catalog/salesItemDetails.do?id=115346")</f>
        <v>https://www.fabsurplus.com/sdi_catalog/salesItemDetails.do?id=115346</v>
      </c>
      <c r="B32" s="2" t="s">
        <v>112</v>
      </c>
      <c r="C32" s="2" t="s">
        <v>60</v>
      </c>
      <c r="D32" s="2" t="s">
        <v>113</v>
      </c>
      <c r="E32" s="2" t="s">
        <v>114</v>
      </c>
      <c r="F32" s="2" t="s">
        <v>16</v>
      </c>
      <c r="G32" s="2" t="s">
        <v>41</v>
      </c>
      <c r="H32" s="2"/>
      <c r="I32" s="2"/>
      <c r="J32" s="2" t="s">
        <v>19</v>
      </c>
      <c r="K32" s="2"/>
      <c r="L32" s="2" t="s">
        <v>63</v>
      </c>
    </row>
    <row r="33" customFormat="false" ht="11.9" hidden="false" customHeight="true" outlineLevel="0" collapsed="false">
      <c r="A33" s="3" t="str">
        <f aca="false">HYPERLINK("https://www.fabsurplus.com/sdi_catalog/salesItemDetails.do?id=115347")</f>
        <v>https://www.fabsurplus.com/sdi_catalog/salesItemDetails.do?id=115347</v>
      </c>
      <c r="B33" s="3" t="s">
        <v>115</v>
      </c>
      <c r="C33" s="3" t="s">
        <v>60</v>
      </c>
      <c r="D33" s="3" t="s">
        <v>116</v>
      </c>
      <c r="E33" s="3" t="s">
        <v>117</v>
      </c>
      <c r="F33" s="3" t="s">
        <v>69</v>
      </c>
      <c r="G33" s="3" t="s">
        <v>41</v>
      </c>
      <c r="H33" s="3"/>
      <c r="I33" s="3"/>
      <c r="J33" s="3" t="s">
        <v>19</v>
      </c>
      <c r="K33" s="3"/>
      <c r="L33" s="3" t="s">
        <v>63</v>
      </c>
    </row>
    <row r="34" customFormat="false" ht="11.9" hidden="false" customHeight="true" outlineLevel="0" collapsed="false">
      <c r="A34" s="2" t="str">
        <f aca="false">HYPERLINK("https://www.fabsurplus.com/sdi_catalog/salesItemDetails.do?id=115348")</f>
        <v>https://www.fabsurplus.com/sdi_catalog/salesItemDetails.do?id=115348</v>
      </c>
      <c r="B34" s="2" t="s">
        <v>118</v>
      </c>
      <c r="C34" s="2" t="s">
        <v>60</v>
      </c>
      <c r="D34" s="2" t="s">
        <v>119</v>
      </c>
      <c r="E34" s="2" t="s">
        <v>120</v>
      </c>
      <c r="F34" s="2" t="s">
        <v>16</v>
      </c>
      <c r="G34" s="2" t="s">
        <v>41</v>
      </c>
      <c r="H34" s="2"/>
      <c r="I34" s="2"/>
      <c r="J34" s="2" t="s">
        <v>19</v>
      </c>
      <c r="K34" s="2"/>
      <c r="L34" s="2" t="s">
        <v>63</v>
      </c>
    </row>
    <row r="35" customFormat="false" ht="11.9" hidden="false" customHeight="true" outlineLevel="0" collapsed="false">
      <c r="A35" s="3" t="str">
        <f aca="false">HYPERLINK("https://www.fabsurplus.com/sdi_catalog/salesItemDetails.do?id=115349")</f>
        <v>https://www.fabsurplus.com/sdi_catalog/salesItemDetails.do?id=115349</v>
      </c>
      <c r="B35" s="3" t="s">
        <v>121</v>
      </c>
      <c r="C35" s="3" t="s">
        <v>60</v>
      </c>
      <c r="D35" s="3" t="s">
        <v>122</v>
      </c>
      <c r="E35" s="3" t="s">
        <v>123</v>
      </c>
      <c r="F35" s="3" t="s">
        <v>16</v>
      </c>
      <c r="G35" s="3" t="s">
        <v>41</v>
      </c>
      <c r="H35" s="3"/>
      <c r="I35" s="3"/>
      <c r="J35" s="3" t="s">
        <v>19</v>
      </c>
      <c r="K35" s="3"/>
      <c r="L35" s="3" t="s">
        <v>63</v>
      </c>
    </row>
    <row r="36" customFormat="false" ht="11.9" hidden="false" customHeight="true" outlineLevel="0" collapsed="false">
      <c r="A36" s="2" t="str">
        <f aca="false">HYPERLINK("https://www.fabsurplus.com/sdi_catalog/salesItemDetails.do?id=115350")</f>
        <v>https://www.fabsurplus.com/sdi_catalog/salesItemDetails.do?id=115350</v>
      </c>
      <c r="B36" s="2" t="s">
        <v>124</v>
      </c>
      <c r="C36" s="2" t="s">
        <v>60</v>
      </c>
      <c r="D36" s="2" t="s">
        <v>125</v>
      </c>
      <c r="E36" s="2" t="s">
        <v>126</v>
      </c>
      <c r="F36" s="2" t="s">
        <v>16</v>
      </c>
      <c r="G36" s="2" t="s">
        <v>41</v>
      </c>
      <c r="H36" s="2"/>
      <c r="I36" s="2"/>
      <c r="J36" s="2" t="s">
        <v>19</v>
      </c>
      <c r="K36" s="2"/>
      <c r="L36" s="2" t="s">
        <v>63</v>
      </c>
    </row>
    <row r="37" customFormat="false" ht="11.9" hidden="false" customHeight="true" outlineLevel="0" collapsed="false">
      <c r="A37" s="3" t="str">
        <f aca="false">HYPERLINK("https://www.fabsurplus.com/sdi_catalog/salesItemDetails.do?id=109637")</f>
        <v>https://www.fabsurplus.com/sdi_catalog/salesItemDetails.do?id=109637</v>
      </c>
      <c r="B37" s="3" t="s">
        <v>127</v>
      </c>
      <c r="C37" s="3" t="s">
        <v>82</v>
      </c>
      <c r="D37" s="3" t="s">
        <v>128</v>
      </c>
      <c r="E37" s="3" t="s">
        <v>47</v>
      </c>
      <c r="F37" s="3" t="s">
        <v>16</v>
      </c>
      <c r="G37" s="3" t="s">
        <v>41</v>
      </c>
      <c r="H37" s="3" t="s">
        <v>129</v>
      </c>
      <c r="I37" s="3"/>
      <c r="J37" s="3" t="s">
        <v>42</v>
      </c>
      <c r="K37" s="3"/>
      <c r="L37" s="5" t="s">
        <v>130</v>
      </c>
    </row>
    <row r="38" customFormat="false" ht="11.9" hidden="false" customHeight="true" outlineLevel="0" collapsed="false">
      <c r="A38" s="3" t="str">
        <f aca="false">HYPERLINK("https://www.fabsurplus.com/sdi_catalog/salesItemDetails.do?id=109655")</f>
        <v>https://www.fabsurplus.com/sdi_catalog/salesItemDetails.do?id=109655</v>
      </c>
      <c r="B38" s="3" t="s">
        <v>131</v>
      </c>
      <c r="C38" s="3" t="s">
        <v>82</v>
      </c>
      <c r="D38" s="3" t="s">
        <v>132</v>
      </c>
      <c r="E38" s="3" t="s">
        <v>133</v>
      </c>
      <c r="F38" s="3" t="s">
        <v>16</v>
      </c>
      <c r="G38" s="3" t="s">
        <v>41</v>
      </c>
      <c r="H38" s="3" t="s">
        <v>129</v>
      </c>
      <c r="I38" s="3"/>
      <c r="J38" s="3" t="s">
        <v>19</v>
      </c>
      <c r="K38" s="3" t="s">
        <v>20</v>
      </c>
      <c r="L38" s="5" t="s">
        <v>134</v>
      </c>
    </row>
    <row r="39" customFormat="false" ht="11.9" hidden="false" customHeight="true" outlineLevel="0" collapsed="false">
      <c r="A39" s="2" t="str">
        <f aca="false">HYPERLINK("https://www.fabsurplus.com/sdi_catalog/salesItemDetails.do?id=109703")</f>
        <v>https://www.fabsurplus.com/sdi_catalog/salesItemDetails.do?id=109703</v>
      </c>
      <c r="B39" s="2" t="s">
        <v>135</v>
      </c>
      <c r="C39" s="2" t="s">
        <v>82</v>
      </c>
      <c r="D39" s="2" t="s">
        <v>136</v>
      </c>
      <c r="E39" s="2" t="s">
        <v>137</v>
      </c>
      <c r="F39" s="2" t="s">
        <v>16</v>
      </c>
      <c r="G39" s="2" t="s">
        <v>41</v>
      </c>
      <c r="H39" s="2" t="s">
        <v>138</v>
      </c>
      <c r="I39" s="2"/>
      <c r="J39" s="2" t="s">
        <v>139</v>
      </c>
      <c r="K39" s="2"/>
      <c r="L39" s="2" t="s">
        <v>140</v>
      </c>
    </row>
    <row r="40" customFormat="false" ht="11.9" hidden="false" customHeight="true" outlineLevel="0" collapsed="false">
      <c r="A40" s="2" t="str">
        <f aca="false">HYPERLINK("https://www.fabsurplus.com/sdi_catalog/salesItemDetails.do?id=109771")</f>
        <v>https://www.fabsurplus.com/sdi_catalog/salesItemDetails.do?id=109771</v>
      </c>
      <c r="B40" s="2" t="s">
        <v>141</v>
      </c>
      <c r="C40" s="2" t="s">
        <v>82</v>
      </c>
      <c r="D40" s="2" t="s">
        <v>142</v>
      </c>
      <c r="E40" s="2" t="s">
        <v>47</v>
      </c>
      <c r="F40" s="2" t="s">
        <v>16</v>
      </c>
      <c r="G40" s="2" t="s">
        <v>41</v>
      </c>
      <c r="H40" s="2" t="s">
        <v>138</v>
      </c>
      <c r="I40" s="2"/>
      <c r="J40" s="2" t="s">
        <v>139</v>
      </c>
      <c r="K40" s="2"/>
      <c r="L40" s="6" t="s">
        <v>143</v>
      </c>
    </row>
    <row r="41" customFormat="false" ht="11.9" hidden="false" customHeight="true" outlineLevel="0" collapsed="false">
      <c r="A41" s="3" t="str">
        <f aca="false">HYPERLINK("https://www.fabsurplus.com/sdi_catalog/salesItemDetails.do?id=109770")</f>
        <v>https://www.fabsurplus.com/sdi_catalog/salesItemDetails.do?id=109770</v>
      </c>
      <c r="B41" s="3" t="s">
        <v>144</v>
      </c>
      <c r="C41" s="3" t="s">
        <v>82</v>
      </c>
      <c r="D41" s="3" t="s">
        <v>142</v>
      </c>
      <c r="E41" s="3" t="s">
        <v>47</v>
      </c>
      <c r="F41" s="3" t="s">
        <v>16</v>
      </c>
      <c r="G41" s="3" t="s">
        <v>41</v>
      </c>
      <c r="H41" s="3" t="s">
        <v>138</v>
      </c>
      <c r="I41" s="3"/>
      <c r="J41" s="3" t="s">
        <v>139</v>
      </c>
      <c r="K41" s="3"/>
      <c r="L41" s="5" t="s">
        <v>143</v>
      </c>
    </row>
    <row r="42" customFormat="false" ht="11.9" hidden="false" customHeight="true" outlineLevel="0" collapsed="false">
      <c r="A42" s="3" t="str">
        <f aca="false">HYPERLINK("https://www.fabsurplus.com/sdi_catalog/salesItemDetails.do?id=109777")</f>
        <v>https://www.fabsurplus.com/sdi_catalog/salesItemDetails.do?id=109777</v>
      </c>
      <c r="B42" s="3" t="s">
        <v>145</v>
      </c>
      <c r="C42" s="3" t="s">
        <v>82</v>
      </c>
      <c r="D42" s="3" t="s">
        <v>146</v>
      </c>
      <c r="E42" s="3" t="s">
        <v>47</v>
      </c>
      <c r="F42" s="3" t="s">
        <v>16</v>
      </c>
      <c r="G42" s="3" t="s">
        <v>41</v>
      </c>
      <c r="H42" s="3"/>
      <c r="I42" s="3"/>
      <c r="J42" s="3" t="s">
        <v>42</v>
      </c>
      <c r="K42" s="3"/>
      <c r="L42" s="3" t="s">
        <v>147</v>
      </c>
    </row>
    <row r="43" customFormat="false" ht="11.9" hidden="false" customHeight="true" outlineLevel="0" collapsed="false">
      <c r="A43" s="2" t="str">
        <f aca="false">HYPERLINK("https://www.fabsurplus.com/sdi_catalog/salesItemDetails.do?id=109818")</f>
        <v>https://www.fabsurplus.com/sdi_catalog/salesItemDetails.do?id=109818</v>
      </c>
      <c r="B43" s="2" t="s">
        <v>148</v>
      </c>
      <c r="C43" s="2" t="s">
        <v>82</v>
      </c>
      <c r="D43" s="2" t="s">
        <v>149</v>
      </c>
      <c r="E43" s="2" t="s">
        <v>47</v>
      </c>
      <c r="F43" s="2" t="s">
        <v>16</v>
      </c>
      <c r="G43" s="2" t="s">
        <v>41</v>
      </c>
      <c r="H43" s="2" t="s">
        <v>138</v>
      </c>
      <c r="I43" s="2"/>
      <c r="J43" s="2" t="s">
        <v>139</v>
      </c>
      <c r="K43" s="2" t="s">
        <v>20</v>
      </c>
      <c r="L43" s="6" t="s">
        <v>150</v>
      </c>
    </row>
    <row r="44" customFormat="false" ht="11.9" hidden="false" customHeight="true" outlineLevel="0" collapsed="false">
      <c r="A44" s="3" t="str">
        <f aca="false">HYPERLINK("https://www.fabsurplus.com/sdi_catalog/salesItemDetails.do?id=115351")</f>
        <v>https://www.fabsurplus.com/sdi_catalog/salesItemDetails.do?id=115351</v>
      </c>
      <c r="B44" s="3" t="s">
        <v>151</v>
      </c>
      <c r="C44" s="3" t="s">
        <v>60</v>
      </c>
      <c r="D44" s="3" t="s">
        <v>152</v>
      </c>
      <c r="E44" s="3" t="s">
        <v>153</v>
      </c>
      <c r="F44" s="3" t="s">
        <v>16</v>
      </c>
      <c r="G44" s="3" t="s">
        <v>41</v>
      </c>
      <c r="H44" s="3"/>
      <c r="I44" s="3"/>
      <c r="J44" s="3" t="s">
        <v>19</v>
      </c>
      <c r="K44" s="3"/>
      <c r="L44" s="3" t="s">
        <v>63</v>
      </c>
    </row>
    <row r="45" customFormat="false" ht="11.9" hidden="false" customHeight="true" outlineLevel="0" collapsed="false">
      <c r="A45" s="2" t="str">
        <f aca="false">HYPERLINK("https://www.fabsurplus.com/sdi_catalog/salesItemDetails.do?id=109846")</f>
        <v>https://www.fabsurplus.com/sdi_catalog/salesItemDetails.do?id=109846</v>
      </c>
      <c r="B45" s="2" t="s">
        <v>154</v>
      </c>
      <c r="C45" s="2" t="s">
        <v>82</v>
      </c>
      <c r="D45" s="2" t="s">
        <v>155</v>
      </c>
      <c r="E45" s="2" t="s">
        <v>47</v>
      </c>
      <c r="F45" s="2" t="s">
        <v>16</v>
      </c>
      <c r="G45" s="2" t="s">
        <v>41</v>
      </c>
      <c r="H45" s="2" t="s">
        <v>138</v>
      </c>
      <c r="I45" s="2"/>
      <c r="J45" s="2" t="s">
        <v>139</v>
      </c>
      <c r="K45" s="2" t="s">
        <v>20</v>
      </c>
      <c r="L45" s="2" t="s">
        <v>156</v>
      </c>
    </row>
    <row r="46" customFormat="false" ht="11.9" hidden="false" customHeight="true" outlineLevel="0" collapsed="false">
      <c r="A46" s="2" t="str">
        <f aca="false">HYPERLINK("https://www.fabsurplus.com/sdi_catalog/salesItemDetails.do?id=109876")</f>
        <v>https://www.fabsurplus.com/sdi_catalog/salesItemDetails.do?id=109876</v>
      </c>
      <c r="B46" s="2" t="s">
        <v>157</v>
      </c>
      <c r="C46" s="2" t="s">
        <v>82</v>
      </c>
      <c r="D46" s="2" t="s">
        <v>158</v>
      </c>
      <c r="E46" s="2" t="s">
        <v>47</v>
      </c>
      <c r="F46" s="2" t="s">
        <v>16</v>
      </c>
      <c r="G46" s="2" t="s">
        <v>41</v>
      </c>
      <c r="H46" s="2" t="s">
        <v>138</v>
      </c>
      <c r="I46" s="2"/>
      <c r="J46" s="2" t="s">
        <v>139</v>
      </c>
      <c r="K46" s="2" t="s">
        <v>20</v>
      </c>
      <c r="L46" s="2" t="s">
        <v>159</v>
      </c>
    </row>
    <row r="47" customFormat="false" ht="11.9" hidden="false" customHeight="true" outlineLevel="0" collapsed="false">
      <c r="A47" s="3" t="str">
        <f aca="false">HYPERLINK("https://www.fabsurplus.com/sdi_catalog/salesItemDetails.do?id=77167")</f>
        <v>https://www.fabsurplus.com/sdi_catalog/salesItemDetails.do?id=77167</v>
      </c>
      <c r="B47" s="3" t="s">
        <v>160</v>
      </c>
      <c r="C47" s="3" t="s">
        <v>161</v>
      </c>
      <c r="D47" s="3" t="s">
        <v>162</v>
      </c>
      <c r="E47" s="3" t="s">
        <v>163</v>
      </c>
      <c r="F47" s="3" t="s">
        <v>77</v>
      </c>
      <c r="G47" s="3" t="s">
        <v>26</v>
      </c>
      <c r="H47" s="3" t="s">
        <v>35</v>
      </c>
      <c r="I47" s="3"/>
      <c r="J47" s="3" t="s">
        <v>19</v>
      </c>
      <c r="K47" s="3" t="s">
        <v>20</v>
      </c>
      <c r="L47" s="5" t="s">
        <v>164</v>
      </c>
    </row>
    <row r="48" customFormat="false" ht="11.9" hidden="false" customHeight="true" outlineLevel="0" collapsed="false">
      <c r="A48" s="2" t="str">
        <f aca="false">HYPERLINK("https://www.fabsurplus.com/sdi_catalog/salesItemDetails.do?id=77166")</f>
        <v>https://www.fabsurplus.com/sdi_catalog/salesItemDetails.do?id=77166</v>
      </c>
      <c r="B48" s="2" t="s">
        <v>165</v>
      </c>
      <c r="C48" s="2" t="s">
        <v>161</v>
      </c>
      <c r="D48" s="2" t="s">
        <v>166</v>
      </c>
      <c r="E48" s="2" t="s">
        <v>167</v>
      </c>
      <c r="F48" s="2" t="s">
        <v>69</v>
      </c>
      <c r="G48" s="2" t="s">
        <v>26</v>
      </c>
      <c r="H48" s="2" t="s">
        <v>35</v>
      </c>
      <c r="I48" s="2"/>
      <c r="J48" s="2" t="s">
        <v>19</v>
      </c>
      <c r="K48" s="2" t="s">
        <v>20</v>
      </c>
      <c r="L48" s="6" t="s">
        <v>168</v>
      </c>
    </row>
    <row r="49" customFormat="false" ht="11.9" hidden="false" customHeight="true" outlineLevel="0" collapsed="false">
      <c r="A49" s="3" t="str">
        <f aca="false">HYPERLINK("https://www.fabsurplus.com/sdi_catalog/salesItemDetails.do?id=77207")</f>
        <v>https://www.fabsurplus.com/sdi_catalog/salesItemDetails.do?id=77207</v>
      </c>
      <c r="B49" s="3" t="s">
        <v>169</v>
      </c>
      <c r="C49" s="3" t="s">
        <v>161</v>
      </c>
      <c r="D49" s="3" t="s">
        <v>170</v>
      </c>
      <c r="E49" s="3" t="s">
        <v>171</v>
      </c>
      <c r="F49" s="3" t="s">
        <v>16</v>
      </c>
      <c r="G49" s="3" t="s">
        <v>26</v>
      </c>
      <c r="H49" s="3" t="s">
        <v>35</v>
      </c>
      <c r="I49" s="3"/>
      <c r="J49" s="3" t="s">
        <v>19</v>
      </c>
      <c r="K49" s="3" t="s">
        <v>20</v>
      </c>
      <c r="L49" s="5" t="s">
        <v>172</v>
      </c>
    </row>
    <row r="50" customFormat="false" ht="11.9" hidden="false" customHeight="true" outlineLevel="0" collapsed="false">
      <c r="A50" s="2" t="str">
        <f aca="false">HYPERLINK("https://www.fabsurplus.com/sdi_catalog/salesItemDetails.do?id=77206")</f>
        <v>https://www.fabsurplus.com/sdi_catalog/salesItemDetails.do?id=77206</v>
      </c>
      <c r="B50" s="2" t="s">
        <v>173</v>
      </c>
      <c r="C50" s="2" t="s">
        <v>161</v>
      </c>
      <c r="D50" s="2" t="s">
        <v>174</v>
      </c>
      <c r="E50" s="2" t="s">
        <v>175</v>
      </c>
      <c r="F50" s="2" t="s">
        <v>16</v>
      </c>
      <c r="G50" s="2" t="s">
        <v>26</v>
      </c>
      <c r="H50" s="2" t="s">
        <v>35</v>
      </c>
      <c r="I50" s="2"/>
      <c r="J50" s="2" t="s">
        <v>19</v>
      </c>
      <c r="K50" s="2" t="s">
        <v>20</v>
      </c>
      <c r="L50" s="6" t="s">
        <v>176</v>
      </c>
    </row>
    <row r="51" customFormat="false" ht="11.9" hidden="false" customHeight="true" outlineLevel="0" collapsed="false">
      <c r="A51" s="2" t="str">
        <f aca="false">HYPERLINK("https://www.fabsurplus.com/sdi_catalog/salesItemDetails.do?id=83504")</f>
        <v>https://www.fabsurplus.com/sdi_catalog/salesItemDetails.do?id=83504</v>
      </c>
      <c r="B51" s="2" t="s">
        <v>177</v>
      </c>
      <c r="C51" s="2" t="s">
        <v>178</v>
      </c>
      <c r="D51" s="2" t="s">
        <v>179</v>
      </c>
      <c r="E51" s="2" t="s">
        <v>180</v>
      </c>
      <c r="F51" s="2" t="s">
        <v>77</v>
      </c>
      <c r="G51" s="2" t="s">
        <v>26</v>
      </c>
      <c r="H51" s="2" t="s">
        <v>27</v>
      </c>
      <c r="I51" s="2"/>
      <c r="J51" s="2" t="s">
        <v>19</v>
      </c>
      <c r="K51" s="2" t="s">
        <v>20</v>
      </c>
      <c r="L51" s="6" t="s">
        <v>181</v>
      </c>
    </row>
    <row r="52" customFormat="false" ht="11.9" hidden="false" customHeight="true" outlineLevel="0" collapsed="false">
      <c r="A52" s="3" t="str">
        <f aca="false">HYPERLINK("https://www.fabsurplus.com/sdi_catalog/salesItemDetails.do?id=83503")</f>
        <v>https://www.fabsurplus.com/sdi_catalog/salesItemDetails.do?id=83503</v>
      </c>
      <c r="B52" s="3" t="s">
        <v>182</v>
      </c>
      <c r="C52" s="3" t="s">
        <v>178</v>
      </c>
      <c r="D52" s="3" t="s">
        <v>183</v>
      </c>
      <c r="E52" s="3" t="s">
        <v>180</v>
      </c>
      <c r="F52" s="3" t="s">
        <v>77</v>
      </c>
      <c r="G52" s="3" t="s">
        <v>26</v>
      </c>
      <c r="H52" s="3" t="s">
        <v>27</v>
      </c>
      <c r="I52" s="3"/>
      <c r="J52" s="3" t="s">
        <v>19</v>
      </c>
      <c r="K52" s="3" t="s">
        <v>20</v>
      </c>
      <c r="L52" s="5" t="s">
        <v>184</v>
      </c>
    </row>
    <row r="53" customFormat="false" ht="11.9" hidden="false" customHeight="true" outlineLevel="0" collapsed="false">
      <c r="A53" s="2" t="str">
        <f aca="false">HYPERLINK("https://www.fabsurplus.com/sdi_catalog/salesItemDetails.do?id=80210")</f>
        <v>https://www.fabsurplus.com/sdi_catalog/salesItemDetails.do?id=80210</v>
      </c>
      <c r="B53" s="2" t="s">
        <v>185</v>
      </c>
      <c r="C53" s="2" t="s">
        <v>178</v>
      </c>
      <c r="D53" s="2" t="s">
        <v>186</v>
      </c>
      <c r="E53" s="2" t="s">
        <v>180</v>
      </c>
      <c r="F53" s="2" t="s">
        <v>16</v>
      </c>
      <c r="G53" s="2" t="s">
        <v>26</v>
      </c>
      <c r="H53" s="2" t="s">
        <v>27</v>
      </c>
      <c r="I53" s="2"/>
      <c r="J53" s="2" t="s">
        <v>19</v>
      </c>
      <c r="K53" s="2" t="s">
        <v>20</v>
      </c>
      <c r="L53" s="6" t="s">
        <v>187</v>
      </c>
    </row>
    <row r="54" customFormat="false" ht="11.9" hidden="false" customHeight="true" outlineLevel="0" collapsed="false">
      <c r="A54" s="3" t="str">
        <f aca="false">HYPERLINK("https://www.fabsurplus.com/sdi_catalog/salesItemDetails.do?id=80209")</f>
        <v>https://www.fabsurplus.com/sdi_catalog/salesItemDetails.do?id=80209</v>
      </c>
      <c r="B54" s="3" t="s">
        <v>188</v>
      </c>
      <c r="C54" s="3" t="s">
        <v>178</v>
      </c>
      <c r="D54" s="3" t="s">
        <v>189</v>
      </c>
      <c r="E54" s="3" t="s">
        <v>190</v>
      </c>
      <c r="F54" s="3" t="s">
        <v>77</v>
      </c>
      <c r="G54" s="3" t="s">
        <v>26</v>
      </c>
      <c r="H54" s="3" t="s">
        <v>27</v>
      </c>
      <c r="I54" s="3"/>
      <c r="J54" s="3" t="s">
        <v>19</v>
      </c>
      <c r="K54" s="3" t="s">
        <v>20</v>
      </c>
      <c r="L54" s="5" t="s">
        <v>191</v>
      </c>
    </row>
    <row r="55" customFormat="false" ht="11.9" hidden="false" customHeight="true" outlineLevel="0" collapsed="false">
      <c r="A55" s="3" t="str">
        <f aca="false">HYPERLINK("https://www.fabsurplus.com/sdi_catalog/salesItemDetails.do?id=83499")</f>
        <v>https://www.fabsurplus.com/sdi_catalog/salesItemDetails.do?id=83499</v>
      </c>
      <c r="B55" s="3" t="s">
        <v>192</v>
      </c>
      <c r="C55" s="3" t="s">
        <v>178</v>
      </c>
      <c r="D55" s="3" t="s">
        <v>193</v>
      </c>
      <c r="E55" s="3" t="s">
        <v>180</v>
      </c>
      <c r="F55" s="3" t="s">
        <v>104</v>
      </c>
      <c r="G55" s="3" t="s">
        <v>26</v>
      </c>
      <c r="H55" s="3" t="s">
        <v>27</v>
      </c>
      <c r="I55" s="3"/>
      <c r="J55" s="3" t="s">
        <v>19</v>
      </c>
      <c r="K55" s="3" t="s">
        <v>20</v>
      </c>
      <c r="L55" s="5" t="s">
        <v>194</v>
      </c>
    </row>
    <row r="56" customFormat="false" ht="11.9" hidden="false" customHeight="true" outlineLevel="0" collapsed="false">
      <c r="A56" s="3" t="str">
        <f aca="false">HYPERLINK("https://www.fabsurplus.com/sdi_catalog/salesItemDetails.do?id=92006")</f>
        <v>https://www.fabsurplus.com/sdi_catalog/salesItemDetails.do?id=92006</v>
      </c>
      <c r="B56" s="3" t="s">
        <v>195</v>
      </c>
      <c r="C56" s="3" t="s">
        <v>178</v>
      </c>
      <c r="D56" s="3" t="s">
        <v>193</v>
      </c>
      <c r="E56" s="3" t="s">
        <v>180</v>
      </c>
      <c r="F56" s="3" t="s">
        <v>16</v>
      </c>
      <c r="G56" s="3" t="s">
        <v>17</v>
      </c>
      <c r="H56" s="3" t="s">
        <v>27</v>
      </c>
      <c r="I56" s="3"/>
      <c r="J56" s="3" t="s">
        <v>19</v>
      </c>
      <c r="K56" s="3" t="s">
        <v>20</v>
      </c>
      <c r="L56" s="5" t="s">
        <v>196</v>
      </c>
    </row>
    <row r="57" customFormat="false" ht="11.9" hidden="false" customHeight="true" outlineLevel="0" collapsed="false">
      <c r="A57" s="3" t="str">
        <f aca="false">HYPERLINK("https://www.fabsurplus.com/sdi_catalog/salesItemDetails.do?id=80207")</f>
        <v>https://www.fabsurplus.com/sdi_catalog/salesItemDetails.do?id=80207</v>
      </c>
      <c r="B57" s="3" t="s">
        <v>197</v>
      </c>
      <c r="C57" s="3" t="s">
        <v>178</v>
      </c>
      <c r="D57" s="3" t="s">
        <v>193</v>
      </c>
      <c r="E57" s="3" t="s">
        <v>198</v>
      </c>
      <c r="F57" s="3" t="s">
        <v>199</v>
      </c>
      <c r="G57" s="3" t="s">
        <v>26</v>
      </c>
      <c r="H57" s="3" t="s">
        <v>27</v>
      </c>
      <c r="I57" s="3"/>
      <c r="J57" s="3" t="s">
        <v>19</v>
      </c>
      <c r="K57" s="3" t="s">
        <v>20</v>
      </c>
      <c r="L57" s="5" t="s">
        <v>191</v>
      </c>
    </row>
    <row r="58" customFormat="false" ht="11.9" hidden="false" customHeight="true" outlineLevel="0" collapsed="false">
      <c r="A58" s="2" t="str">
        <f aca="false">HYPERLINK("https://www.fabsurplus.com/sdi_catalog/salesItemDetails.do?id=83498")</f>
        <v>https://www.fabsurplus.com/sdi_catalog/salesItemDetails.do?id=83498</v>
      </c>
      <c r="B58" s="2" t="s">
        <v>200</v>
      </c>
      <c r="C58" s="2" t="s">
        <v>178</v>
      </c>
      <c r="D58" s="2" t="s">
        <v>201</v>
      </c>
      <c r="E58" s="2" t="s">
        <v>202</v>
      </c>
      <c r="F58" s="2" t="s">
        <v>199</v>
      </c>
      <c r="G58" s="2"/>
      <c r="H58" s="2" t="s">
        <v>27</v>
      </c>
      <c r="I58" s="2"/>
      <c r="J58" s="2" t="s">
        <v>19</v>
      </c>
      <c r="K58" s="2" t="s">
        <v>20</v>
      </c>
      <c r="L58" s="2" t="s">
        <v>203</v>
      </c>
    </row>
    <row r="59" customFormat="false" ht="11.9" hidden="false" customHeight="true" outlineLevel="0" collapsed="false">
      <c r="A59" s="2" t="str">
        <f aca="false">HYPERLINK("https://www.fabsurplus.com/sdi_catalog/salesItemDetails.do?id=80296")</f>
        <v>https://www.fabsurplus.com/sdi_catalog/salesItemDetails.do?id=80296</v>
      </c>
      <c r="B59" s="2" t="s">
        <v>204</v>
      </c>
      <c r="C59" s="2" t="s">
        <v>178</v>
      </c>
      <c r="D59" s="2" t="s">
        <v>205</v>
      </c>
      <c r="E59" s="2" t="s">
        <v>180</v>
      </c>
      <c r="F59" s="2" t="s">
        <v>77</v>
      </c>
      <c r="G59" s="2" t="s">
        <v>26</v>
      </c>
      <c r="H59" s="2" t="s">
        <v>27</v>
      </c>
      <c r="I59" s="2"/>
      <c r="J59" s="2" t="s">
        <v>19</v>
      </c>
      <c r="K59" s="2" t="s">
        <v>20</v>
      </c>
      <c r="L59" s="6" t="s">
        <v>206</v>
      </c>
    </row>
    <row r="60" customFormat="false" ht="11.9" hidden="false" customHeight="true" outlineLevel="0" collapsed="false">
      <c r="A60" s="3" t="str">
        <f aca="false">HYPERLINK("https://www.fabsurplus.com/sdi_catalog/salesItemDetails.do?id=92008")</f>
        <v>https://www.fabsurplus.com/sdi_catalog/salesItemDetails.do?id=92008</v>
      </c>
      <c r="B60" s="3" t="s">
        <v>207</v>
      </c>
      <c r="C60" s="3" t="s">
        <v>178</v>
      </c>
      <c r="D60" s="3" t="s">
        <v>208</v>
      </c>
      <c r="E60" s="3" t="s">
        <v>180</v>
      </c>
      <c r="F60" s="3" t="s">
        <v>16</v>
      </c>
      <c r="G60" s="3" t="s">
        <v>17</v>
      </c>
      <c r="H60" s="3" t="s">
        <v>27</v>
      </c>
      <c r="I60" s="3"/>
      <c r="J60" s="3" t="s">
        <v>19</v>
      </c>
      <c r="K60" s="3" t="s">
        <v>20</v>
      </c>
      <c r="L60" s="5" t="s">
        <v>209</v>
      </c>
    </row>
    <row r="61" customFormat="false" ht="11.9" hidden="false" customHeight="true" outlineLevel="0" collapsed="false">
      <c r="A61" s="2" t="str">
        <f aca="false">HYPERLINK("https://www.fabsurplus.com/sdi_catalog/salesItemDetails.do?id=83502")</f>
        <v>https://www.fabsurplus.com/sdi_catalog/salesItemDetails.do?id=83502</v>
      </c>
      <c r="B61" s="2" t="s">
        <v>210</v>
      </c>
      <c r="C61" s="2" t="s">
        <v>178</v>
      </c>
      <c r="D61" s="2" t="s">
        <v>208</v>
      </c>
      <c r="E61" s="2" t="s">
        <v>211</v>
      </c>
      <c r="F61" s="2" t="s">
        <v>77</v>
      </c>
      <c r="G61" s="2" t="s">
        <v>26</v>
      </c>
      <c r="H61" s="2" t="s">
        <v>27</v>
      </c>
      <c r="I61" s="2"/>
      <c r="J61" s="2" t="s">
        <v>19</v>
      </c>
      <c r="K61" s="2" t="s">
        <v>20</v>
      </c>
      <c r="L61" s="6" t="s">
        <v>212</v>
      </c>
    </row>
    <row r="62" customFormat="false" ht="11.9" hidden="false" customHeight="true" outlineLevel="0" collapsed="false">
      <c r="A62" s="2" t="str">
        <f aca="false">HYPERLINK("https://www.fabsurplus.com/sdi_catalog/salesItemDetails.do?id=80202")</f>
        <v>https://www.fabsurplus.com/sdi_catalog/salesItemDetails.do?id=80202</v>
      </c>
      <c r="B62" s="2" t="s">
        <v>213</v>
      </c>
      <c r="C62" s="2" t="s">
        <v>178</v>
      </c>
      <c r="D62" s="2" t="s">
        <v>214</v>
      </c>
      <c r="E62" s="2" t="s">
        <v>215</v>
      </c>
      <c r="F62" s="2" t="s">
        <v>77</v>
      </c>
      <c r="G62" s="2" t="s">
        <v>26</v>
      </c>
      <c r="H62" s="2" t="s">
        <v>35</v>
      </c>
      <c r="I62" s="2"/>
      <c r="J62" s="2" t="s">
        <v>19</v>
      </c>
      <c r="K62" s="2"/>
      <c r="L62" s="6" t="s">
        <v>216</v>
      </c>
    </row>
    <row r="63" customFormat="false" ht="11.9" hidden="false" customHeight="true" outlineLevel="0" collapsed="false">
      <c r="A63" s="3" t="str">
        <f aca="false">HYPERLINK("https://www.fabsurplus.com/sdi_catalog/salesItemDetails.do?id=80205")</f>
        <v>https://www.fabsurplus.com/sdi_catalog/salesItemDetails.do?id=80205</v>
      </c>
      <c r="B63" s="3" t="s">
        <v>217</v>
      </c>
      <c r="C63" s="3" t="s">
        <v>178</v>
      </c>
      <c r="D63" s="3" t="s">
        <v>218</v>
      </c>
      <c r="E63" s="3" t="s">
        <v>180</v>
      </c>
      <c r="F63" s="3" t="s">
        <v>77</v>
      </c>
      <c r="G63" s="3" t="s">
        <v>26</v>
      </c>
      <c r="H63" s="3" t="s">
        <v>27</v>
      </c>
      <c r="I63" s="3"/>
      <c r="J63" s="3" t="s">
        <v>19</v>
      </c>
      <c r="K63" s="3" t="s">
        <v>20</v>
      </c>
      <c r="L63" s="5" t="s">
        <v>219</v>
      </c>
    </row>
    <row r="64" customFormat="false" ht="11.9" hidden="false" customHeight="true" outlineLevel="0" collapsed="false">
      <c r="A64" s="2" t="str">
        <f aca="false">HYPERLINK("https://www.fabsurplus.com/sdi_catalog/salesItemDetails.do?id=80206")</f>
        <v>https://www.fabsurplus.com/sdi_catalog/salesItemDetails.do?id=80206</v>
      </c>
      <c r="B64" s="2" t="s">
        <v>220</v>
      </c>
      <c r="C64" s="2" t="s">
        <v>178</v>
      </c>
      <c r="D64" s="2" t="s">
        <v>221</v>
      </c>
      <c r="E64" s="2" t="s">
        <v>180</v>
      </c>
      <c r="F64" s="2" t="s">
        <v>77</v>
      </c>
      <c r="G64" s="2" t="s">
        <v>26</v>
      </c>
      <c r="H64" s="2" t="s">
        <v>27</v>
      </c>
      <c r="I64" s="2"/>
      <c r="J64" s="2" t="s">
        <v>19</v>
      </c>
      <c r="K64" s="2" t="s">
        <v>20</v>
      </c>
      <c r="L64" s="6" t="s">
        <v>222</v>
      </c>
    </row>
    <row r="65" customFormat="false" ht="11.9" hidden="false" customHeight="true" outlineLevel="0" collapsed="false">
      <c r="A65" s="2" t="str">
        <f aca="false">HYPERLINK("https://www.fabsurplus.com/sdi_catalog/salesItemDetails.do?id=80300")</f>
        <v>https://www.fabsurplus.com/sdi_catalog/salesItemDetails.do?id=80300</v>
      </c>
      <c r="B65" s="2" t="s">
        <v>223</v>
      </c>
      <c r="C65" s="2" t="s">
        <v>178</v>
      </c>
      <c r="D65" s="2" t="s">
        <v>224</v>
      </c>
      <c r="E65" s="2" t="s">
        <v>180</v>
      </c>
      <c r="F65" s="2" t="s">
        <v>77</v>
      </c>
      <c r="G65" s="2" t="s">
        <v>26</v>
      </c>
      <c r="H65" s="2" t="s">
        <v>27</v>
      </c>
      <c r="I65" s="2"/>
      <c r="J65" s="2" t="s">
        <v>19</v>
      </c>
      <c r="K65" s="2" t="s">
        <v>20</v>
      </c>
      <c r="L65" s="6" t="s">
        <v>206</v>
      </c>
    </row>
    <row r="66" customFormat="false" ht="11.9" hidden="false" customHeight="true" outlineLevel="0" collapsed="false">
      <c r="A66" s="2" t="str">
        <f aca="false">HYPERLINK("https://www.fabsurplus.com/sdi_catalog/salesItemDetails.do?id=92007")</f>
        <v>https://www.fabsurplus.com/sdi_catalog/salesItemDetails.do?id=92007</v>
      </c>
      <c r="B66" s="2" t="s">
        <v>225</v>
      </c>
      <c r="C66" s="2" t="s">
        <v>178</v>
      </c>
      <c r="D66" s="2" t="s">
        <v>226</v>
      </c>
      <c r="E66" s="2" t="s">
        <v>180</v>
      </c>
      <c r="F66" s="2" t="s">
        <v>16</v>
      </c>
      <c r="G66" s="2" t="s">
        <v>17</v>
      </c>
      <c r="H66" s="2" t="s">
        <v>27</v>
      </c>
      <c r="I66" s="2"/>
      <c r="J66" s="2" t="s">
        <v>19</v>
      </c>
      <c r="K66" s="2" t="s">
        <v>20</v>
      </c>
      <c r="L66" s="6" t="s">
        <v>227</v>
      </c>
    </row>
    <row r="67" customFormat="false" ht="11.9" hidden="false" customHeight="true" outlineLevel="0" collapsed="false">
      <c r="A67" s="3" t="str">
        <f aca="false">HYPERLINK("https://www.fabsurplus.com/sdi_catalog/salesItemDetails.do?id=80299")</f>
        <v>https://www.fabsurplus.com/sdi_catalog/salesItemDetails.do?id=80299</v>
      </c>
      <c r="B67" s="3" t="s">
        <v>228</v>
      </c>
      <c r="C67" s="3" t="s">
        <v>178</v>
      </c>
      <c r="D67" s="3" t="s">
        <v>226</v>
      </c>
      <c r="E67" s="3" t="s">
        <v>229</v>
      </c>
      <c r="F67" s="3" t="s">
        <v>101</v>
      </c>
      <c r="G67" s="3" t="s">
        <v>26</v>
      </c>
      <c r="H67" s="3" t="s">
        <v>35</v>
      </c>
      <c r="I67" s="3"/>
      <c r="J67" s="3" t="s">
        <v>19</v>
      </c>
      <c r="K67" s="3" t="s">
        <v>20</v>
      </c>
      <c r="L67" s="5" t="s">
        <v>230</v>
      </c>
    </row>
    <row r="68" customFormat="false" ht="11.9" hidden="false" customHeight="true" outlineLevel="0" collapsed="false">
      <c r="A68" s="2" t="str">
        <f aca="false">HYPERLINK("https://www.fabsurplus.com/sdi_catalog/salesItemDetails.do?id=80298")</f>
        <v>https://www.fabsurplus.com/sdi_catalog/salesItemDetails.do?id=80298</v>
      </c>
      <c r="B68" s="2" t="s">
        <v>231</v>
      </c>
      <c r="C68" s="2" t="s">
        <v>178</v>
      </c>
      <c r="D68" s="2" t="s">
        <v>232</v>
      </c>
      <c r="E68" s="2" t="s">
        <v>180</v>
      </c>
      <c r="F68" s="2" t="s">
        <v>69</v>
      </c>
      <c r="G68" s="2" t="s">
        <v>26</v>
      </c>
      <c r="H68" s="2" t="s">
        <v>35</v>
      </c>
      <c r="I68" s="2"/>
      <c r="J68" s="2" t="s">
        <v>19</v>
      </c>
      <c r="K68" s="2" t="s">
        <v>20</v>
      </c>
      <c r="L68" s="6" t="s">
        <v>222</v>
      </c>
    </row>
    <row r="69" customFormat="false" ht="11.9" hidden="false" customHeight="true" outlineLevel="0" collapsed="false">
      <c r="A69" s="3" t="str">
        <f aca="false">HYPERLINK("https://www.fabsurplus.com/sdi_catalog/salesItemDetails.do?id=80297")</f>
        <v>https://www.fabsurplus.com/sdi_catalog/salesItemDetails.do?id=80297</v>
      </c>
      <c r="B69" s="3" t="s">
        <v>233</v>
      </c>
      <c r="C69" s="3" t="s">
        <v>178</v>
      </c>
      <c r="D69" s="3" t="s">
        <v>234</v>
      </c>
      <c r="E69" s="3" t="s">
        <v>180</v>
      </c>
      <c r="F69" s="3" t="s">
        <v>235</v>
      </c>
      <c r="G69" s="3" t="s">
        <v>26</v>
      </c>
      <c r="H69" s="3" t="s">
        <v>35</v>
      </c>
      <c r="I69" s="3"/>
      <c r="J69" s="3" t="s">
        <v>19</v>
      </c>
      <c r="K69" s="3" t="s">
        <v>20</v>
      </c>
      <c r="L69" s="5" t="s">
        <v>236</v>
      </c>
    </row>
    <row r="70" customFormat="false" ht="11.9" hidden="false" customHeight="true" outlineLevel="0" collapsed="false">
      <c r="A70" s="2" t="str">
        <f aca="false">HYPERLINK("https://www.fabsurplus.com/sdi_catalog/salesItemDetails.do?id=80208")</f>
        <v>https://www.fabsurplus.com/sdi_catalog/salesItemDetails.do?id=80208</v>
      </c>
      <c r="B70" s="2" t="s">
        <v>237</v>
      </c>
      <c r="C70" s="2" t="s">
        <v>178</v>
      </c>
      <c r="D70" s="2" t="s">
        <v>238</v>
      </c>
      <c r="E70" s="2" t="s">
        <v>180</v>
      </c>
      <c r="F70" s="2" t="s">
        <v>77</v>
      </c>
      <c r="G70" s="2" t="s">
        <v>26</v>
      </c>
      <c r="H70" s="2" t="s">
        <v>27</v>
      </c>
      <c r="I70" s="2"/>
      <c r="J70" s="2" t="s">
        <v>19</v>
      </c>
      <c r="K70" s="2" t="s">
        <v>20</v>
      </c>
      <c r="L70" s="6" t="s">
        <v>187</v>
      </c>
    </row>
    <row r="71" customFormat="false" ht="11.9" hidden="false" customHeight="true" outlineLevel="0" collapsed="false">
      <c r="A71" s="3" t="str">
        <f aca="false">HYPERLINK("https://www.fabsurplus.com/sdi_catalog/salesItemDetails.do?id=80295")</f>
        <v>https://www.fabsurplus.com/sdi_catalog/salesItemDetails.do?id=80295</v>
      </c>
      <c r="B71" s="3" t="s">
        <v>239</v>
      </c>
      <c r="C71" s="3" t="s">
        <v>178</v>
      </c>
      <c r="D71" s="3" t="s">
        <v>240</v>
      </c>
      <c r="E71" s="3" t="s">
        <v>241</v>
      </c>
      <c r="F71" s="3" t="s">
        <v>16</v>
      </c>
      <c r="G71" s="3" t="s">
        <v>26</v>
      </c>
      <c r="H71" s="3" t="s">
        <v>27</v>
      </c>
      <c r="I71" s="3"/>
      <c r="J71" s="3" t="s">
        <v>19</v>
      </c>
      <c r="K71" s="3" t="s">
        <v>20</v>
      </c>
      <c r="L71" s="5" t="s">
        <v>242</v>
      </c>
    </row>
    <row r="72" customFormat="false" ht="11.9" hidden="false" customHeight="true" outlineLevel="0" collapsed="false">
      <c r="A72" s="3" t="str">
        <f aca="false">HYPERLINK("https://www.fabsurplus.com/sdi_catalog/salesItemDetails.do?id=80293")</f>
        <v>https://www.fabsurplus.com/sdi_catalog/salesItemDetails.do?id=80293</v>
      </c>
      <c r="B72" s="3" t="s">
        <v>243</v>
      </c>
      <c r="C72" s="3" t="s">
        <v>178</v>
      </c>
      <c r="D72" s="3" t="s">
        <v>244</v>
      </c>
      <c r="E72" s="3" t="s">
        <v>180</v>
      </c>
      <c r="F72" s="3" t="s">
        <v>77</v>
      </c>
      <c r="G72" s="3" t="s">
        <v>26</v>
      </c>
      <c r="H72" s="3" t="s">
        <v>35</v>
      </c>
      <c r="I72" s="3"/>
      <c r="J72" s="3" t="s">
        <v>19</v>
      </c>
      <c r="K72" s="3" t="s">
        <v>20</v>
      </c>
      <c r="L72" s="5" t="s">
        <v>187</v>
      </c>
    </row>
    <row r="73" customFormat="false" ht="11.9" hidden="false" customHeight="true" outlineLevel="0" collapsed="false">
      <c r="A73" s="3" t="str">
        <f aca="false">HYPERLINK("https://www.fabsurplus.com/sdi_catalog/salesItemDetails.do?id=80203")</f>
        <v>https://www.fabsurplus.com/sdi_catalog/salesItemDetails.do?id=80203</v>
      </c>
      <c r="B73" s="3" t="s">
        <v>245</v>
      </c>
      <c r="C73" s="3" t="s">
        <v>178</v>
      </c>
      <c r="D73" s="3" t="s">
        <v>246</v>
      </c>
      <c r="E73" s="3" t="s">
        <v>180</v>
      </c>
      <c r="F73" s="3" t="s">
        <v>247</v>
      </c>
      <c r="G73" s="3" t="s">
        <v>26</v>
      </c>
      <c r="H73" s="3" t="s">
        <v>27</v>
      </c>
      <c r="I73" s="3"/>
      <c r="J73" s="3" t="s">
        <v>19</v>
      </c>
      <c r="K73" s="3" t="s">
        <v>20</v>
      </c>
      <c r="L73" s="5" t="s">
        <v>248</v>
      </c>
    </row>
    <row r="74" customFormat="false" ht="11.9" hidden="false" customHeight="true" outlineLevel="0" collapsed="false">
      <c r="A74" s="2" t="str">
        <f aca="false">HYPERLINK("https://www.fabsurplus.com/sdi_catalog/salesItemDetails.do?id=80200")</f>
        <v>https://www.fabsurplus.com/sdi_catalog/salesItemDetails.do?id=80200</v>
      </c>
      <c r="B74" s="2" t="s">
        <v>249</v>
      </c>
      <c r="C74" s="2" t="s">
        <v>178</v>
      </c>
      <c r="D74" s="2" t="s">
        <v>250</v>
      </c>
      <c r="E74" s="2" t="s">
        <v>180</v>
      </c>
      <c r="F74" s="2" t="s">
        <v>16</v>
      </c>
      <c r="G74" s="2" t="s">
        <v>26</v>
      </c>
      <c r="H74" s="2" t="s">
        <v>35</v>
      </c>
      <c r="I74" s="2"/>
      <c r="J74" s="2" t="s">
        <v>19</v>
      </c>
      <c r="K74" s="2" t="s">
        <v>20</v>
      </c>
      <c r="L74" s="2" t="s">
        <v>251</v>
      </c>
    </row>
    <row r="75" customFormat="false" ht="11.9" hidden="false" customHeight="true" outlineLevel="0" collapsed="false">
      <c r="A75" s="3" t="str">
        <f aca="false">HYPERLINK("https://www.fabsurplus.com/sdi_catalog/salesItemDetails.do?id=83501")</f>
        <v>https://www.fabsurplus.com/sdi_catalog/salesItemDetails.do?id=83501</v>
      </c>
      <c r="B75" s="3" t="s">
        <v>252</v>
      </c>
      <c r="C75" s="3" t="s">
        <v>178</v>
      </c>
      <c r="D75" s="3" t="s">
        <v>253</v>
      </c>
      <c r="E75" s="3" t="s">
        <v>180</v>
      </c>
      <c r="F75" s="3" t="s">
        <v>77</v>
      </c>
      <c r="G75" s="3" t="s">
        <v>26</v>
      </c>
      <c r="H75" s="3" t="s">
        <v>27</v>
      </c>
      <c r="I75" s="3"/>
      <c r="J75" s="3" t="s">
        <v>19</v>
      </c>
      <c r="K75" s="3" t="s">
        <v>20</v>
      </c>
      <c r="L75" s="5" t="s">
        <v>206</v>
      </c>
    </row>
    <row r="76" customFormat="false" ht="11.9" hidden="false" customHeight="true" outlineLevel="0" collapsed="false">
      <c r="A76" s="3" t="str">
        <f aca="false">HYPERLINK("https://www.fabsurplus.com/sdi_catalog/salesItemDetails.do?id=80199")</f>
        <v>https://www.fabsurplus.com/sdi_catalog/salesItemDetails.do?id=80199</v>
      </c>
      <c r="B76" s="3" t="s">
        <v>254</v>
      </c>
      <c r="C76" s="3" t="s">
        <v>178</v>
      </c>
      <c r="D76" s="3" t="s">
        <v>255</v>
      </c>
      <c r="E76" s="3" t="s">
        <v>180</v>
      </c>
      <c r="F76" s="3" t="s">
        <v>16</v>
      </c>
      <c r="G76" s="3" t="s">
        <v>26</v>
      </c>
      <c r="H76" s="3" t="s">
        <v>35</v>
      </c>
      <c r="I76" s="3"/>
      <c r="J76" s="3" t="s">
        <v>19</v>
      </c>
      <c r="K76" s="3" t="s">
        <v>20</v>
      </c>
      <c r="L76" s="3" t="s">
        <v>256</v>
      </c>
    </row>
    <row r="77" customFormat="false" ht="11.9" hidden="false" customHeight="true" outlineLevel="0" collapsed="false">
      <c r="A77" s="3" t="str">
        <f aca="false">HYPERLINK("https://www.fabsurplus.com/sdi_catalog/salesItemDetails.do?id=80201")</f>
        <v>https://www.fabsurplus.com/sdi_catalog/salesItemDetails.do?id=80201</v>
      </c>
      <c r="B77" s="3" t="s">
        <v>257</v>
      </c>
      <c r="C77" s="3" t="s">
        <v>178</v>
      </c>
      <c r="D77" s="3" t="s">
        <v>258</v>
      </c>
      <c r="E77" s="3" t="s">
        <v>180</v>
      </c>
      <c r="F77" s="3" t="s">
        <v>16</v>
      </c>
      <c r="G77" s="3" t="s">
        <v>26</v>
      </c>
      <c r="H77" s="3" t="s">
        <v>35</v>
      </c>
      <c r="I77" s="3"/>
      <c r="J77" s="3" t="s">
        <v>19</v>
      </c>
      <c r="K77" s="3" t="s">
        <v>20</v>
      </c>
      <c r="L77" s="3" t="s">
        <v>259</v>
      </c>
    </row>
    <row r="78" customFormat="false" ht="11.9" hidden="false" customHeight="true" outlineLevel="0" collapsed="false">
      <c r="A78" s="2" t="str">
        <f aca="false">HYPERLINK("https://www.fabsurplus.com/sdi_catalog/salesItemDetails.do?id=80194")</f>
        <v>https://www.fabsurplus.com/sdi_catalog/salesItemDetails.do?id=80194</v>
      </c>
      <c r="B78" s="2" t="s">
        <v>260</v>
      </c>
      <c r="C78" s="2" t="s">
        <v>178</v>
      </c>
      <c r="D78" s="2" t="s">
        <v>261</v>
      </c>
      <c r="E78" s="2" t="s">
        <v>180</v>
      </c>
      <c r="F78" s="2" t="s">
        <v>262</v>
      </c>
      <c r="G78" s="2" t="s">
        <v>26</v>
      </c>
      <c r="H78" s="2" t="s">
        <v>35</v>
      </c>
      <c r="I78" s="2"/>
      <c r="J78" s="2" t="s">
        <v>19</v>
      </c>
      <c r="K78" s="2" t="s">
        <v>20</v>
      </c>
      <c r="L78" s="6" t="s">
        <v>263</v>
      </c>
    </row>
    <row r="79" customFormat="false" ht="11.9" hidden="false" customHeight="true" outlineLevel="0" collapsed="false">
      <c r="A79" s="3" t="str">
        <f aca="false">HYPERLINK("https://www.fabsurplus.com/sdi_catalog/salesItemDetails.do?id=80197")</f>
        <v>https://www.fabsurplus.com/sdi_catalog/salesItemDetails.do?id=80197</v>
      </c>
      <c r="B79" s="3" t="s">
        <v>264</v>
      </c>
      <c r="C79" s="3" t="s">
        <v>178</v>
      </c>
      <c r="D79" s="3" t="s">
        <v>265</v>
      </c>
      <c r="E79" s="3" t="s">
        <v>180</v>
      </c>
      <c r="F79" s="3" t="s">
        <v>69</v>
      </c>
      <c r="G79" s="3" t="s">
        <v>26</v>
      </c>
      <c r="H79" s="3" t="s">
        <v>27</v>
      </c>
      <c r="I79" s="3"/>
      <c r="J79" s="3" t="s">
        <v>19</v>
      </c>
      <c r="K79" s="3" t="s">
        <v>20</v>
      </c>
      <c r="L79" s="5" t="s">
        <v>187</v>
      </c>
    </row>
    <row r="80" customFormat="false" ht="11.9" hidden="false" customHeight="true" outlineLevel="0" collapsed="false">
      <c r="A80" s="2" t="str">
        <f aca="false">HYPERLINK("https://www.fabsurplus.com/sdi_catalog/salesItemDetails.do?id=80198")</f>
        <v>https://www.fabsurplus.com/sdi_catalog/salesItemDetails.do?id=80198</v>
      </c>
      <c r="B80" s="2" t="s">
        <v>266</v>
      </c>
      <c r="C80" s="2" t="s">
        <v>178</v>
      </c>
      <c r="D80" s="2" t="s">
        <v>267</v>
      </c>
      <c r="E80" s="2" t="s">
        <v>180</v>
      </c>
      <c r="F80" s="2" t="s">
        <v>16</v>
      </c>
      <c r="G80" s="2" t="s">
        <v>26</v>
      </c>
      <c r="H80" s="2" t="s">
        <v>35</v>
      </c>
      <c r="I80" s="2"/>
      <c r="J80" s="2" t="s">
        <v>19</v>
      </c>
      <c r="K80" s="2" t="s">
        <v>20</v>
      </c>
      <c r="L80" s="6" t="s">
        <v>206</v>
      </c>
    </row>
    <row r="81" customFormat="false" ht="11.9" hidden="false" customHeight="true" outlineLevel="0" collapsed="false">
      <c r="A81" s="3" t="str">
        <f aca="false">HYPERLINK("https://www.fabsurplus.com/sdi_catalog/salesItemDetails.do?id=80301")</f>
        <v>https://www.fabsurplus.com/sdi_catalog/salesItemDetails.do?id=80301</v>
      </c>
      <c r="B81" s="3" t="s">
        <v>268</v>
      </c>
      <c r="C81" s="3" t="s">
        <v>178</v>
      </c>
      <c r="D81" s="3" t="s">
        <v>269</v>
      </c>
      <c r="E81" s="3" t="s">
        <v>180</v>
      </c>
      <c r="F81" s="3" t="s">
        <v>69</v>
      </c>
      <c r="G81" s="3" t="s">
        <v>26</v>
      </c>
      <c r="H81" s="3" t="s">
        <v>35</v>
      </c>
      <c r="I81" s="3"/>
      <c r="J81" s="3" t="s">
        <v>19</v>
      </c>
      <c r="K81" s="3" t="s">
        <v>20</v>
      </c>
      <c r="L81" s="5" t="s">
        <v>270</v>
      </c>
    </row>
    <row r="82" customFormat="false" ht="11.9" hidden="false" customHeight="true" outlineLevel="0" collapsed="false">
      <c r="A82" s="2" t="str">
        <f aca="false">HYPERLINK("https://www.fabsurplus.com/sdi_catalog/salesItemDetails.do?id=80196")</f>
        <v>https://www.fabsurplus.com/sdi_catalog/salesItemDetails.do?id=80196</v>
      </c>
      <c r="B82" s="2" t="s">
        <v>271</v>
      </c>
      <c r="C82" s="2" t="s">
        <v>178</v>
      </c>
      <c r="D82" s="2" t="s">
        <v>272</v>
      </c>
      <c r="E82" s="2" t="s">
        <v>180</v>
      </c>
      <c r="F82" s="2" t="s">
        <v>77</v>
      </c>
      <c r="G82" s="2"/>
      <c r="H82" s="2" t="s">
        <v>27</v>
      </c>
      <c r="I82" s="2"/>
      <c r="J82" s="2" t="s">
        <v>19</v>
      </c>
      <c r="K82" s="2" t="s">
        <v>20</v>
      </c>
      <c r="L82" s="6" t="s">
        <v>273</v>
      </c>
    </row>
    <row r="83" customFormat="false" ht="11.9" hidden="false" customHeight="true" outlineLevel="0" collapsed="false">
      <c r="A83" s="2" t="str">
        <f aca="false">HYPERLINK("https://www.fabsurplus.com/sdi_catalog/salesItemDetails.do?id=80204")</f>
        <v>https://www.fabsurplus.com/sdi_catalog/salesItemDetails.do?id=80204</v>
      </c>
      <c r="B83" s="2" t="s">
        <v>274</v>
      </c>
      <c r="C83" s="2" t="s">
        <v>178</v>
      </c>
      <c r="D83" s="2" t="s">
        <v>275</v>
      </c>
      <c r="E83" s="2" t="s">
        <v>180</v>
      </c>
      <c r="F83" s="2" t="s">
        <v>16</v>
      </c>
      <c r="G83" s="2" t="s">
        <v>26</v>
      </c>
      <c r="H83" s="2" t="s">
        <v>35</v>
      </c>
      <c r="I83" s="2"/>
      <c r="J83" s="2" t="s">
        <v>19</v>
      </c>
      <c r="K83" s="2" t="s">
        <v>20</v>
      </c>
      <c r="L83" s="6" t="s">
        <v>222</v>
      </c>
    </row>
    <row r="84" customFormat="false" ht="11.9" hidden="false" customHeight="true" outlineLevel="0" collapsed="false">
      <c r="A84" s="3" t="str">
        <f aca="false">HYPERLINK("https://www.fabsurplus.com/sdi_catalog/salesItemDetails.do?id=80195")</f>
        <v>https://www.fabsurplus.com/sdi_catalog/salesItemDetails.do?id=80195</v>
      </c>
      <c r="B84" s="3" t="s">
        <v>276</v>
      </c>
      <c r="C84" s="3" t="s">
        <v>178</v>
      </c>
      <c r="D84" s="3" t="s">
        <v>277</v>
      </c>
      <c r="E84" s="3" t="s">
        <v>180</v>
      </c>
      <c r="F84" s="3" t="s">
        <v>77</v>
      </c>
      <c r="G84" s="3" t="s">
        <v>26</v>
      </c>
      <c r="H84" s="3" t="s">
        <v>35</v>
      </c>
      <c r="I84" s="3"/>
      <c r="J84" s="3" t="s">
        <v>19</v>
      </c>
      <c r="K84" s="3" t="s">
        <v>20</v>
      </c>
      <c r="L84" s="5" t="s">
        <v>222</v>
      </c>
    </row>
    <row r="85" customFormat="false" ht="11.9" hidden="false" customHeight="true" outlineLevel="0" collapsed="false">
      <c r="A85" s="2" t="str">
        <f aca="false">HYPERLINK("https://www.fabsurplus.com/sdi_catalog/salesItemDetails.do?id=80294")</f>
        <v>https://www.fabsurplus.com/sdi_catalog/salesItemDetails.do?id=80294</v>
      </c>
      <c r="B85" s="2" t="s">
        <v>278</v>
      </c>
      <c r="C85" s="2" t="s">
        <v>178</v>
      </c>
      <c r="D85" s="2" t="s">
        <v>279</v>
      </c>
      <c r="E85" s="2" t="s">
        <v>180</v>
      </c>
      <c r="F85" s="2" t="s">
        <v>101</v>
      </c>
      <c r="G85" s="2" t="s">
        <v>26</v>
      </c>
      <c r="H85" s="2" t="s">
        <v>35</v>
      </c>
      <c r="I85" s="2"/>
      <c r="J85" s="2" t="s">
        <v>19</v>
      </c>
      <c r="K85" s="2" t="s">
        <v>20</v>
      </c>
      <c r="L85" s="6" t="s">
        <v>280</v>
      </c>
    </row>
    <row r="86" customFormat="false" ht="11.9" hidden="false" customHeight="true" outlineLevel="0" collapsed="false">
      <c r="A86" s="2" t="str">
        <f aca="false">HYPERLINK("https://www.fabsurplus.com/sdi_catalog/salesItemDetails.do?id=83500")</f>
        <v>https://www.fabsurplus.com/sdi_catalog/salesItemDetails.do?id=83500</v>
      </c>
      <c r="B86" s="2" t="s">
        <v>281</v>
      </c>
      <c r="C86" s="2" t="s">
        <v>178</v>
      </c>
      <c r="D86" s="2" t="s">
        <v>282</v>
      </c>
      <c r="E86" s="2" t="s">
        <v>180</v>
      </c>
      <c r="F86" s="2" t="s">
        <v>69</v>
      </c>
      <c r="G86" s="2" t="s">
        <v>26</v>
      </c>
      <c r="H86" s="2" t="s">
        <v>27</v>
      </c>
      <c r="I86" s="2"/>
      <c r="J86" s="2" t="s">
        <v>19</v>
      </c>
      <c r="K86" s="2" t="s">
        <v>20</v>
      </c>
      <c r="L86" s="6" t="s">
        <v>263</v>
      </c>
    </row>
    <row r="87" customFormat="false" ht="11.9" hidden="false" customHeight="true" outlineLevel="0" collapsed="false">
      <c r="A87" s="2" t="str">
        <f aca="false">HYPERLINK("https://www.fabsurplus.com/sdi_catalog/salesItemDetails.do?id=80302")</f>
        <v>https://www.fabsurplus.com/sdi_catalog/salesItemDetails.do?id=80302</v>
      </c>
      <c r="B87" s="2" t="s">
        <v>283</v>
      </c>
      <c r="C87" s="2" t="s">
        <v>178</v>
      </c>
      <c r="D87" s="2" t="s">
        <v>284</v>
      </c>
      <c r="E87" s="2" t="s">
        <v>180</v>
      </c>
      <c r="F87" s="2" t="s">
        <v>77</v>
      </c>
      <c r="G87" s="2" t="s">
        <v>26</v>
      </c>
      <c r="H87" s="2" t="s">
        <v>27</v>
      </c>
      <c r="I87" s="2"/>
      <c r="J87" s="2" t="s">
        <v>19</v>
      </c>
      <c r="K87" s="2" t="s">
        <v>20</v>
      </c>
      <c r="L87" s="6" t="s">
        <v>285</v>
      </c>
    </row>
    <row r="88" customFormat="false" ht="11.9" hidden="false" customHeight="true" outlineLevel="0" collapsed="false">
      <c r="A88" s="2" t="str">
        <f aca="false">HYPERLINK("https://www.fabsurplus.com/sdi_catalog/salesItemDetails.do?id=89909")</f>
        <v>https://www.fabsurplus.com/sdi_catalog/salesItemDetails.do?id=89909</v>
      </c>
      <c r="B88" s="2" t="s">
        <v>286</v>
      </c>
      <c r="C88" s="2" t="s">
        <v>178</v>
      </c>
      <c r="D88" s="2" t="s">
        <v>287</v>
      </c>
      <c r="E88" s="2" t="s">
        <v>288</v>
      </c>
      <c r="F88" s="2" t="s">
        <v>16</v>
      </c>
      <c r="G88" s="2" t="s">
        <v>26</v>
      </c>
      <c r="H88" s="2" t="s">
        <v>27</v>
      </c>
      <c r="I88" s="7" t="n">
        <v>38473</v>
      </c>
      <c r="J88" s="2" t="s">
        <v>19</v>
      </c>
      <c r="K88" s="2" t="s">
        <v>20</v>
      </c>
      <c r="L88" s="6" t="s">
        <v>289</v>
      </c>
    </row>
    <row r="89" customFormat="false" ht="11.9" hidden="false" customHeight="true" outlineLevel="0" collapsed="false">
      <c r="A89" s="2" t="str">
        <f aca="false">HYPERLINK("https://www.fabsurplus.com/sdi_catalog/salesItemDetails.do?id=92009")</f>
        <v>https://www.fabsurplus.com/sdi_catalog/salesItemDetails.do?id=92009</v>
      </c>
      <c r="B89" s="2" t="s">
        <v>290</v>
      </c>
      <c r="C89" s="2" t="s">
        <v>178</v>
      </c>
      <c r="D89" s="2" t="s">
        <v>291</v>
      </c>
      <c r="E89" s="2" t="s">
        <v>292</v>
      </c>
      <c r="F89" s="2" t="s">
        <v>293</v>
      </c>
      <c r="G89" s="2" t="s">
        <v>17</v>
      </c>
      <c r="H89" s="2" t="s">
        <v>27</v>
      </c>
      <c r="I89" s="2"/>
      <c r="J89" s="2" t="s">
        <v>19</v>
      </c>
      <c r="K89" s="2" t="s">
        <v>20</v>
      </c>
      <c r="L89" s="6" t="s">
        <v>294</v>
      </c>
    </row>
    <row r="90" customFormat="false" ht="11.9" hidden="false" customHeight="true" outlineLevel="0" collapsed="false">
      <c r="A90" s="3" t="str">
        <f aca="false">HYPERLINK("https://www.fabsurplus.com/sdi_catalog/salesItemDetails.do?id=78639")</f>
        <v>https://www.fabsurplus.com/sdi_catalog/salesItemDetails.do?id=78639</v>
      </c>
      <c r="B90" s="3" t="s">
        <v>295</v>
      </c>
      <c r="C90" s="3" t="s">
        <v>178</v>
      </c>
      <c r="D90" s="3" t="s">
        <v>296</v>
      </c>
      <c r="E90" s="3" t="s">
        <v>297</v>
      </c>
      <c r="F90" s="3" t="s">
        <v>16</v>
      </c>
      <c r="G90" s="3" t="s">
        <v>298</v>
      </c>
      <c r="H90" s="3" t="s">
        <v>299</v>
      </c>
      <c r="I90" s="4" t="n">
        <v>35735</v>
      </c>
      <c r="J90" s="3" t="s">
        <v>19</v>
      </c>
      <c r="K90" s="3" t="s">
        <v>20</v>
      </c>
      <c r="L90" s="5" t="s">
        <v>300</v>
      </c>
    </row>
    <row r="91" customFormat="false" ht="11.9" hidden="false" customHeight="true" outlineLevel="0" collapsed="false">
      <c r="A91" s="2" t="str">
        <f aca="false">HYPERLINK("https://www.fabsurplus.com/sdi_catalog/salesItemDetails.do?id=76604")</f>
        <v>https://www.fabsurplus.com/sdi_catalog/salesItemDetails.do?id=76604</v>
      </c>
      <c r="B91" s="2" t="s">
        <v>301</v>
      </c>
      <c r="C91" s="2" t="s">
        <v>178</v>
      </c>
      <c r="D91" s="2" t="s">
        <v>302</v>
      </c>
      <c r="E91" s="2" t="s">
        <v>303</v>
      </c>
      <c r="F91" s="2" t="s">
        <v>16</v>
      </c>
      <c r="G91" s="2" t="s">
        <v>304</v>
      </c>
      <c r="H91" s="2" t="s">
        <v>27</v>
      </c>
      <c r="I91" s="2"/>
      <c r="J91" s="2" t="s">
        <v>19</v>
      </c>
      <c r="K91" s="2" t="s">
        <v>20</v>
      </c>
      <c r="L91" s="6" t="s">
        <v>305</v>
      </c>
    </row>
    <row r="92" customFormat="false" ht="11.9" hidden="false" customHeight="true" outlineLevel="0" collapsed="false">
      <c r="A92" s="3" t="str">
        <f aca="false">HYPERLINK("https://www.fabsurplus.com/sdi_catalog/salesItemDetails.do?id=82926")</f>
        <v>https://www.fabsurplus.com/sdi_catalog/salesItemDetails.do?id=82926</v>
      </c>
      <c r="B92" s="3" t="s">
        <v>306</v>
      </c>
      <c r="C92" s="3" t="s">
        <v>178</v>
      </c>
      <c r="D92" s="3" t="s">
        <v>307</v>
      </c>
      <c r="E92" s="3" t="s">
        <v>308</v>
      </c>
      <c r="F92" s="3" t="s">
        <v>16</v>
      </c>
      <c r="G92" s="3" t="s">
        <v>26</v>
      </c>
      <c r="H92" s="3" t="s">
        <v>35</v>
      </c>
      <c r="I92" s="3"/>
      <c r="J92" s="3" t="s">
        <v>19</v>
      </c>
      <c r="K92" s="3" t="s">
        <v>20</v>
      </c>
      <c r="L92" s="5" t="s">
        <v>309</v>
      </c>
    </row>
    <row r="93" customFormat="false" ht="11.9" hidden="false" customHeight="true" outlineLevel="0" collapsed="false">
      <c r="A93" s="3" t="str">
        <f aca="false">HYPERLINK("https://www.fabsurplus.com/sdi_catalog/salesItemDetails.do?id=83550")</f>
        <v>https://www.fabsurplus.com/sdi_catalog/salesItemDetails.do?id=83550</v>
      </c>
      <c r="B93" s="3" t="s">
        <v>310</v>
      </c>
      <c r="C93" s="3" t="s">
        <v>178</v>
      </c>
      <c r="D93" s="3" t="s">
        <v>311</v>
      </c>
      <c r="E93" s="3" t="s">
        <v>312</v>
      </c>
      <c r="F93" s="3" t="s">
        <v>77</v>
      </c>
      <c r="G93" s="3" t="s">
        <v>26</v>
      </c>
      <c r="H93" s="3" t="s">
        <v>35</v>
      </c>
      <c r="I93" s="3"/>
      <c r="J93" s="3" t="s">
        <v>19</v>
      </c>
      <c r="K93" s="3" t="s">
        <v>20</v>
      </c>
      <c r="L93" s="5" t="s">
        <v>313</v>
      </c>
    </row>
    <row r="94" customFormat="false" ht="11.9" hidden="false" customHeight="true" outlineLevel="0" collapsed="false">
      <c r="A94" s="3" t="str">
        <f aca="false">HYPERLINK("https://www.fabsurplus.com/sdi_catalog/salesItemDetails.do?id=108993")</f>
        <v>https://www.fabsurplus.com/sdi_catalog/salesItemDetails.do?id=108993</v>
      </c>
      <c r="B94" s="3" t="s">
        <v>314</v>
      </c>
      <c r="C94" s="3" t="s">
        <v>315</v>
      </c>
      <c r="D94" s="3" t="s">
        <v>316</v>
      </c>
      <c r="E94" s="3" t="s">
        <v>317</v>
      </c>
      <c r="F94" s="3" t="s">
        <v>16</v>
      </c>
      <c r="G94" s="3" t="s">
        <v>26</v>
      </c>
      <c r="H94" s="3" t="s">
        <v>35</v>
      </c>
      <c r="I94" s="3"/>
      <c r="J94" s="3"/>
      <c r="K94" s="3" t="s">
        <v>20</v>
      </c>
      <c r="L94" s="5" t="s">
        <v>318</v>
      </c>
    </row>
    <row r="95" customFormat="false" ht="11.9" hidden="false" customHeight="true" outlineLevel="0" collapsed="false">
      <c r="A95" s="3" t="str">
        <f aca="false">HYPERLINK("https://www.fabsurplus.com/sdi_catalog/salesItemDetails.do?id=109630")</f>
        <v>https://www.fabsurplus.com/sdi_catalog/salesItemDetails.do?id=109630</v>
      </c>
      <c r="B95" s="3" t="s">
        <v>319</v>
      </c>
      <c r="C95" s="3" t="s">
        <v>320</v>
      </c>
      <c r="D95" s="3" t="s">
        <v>321</v>
      </c>
      <c r="E95" s="3" t="s">
        <v>133</v>
      </c>
      <c r="F95" s="3" t="s">
        <v>16</v>
      </c>
      <c r="G95" s="3" t="s">
        <v>41</v>
      </c>
      <c r="H95" s="3"/>
      <c r="I95" s="3"/>
      <c r="J95" s="3" t="s">
        <v>42</v>
      </c>
      <c r="K95" s="3"/>
      <c r="L95" s="3" t="s">
        <v>322</v>
      </c>
    </row>
    <row r="96" customFormat="false" ht="11.9" hidden="false" customHeight="true" outlineLevel="0" collapsed="false">
      <c r="A96" s="3" t="str">
        <f aca="false">HYPERLINK("https://www.fabsurplus.com/sdi_catalog/salesItemDetails.do?id=109632")</f>
        <v>https://www.fabsurplus.com/sdi_catalog/salesItemDetails.do?id=109632</v>
      </c>
      <c r="B96" s="3" t="s">
        <v>323</v>
      </c>
      <c r="C96" s="3" t="s">
        <v>320</v>
      </c>
      <c r="D96" s="3" t="s">
        <v>324</v>
      </c>
      <c r="E96" s="3" t="s">
        <v>40</v>
      </c>
      <c r="F96" s="3" t="s">
        <v>16</v>
      </c>
      <c r="G96" s="3" t="s">
        <v>41</v>
      </c>
      <c r="H96" s="3"/>
      <c r="I96" s="3"/>
      <c r="J96" s="3" t="s">
        <v>42</v>
      </c>
      <c r="K96" s="3"/>
      <c r="L96" s="3" t="s">
        <v>325</v>
      </c>
    </row>
    <row r="97" customFormat="false" ht="11.9" hidden="false" customHeight="true" outlineLevel="0" collapsed="false">
      <c r="A97" s="3" t="str">
        <f aca="false">HYPERLINK("https://www.fabsurplus.com/sdi_catalog/salesItemDetails.do?id=109631")</f>
        <v>https://www.fabsurplus.com/sdi_catalog/salesItemDetails.do?id=109631</v>
      </c>
      <c r="B97" s="3" t="s">
        <v>326</v>
      </c>
      <c r="C97" s="3" t="s">
        <v>320</v>
      </c>
      <c r="D97" s="3" t="s">
        <v>324</v>
      </c>
      <c r="E97" s="3" t="s">
        <v>40</v>
      </c>
      <c r="F97" s="3" t="s">
        <v>16</v>
      </c>
      <c r="G97" s="3" t="s">
        <v>41</v>
      </c>
      <c r="H97" s="3"/>
      <c r="I97" s="3"/>
      <c r="J97" s="3" t="s">
        <v>42</v>
      </c>
      <c r="K97" s="3"/>
      <c r="L97" s="3" t="s">
        <v>325</v>
      </c>
    </row>
    <row r="98" customFormat="false" ht="11.9" hidden="false" customHeight="true" outlineLevel="0" collapsed="false">
      <c r="A98" s="3" t="str">
        <f aca="false">HYPERLINK("https://www.fabsurplus.com/sdi_catalog/salesItemDetails.do?id=109636")</f>
        <v>https://www.fabsurplus.com/sdi_catalog/salesItemDetails.do?id=109636</v>
      </c>
      <c r="B98" s="3" t="s">
        <v>327</v>
      </c>
      <c r="C98" s="3" t="s">
        <v>320</v>
      </c>
      <c r="D98" s="3" t="s">
        <v>328</v>
      </c>
      <c r="E98" s="3" t="s">
        <v>40</v>
      </c>
      <c r="F98" s="3" t="s">
        <v>16</v>
      </c>
      <c r="G98" s="3" t="s">
        <v>41</v>
      </c>
      <c r="H98" s="3"/>
      <c r="I98" s="3"/>
      <c r="J98" s="3" t="s">
        <v>42</v>
      </c>
      <c r="K98" s="3"/>
      <c r="L98" s="3" t="s">
        <v>329</v>
      </c>
    </row>
    <row r="99" customFormat="false" ht="11.9" hidden="false" customHeight="true" outlineLevel="0" collapsed="false">
      <c r="A99" s="3" t="str">
        <f aca="false">HYPERLINK("https://www.fabsurplus.com/sdi_catalog/salesItemDetails.do?id=109635")</f>
        <v>https://www.fabsurplus.com/sdi_catalog/salesItemDetails.do?id=109635</v>
      </c>
      <c r="B99" s="3" t="s">
        <v>330</v>
      </c>
      <c r="C99" s="3" t="s">
        <v>320</v>
      </c>
      <c r="D99" s="3" t="s">
        <v>328</v>
      </c>
      <c r="E99" s="3" t="s">
        <v>40</v>
      </c>
      <c r="F99" s="3" t="s">
        <v>16</v>
      </c>
      <c r="G99" s="3" t="s">
        <v>41</v>
      </c>
      <c r="H99" s="3"/>
      <c r="I99" s="3"/>
      <c r="J99" s="3" t="s">
        <v>42</v>
      </c>
      <c r="K99" s="3"/>
      <c r="L99" s="3" t="s">
        <v>329</v>
      </c>
    </row>
    <row r="100" customFormat="false" ht="11.9" hidden="false" customHeight="true" outlineLevel="0" collapsed="false">
      <c r="A100" s="3" t="str">
        <f aca="false">HYPERLINK("https://www.fabsurplus.com/sdi_catalog/salesItemDetails.do?id=109634")</f>
        <v>https://www.fabsurplus.com/sdi_catalog/salesItemDetails.do?id=109634</v>
      </c>
      <c r="B100" s="3" t="s">
        <v>331</v>
      </c>
      <c r="C100" s="3" t="s">
        <v>320</v>
      </c>
      <c r="D100" s="3" t="s">
        <v>328</v>
      </c>
      <c r="E100" s="3" t="s">
        <v>40</v>
      </c>
      <c r="F100" s="3" t="s">
        <v>16</v>
      </c>
      <c r="G100" s="3" t="s">
        <v>41</v>
      </c>
      <c r="H100" s="3"/>
      <c r="I100" s="3"/>
      <c r="J100" s="3" t="s">
        <v>42</v>
      </c>
      <c r="K100" s="3"/>
      <c r="L100" s="3" t="s">
        <v>329</v>
      </c>
    </row>
    <row r="101" customFormat="false" ht="11.9" hidden="false" customHeight="true" outlineLevel="0" collapsed="false">
      <c r="A101" s="3" t="str">
        <f aca="false">HYPERLINK("https://www.fabsurplus.com/sdi_catalog/salesItemDetails.do?id=109633")</f>
        <v>https://www.fabsurplus.com/sdi_catalog/salesItemDetails.do?id=109633</v>
      </c>
      <c r="B101" s="3" t="s">
        <v>332</v>
      </c>
      <c r="C101" s="3" t="s">
        <v>320</v>
      </c>
      <c r="D101" s="3" t="s">
        <v>328</v>
      </c>
      <c r="E101" s="3" t="s">
        <v>40</v>
      </c>
      <c r="F101" s="3" t="s">
        <v>16</v>
      </c>
      <c r="G101" s="3" t="s">
        <v>41</v>
      </c>
      <c r="H101" s="3"/>
      <c r="I101" s="3"/>
      <c r="J101" s="3" t="s">
        <v>42</v>
      </c>
      <c r="K101" s="3"/>
      <c r="L101" s="3" t="s">
        <v>329</v>
      </c>
    </row>
    <row r="102" customFormat="false" ht="11.9" hidden="false" customHeight="true" outlineLevel="0" collapsed="false">
      <c r="A102" s="2" t="str">
        <f aca="false">HYPERLINK("https://www.fabsurplus.com/sdi_catalog/salesItemDetails.do?id=109640")</f>
        <v>https://www.fabsurplus.com/sdi_catalog/salesItemDetails.do?id=109640</v>
      </c>
      <c r="B102" s="2" t="s">
        <v>333</v>
      </c>
      <c r="C102" s="2" t="s">
        <v>320</v>
      </c>
      <c r="D102" s="2" t="s">
        <v>128</v>
      </c>
      <c r="E102" s="2" t="s">
        <v>47</v>
      </c>
      <c r="F102" s="2" t="s">
        <v>16</v>
      </c>
      <c r="G102" s="2" t="s">
        <v>41</v>
      </c>
      <c r="H102" s="2"/>
      <c r="I102" s="2"/>
      <c r="J102" s="2" t="s">
        <v>42</v>
      </c>
      <c r="K102" s="2"/>
      <c r="L102" s="2" t="s">
        <v>334</v>
      </c>
    </row>
    <row r="103" customFormat="false" ht="11.9" hidden="false" customHeight="true" outlineLevel="0" collapsed="false">
      <c r="A103" s="3" t="str">
        <f aca="false">HYPERLINK("https://www.fabsurplus.com/sdi_catalog/salesItemDetails.do?id=109639")</f>
        <v>https://www.fabsurplus.com/sdi_catalog/salesItemDetails.do?id=109639</v>
      </c>
      <c r="B103" s="3" t="s">
        <v>335</v>
      </c>
      <c r="C103" s="3" t="s">
        <v>320</v>
      </c>
      <c r="D103" s="3" t="s">
        <v>128</v>
      </c>
      <c r="E103" s="3" t="s">
        <v>47</v>
      </c>
      <c r="F103" s="3" t="s">
        <v>16</v>
      </c>
      <c r="G103" s="3" t="s">
        <v>41</v>
      </c>
      <c r="H103" s="3"/>
      <c r="I103" s="3"/>
      <c r="J103" s="3" t="s">
        <v>42</v>
      </c>
      <c r="K103" s="3"/>
      <c r="L103" s="3" t="s">
        <v>336</v>
      </c>
    </row>
    <row r="104" customFormat="false" ht="11.9" hidden="false" customHeight="true" outlineLevel="0" collapsed="false">
      <c r="A104" s="2" t="str">
        <f aca="false">HYPERLINK("https://www.fabsurplus.com/sdi_catalog/salesItemDetails.do?id=109638")</f>
        <v>https://www.fabsurplus.com/sdi_catalog/salesItemDetails.do?id=109638</v>
      </c>
      <c r="B104" s="2" t="s">
        <v>337</v>
      </c>
      <c r="C104" s="2" t="s">
        <v>320</v>
      </c>
      <c r="D104" s="2" t="s">
        <v>128</v>
      </c>
      <c r="E104" s="2" t="s">
        <v>47</v>
      </c>
      <c r="F104" s="2" t="s">
        <v>16</v>
      </c>
      <c r="G104" s="2" t="s">
        <v>41</v>
      </c>
      <c r="H104" s="2"/>
      <c r="I104" s="2"/>
      <c r="J104" s="2" t="s">
        <v>42</v>
      </c>
      <c r="K104" s="2"/>
      <c r="L104" s="2" t="s">
        <v>338</v>
      </c>
    </row>
    <row r="105" customFormat="false" ht="11.9" hidden="false" customHeight="true" outlineLevel="0" collapsed="false">
      <c r="A105" s="2" t="str">
        <f aca="false">HYPERLINK("https://www.fabsurplus.com/sdi_catalog/salesItemDetails.do?id=109642")</f>
        <v>https://www.fabsurplus.com/sdi_catalog/salesItemDetails.do?id=109642</v>
      </c>
      <c r="B105" s="2" t="s">
        <v>339</v>
      </c>
      <c r="C105" s="2" t="s">
        <v>320</v>
      </c>
      <c r="D105" s="2" t="s">
        <v>340</v>
      </c>
      <c r="E105" s="2" t="s">
        <v>47</v>
      </c>
      <c r="F105" s="2" t="s">
        <v>16</v>
      </c>
      <c r="G105" s="2" t="s">
        <v>41</v>
      </c>
      <c r="H105" s="2"/>
      <c r="I105" s="2"/>
      <c r="J105" s="2" t="s">
        <v>42</v>
      </c>
      <c r="K105" s="2"/>
      <c r="L105" s="6" t="s">
        <v>341</v>
      </c>
    </row>
    <row r="106" customFormat="false" ht="11.9" hidden="false" customHeight="true" outlineLevel="0" collapsed="false">
      <c r="A106" s="3" t="str">
        <f aca="false">HYPERLINK("https://www.fabsurplus.com/sdi_catalog/salesItemDetails.do?id=109641")</f>
        <v>https://www.fabsurplus.com/sdi_catalog/salesItemDetails.do?id=109641</v>
      </c>
      <c r="B106" s="3" t="s">
        <v>342</v>
      </c>
      <c r="C106" s="3" t="s">
        <v>320</v>
      </c>
      <c r="D106" s="3" t="s">
        <v>340</v>
      </c>
      <c r="E106" s="3" t="s">
        <v>47</v>
      </c>
      <c r="F106" s="3" t="s">
        <v>16</v>
      </c>
      <c r="G106" s="3" t="s">
        <v>41</v>
      </c>
      <c r="H106" s="3"/>
      <c r="I106" s="3"/>
      <c r="J106" s="3" t="s">
        <v>42</v>
      </c>
      <c r="K106" s="3"/>
      <c r="L106" s="5" t="s">
        <v>341</v>
      </c>
    </row>
    <row r="107" customFormat="false" ht="11.9" hidden="false" customHeight="true" outlineLevel="0" collapsed="false">
      <c r="A107" s="2" t="str">
        <f aca="false">HYPERLINK("https://www.fabsurplus.com/sdi_catalog/salesItemDetails.do?id=109645")</f>
        <v>https://www.fabsurplus.com/sdi_catalog/salesItemDetails.do?id=109645</v>
      </c>
      <c r="B107" s="2" t="s">
        <v>343</v>
      </c>
      <c r="C107" s="2" t="s">
        <v>320</v>
      </c>
      <c r="D107" s="2" t="s">
        <v>344</v>
      </c>
      <c r="E107" s="2" t="s">
        <v>47</v>
      </c>
      <c r="F107" s="2" t="s">
        <v>16</v>
      </c>
      <c r="G107" s="2" t="s">
        <v>41</v>
      </c>
      <c r="H107" s="2"/>
      <c r="I107" s="2"/>
      <c r="J107" s="2" t="s">
        <v>42</v>
      </c>
      <c r="K107" s="2"/>
      <c r="L107" s="2" t="s">
        <v>345</v>
      </c>
    </row>
    <row r="108" customFormat="false" ht="11.9" hidden="false" customHeight="true" outlineLevel="0" collapsed="false">
      <c r="A108" s="3" t="str">
        <f aca="false">HYPERLINK("https://www.fabsurplus.com/sdi_catalog/salesItemDetails.do?id=109644")</f>
        <v>https://www.fabsurplus.com/sdi_catalog/salesItemDetails.do?id=109644</v>
      </c>
      <c r="B108" s="3" t="s">
        <v>346</v>
      </c>
      <c r="C108" s="3" t="s">
        <v>320</v>
      </c>
      <c r="D108" s="3" t="s">
        <v>344</v>
      </c>
      <c r="E108" s="3" t="s">
        <v>47</v>
      </c>
      <c r="F108" s="3" t="s">
        <v>16</v>
      </c>
      <c r="G108" s="3" t="s">
        <v>41</v>
      </c>
      <c r="H108" s="3"/>
      <c r="I108" s="3"/>
      <c r="J108" s="3" t="s">
        <v>42</v>
      </c>
      <c r="K108" s="3"/>
      <c r="L108" s="3" t="s">
        <v>345</v>
      </c>
    </row>
    <row r="109" customFormat="false" ht="11.9" hidden="false" customHeight="true" outlineLevel="0" collapsed="false">
      <c r="A109" s="3" t="str">
        <f aca="false">HYPERLINK("https://www.fabsurplus.com/sdi_catalog/salesItemDetails.do?id=109646")</f>
        <v>https://www.fabsurplus.com/sdi_catalog/salesItemDetails.do?id=109646</v>
      </c>
      <c r="B109" s="3" t="s">
        <v>347</v>
      </c>
      <c r="C109" s="3" t="s">
        <v>320</v>
      </c>
      <c r="D109" s="3" t="s">
        <v>348</v>
      </c>
      <c r="E109" s="3" t="s">
        <v>47</v>
      </c>
      <c r="F109" s="3" t="s">
        <v>16</v>
      </c>
      <c r="G109" s="3" t="s">
        <v>41</v>
      </c>
      <c r="H109" s="3"/>
      <c r="I109" s="3"/>
      <c r="J109" s="3" t="s">
        <v>42</v>
      </c>
      <c r="K109" s="3"/>
      <c r="L109" s="3" t="s">
        <v>349</v>
      </c>
    </row>
    <row r="110" customFormat="false" ht="11.9" hidden="false" customHeight="true" outlineLevel="0" collapsed="false">
      <c r="A110" s="2" t="str">
        <f aca="false">HYPERLINK("https://www.fabsurplus.com/sdi_catalog/salesItemDetails.do?id=109647")</f>
        <v>https://www.fabsurplus.com/sdi_catalog/salesItemDetails.do?id=109647</v>
      </c>
      <c r="B110" s="2" t="s">
        <v>350</v>
      </c>
      <c r="C110" s="2" t="s">
        <v>320</v>
      </c>
      <c r="D110" s="2" t="s">
        <v>351</v>
      </c>
      <c r="E110" s="2" t="s">
        <v>133</v>
      </c>
      <c r="F110" s="2" t="s">
        <v>16</v>
      </c>
      <c r="G110" s="2" t="s">
        <v>41</v>
      </c>
      <c r="H110" s="2"/>
      <c r="I110" s="2"/>
      <c r="J110" s="2" t="s">
        <v>42</v>
      </c>
      <c r="K110" s="2"/>
      <c r="L110" s="2" t="s">
        <v>352</v>
      </c>
    </row>
    <row r="111" customFormat="false" ht="11.9" hidden="false" customHeight="true" outlineLevel="0" collapsed="false">
      <c r="A111" s="2" t="str">
        <f aca="false">HYPERLINK("https://www.fabsurplus.com/sdi_catalog/salesItemDetails.do?id=109651")</f>
        <v>https://www.fabsurplus.com/sdi_catalog/salesItemDetails.do?id=109651</v>
      </c>
      <c r="B111" s="2" t="s">
        <v>353</v>
      </c>
      <c r="C111" s="2" t="s">
        <v>320</v>
      </c>
      <c r="D111" s="2" t="s">
        <v>354</v>
      </c>
      <c r="E111" s="2" t="s">
        <v>133</v>
      </c>
      <c r="F111" s="2" t="s">
        <v>16</v>
      </c>
      <c r="G111" s="2" t="s">
        <v>41</v>
      </c>
      <c r="H111" s="2"/>
      <c r="I111" s="2"/>
      <c r="J111" s="2" t="s">
        <v>42</v>
      </c>
      <c r="K111" s="2"/>
      <c r="L111" s="2" t="s">
        <v>355</v>
      </c>
    </row>
    <row r="112" customFormat="false" ht="11.9" hidden="false" customHeight="true" outlineLevel="0" collapsed="false">
      <c r="A112" s="3" t="str">
        <f aca="false">HYPERLINK("https://www.fabsurplus.com/sdi_catalog/salesItemDetails.do?id=109650")</f>
        <v>https://www.fabsurplus.com/sdi_catalog/salesItemDetails.do?id=109650</v>
      </c>
      <c r="B112" s="3" t="s">
        <v>356</v>
      </c>
      <c r="C112" s="3" t="s">
        <v>320</v>
      </c>
      <c r="D112" s="3" t="s">
        <v>354</v>
      </c>
      <c r="E112" s="3" t="s">
        <v>133</v>
      </c>
      <c r="F112" s="3" t="s">
        <v>16</v>
      </c>
      <c r="G112" s="3" t="s">
        <v>41</v>
      </c>
      <c r="H112" s="3"/>
      <c r="I112" s="3"/>
      <c r="J112" s="3" t="s">
        <v>42</v>
      </c>
      <c r="K112" s="3"/>
      <c r="L112" s="3" t="s">
        <v>355</v>
      </c>
    </row>
    <row r="113" customFormat="false" ht="11.9" hidden="false" customHeight="true" outlineLevel="0" collapsed="false">
      <c r="A113" s="2" t="str">
        <f aca="false">HYPERLINK("https://www.fabsurplus.com/sdi_catalog/salesItemDetails.do?id=109649")</f>
        <v>https://www.fabsurplus.com/sdi_catalog/salesItemDetails.do?id=109649</v>
      </c>
      <c r="B113" s="2" t="s">
        <v>357</v>
      </c>
      <c r="C113" s="2" t="s">
        <v>320</v>
      </c>
      <c r="D113" s="2" t="s">
        <v>354</v>
      </c>
      <c r="E113" s="2" t="s">
        <v>133</v>
      </c>
      <c r="F113" s="2" t="s">
        <v>16</v>
      </c>
      <c r="G113" s="2" t="s">
        <v>41</v>
      </c>
      <c r="H113" s="2"/>
      <c r="I113" s="2"/>
      <c r="J113" s="2" t="s">
        <v>42</v>
      </c>
      <c r="K113" s="2"/>
      <c r="L113" s="2" t="s">
        <v>355</v>
      </c>
    </row>
    <row r="114" customFormat="false" ht="11.9" hidden="false" customHeight="true" outlineLevel="0" collapsed="false">
      <c r="A114" s="3" t="str">
        <f aca="false">HYPERLINK("https://www.fabsurplus.com/sdi_catalog/salesItemDetails.do?id=109648")</f>
        <v>https://www.fabsurplus.com/sdi_catalog/salesItemDetails.do?id=109648</v>
      </c>
      <c r="B114" s="3" t="s">
        <v>358</v>
      </c>
      <c r="C114" s="3" t="s">
        <v>320</v>
      </c>
      <c r="D114" s="3" t="s">
        <v>354</v>
      </c>
      <c r="E114" s="3" t="s">
        <v>133</v>
      </c>
      <c r="F114" s="3" t="s">
        <v>16</v>
      </c>
      <c r="G114" s="3" t="s">
        <v>41</v>
      </c>
      <c r="H114" s="3"/>
      <c r="I114" s="3"/>
      <c r="J114" s="3" t="s">
        <v>42</v>
      </c>
      <c r="K114" s="3"/>
      <c r="L114" s="3" t="s">
        <v>359</v>
      </c>
    </row>
    <row r="115" customFormat="false" ht="11.9" hidden="false" customHeight="true" outlineLevel="0" collapsed="false">
      <c r="A115" s="3" t="str">
        <f aca="false">HYPERLINK("https://www.fabsurplus.com/sdi_catalog/salesItemDetails.do?id=109652")</f>
        <v>https://www.fabsurplus.com/sdi_catalog/salesItemDetails.do?id=109652</v>
      </c>
      <c r="B115" s="3" t="s">
        <v>360</v>
      </c>
      <c r="C115" s="3" t="s">
        <v>320</v>
      </c>
      <c r="D115" s="3" t="s">
        <v>361</v>
      </c>
      <c r="E115" s="3" t="s">
        <v>40</v>
      </c>
      <c r="F115" s="3" t="s">
        <v>16</v>
      </c>
      <c r="G115" s="3" t="s">
        <v>41</v>
      </c>
      <c r="H115" s="3"/>
      <c r="I115" s="3"/>
      <c r="J115" s="3" t="s">
        <v>42</v>
      </c>
      <c r="K115" s="3"/>
      <c r="L115" s="3" t="s">
        <v>362</v>
      </c>
    </row>
    <row r="116" customFormat="false" ht="11.9" hidden="false" customHeight="true" outlineLevel="0" collapsed="false">
      <c r="A116" s="3" t="str">
        <f aca="false">HYPERLINK("https://www.fabsurplus.com/sdi_catalog/salesItemDetails.do?id=109654")</f>
        <v>https://www.fabsurplus.com/sdi_catalog/salesItemDetails.do?id=109654</v>
      </c>
      <c r="B116" s="3" t="s">
        <v>363</v>
      </c>
      <c r="C116" s="3" t="s">
        <v>320</v>
      </c>
      <c r="D116" s="3" t="s">
        <v>132</v>
      </c>
      <c r="E116" s="3" t="s">
        <v>133</v>
      </c>
      <c r="F116" s="3" t="s">
        <v>16</v>
      </c>
      <c r="G116" s="3" t="s">
        <v>41</v>
      </c>
      <c r="H116" s="3"/>
      <c r="I116" s="3"/>
      <c r="J116" s="3" t="s">
        <v>42</v>
      </c>
      <c r="K116" s="3"/>
      <c r="L116" s="3" t="s">
        <v>364</v>
      </c>
    </row>
    <row r="117" customFormat="false" ht="11.9" hidden="false" customHeight="true" outlineLevel="0" collapsed="false">
      <c r="A117" s="2" t="str">
        <f aca="false">HYPERLINK("https://www.fabsurplus.com/sdi_catalog/salesItemDetails.do?id=109653")</f>
        <v>https://www.fabsurplus.com/sdi_catalog/salesItemDetails.do?id=109653</v>
      </c>
      <c r="B117" s="2" t="s">
        <v>365</v>
      </c>
      <c r="C117" s="2" t="s">
        <v>320</v>
      </c>
      <c r="D117" s="2" t="s">
        <v>132</v>
      </c>
      <c r="E117" s="2" t="s">
        <v>133</v>
      </c>
      <c r="F117" s="2" t="s">
        <v>16</v>
      </c>
      <c r="G117" s="2" t="s">
        <v>41</v>
      </c>
      <c r="H117" s="2"/>
      <c r="I117" s="2"/>
      <c r="J117" s="2" t="s">
        <v>42</v>
      </c>
      <c r="K117" s="2"/>
      <c r="L117" s="2" t="s">
        <v>364</v>
      </c>
    </row>
    <row r="118" customFormat="false" ht="11.9" hidden="false" customHeight="true" outlineLevel="0" collapsed="false">
      <c r="A118" s="2" t="str">
        <f aca="false">HYPERLINK("https://www.fabsurplus.com/sdi_catalog/salesItemDetails.do?id=109656")</f>
        <v>https://www.fabsurplus.com/sdi_catalog/salesItemDetails.do?id=109656</v>
      </c>
      <c r="B118" s="2" t="s">
        <v>366</v>
      </c>
      <c r="C118" s="2" t="s">
        <v>320</v>
      </c>
      <c r="D118" s="2" t="s">
        <v>367</v>
      </c>
      <c r="E118" s="2" t="s">
        <v>40</v>
      </c>
      <c r="F118" s="2" t="s">
        <v>16</v>
      </c>
      <c r="G118" s="2" t="s">
        <v>41</v>
      </c>
      <c r="H118" s="2"/>
      <c r="I118" s="2"/>
      <c r="J118" s="2" t="s">
        <v>42</v>
      </c>
      <c r="K118" s="2"/>
      <c r="L118" s="2" t="s">
        <v>368</v>
      </c>
    </row>
    <row r="119" customFormat="false" ht="11.9" hidden="false" customHeight="true" outlineLevel="0" collapsed="false">
      <c r="A119" s="2" t="str">
        <f aca="false">HYPERLINK("https://www.fabsurplus.com/sdi_catalog/salesItemDetails.do?id=109658")</f>
        <v>https://www.fabsurplus.com/sdi_catalog/salesItemDetails.do?id=109658</v>
      </c>
      <c r="B119" s="2" t="s">
        <v>369</v>
      </c>
      <c r="C119" s="2" t="s">
        <v>320</v>
      </c>
      <c r="D119" s="2" t="s">
        <v>370</v>
      </c>
      <c r="E119" s="2" t="s">
        <v>133</v>
      </c>
      <c r="F119" s="2" t="s">
        <v>16</v>
      </c>
      <c r="G119" s="2" t="s">
        <v>41</v>
      </c>
      <c r="H119" s="2"/>
      <c r="I119" s="2"/>
      <c r="J119" s="2" t="s">
        <v>42</v>
      </c>
      <c r="K119" s="2"/>
      <c r="L119" s="2" t="s">
        <v>371</v>
      </c>
    </row>
    <row r="120" customFormat="false" ht="11.9" hidden="false" customHeight="true" outlineLevel="0" collapsed="false">
      <c r="A120" s="3" t="str">
        <f aca="false">HYPERLINK("https://www.fabsurplus.com/sdi_catalog/salesItemDetails.do?id=109657")</f>
        <v>https://www.fabsurplus.com/sdi_catalog/salesItemDetails.do?id=109657</v>
      </c>
      <c r="B120" s="3" t="s">
        <v>372</v>
      </c>
      <c r="C120" s="3" t="s">
        <v>320</v>
      </c>
      <c r="D120" s="3" t="s">
        <v>370</v>
      </c>
      <c r="E120" s="3" t="s">
        <v>133</v>
      </c>
      <c r="F120" s="3" t="s">
        <v>16</v>
      </c>
      <c r="G120" s="3" t="s">
        <v>41</v>
      </c>
      <c r="H120" s="3"/>
      <c r="I120" s="3"/>
      <c r="J120" s="3" t="s">
        <v>42</v>
      </c>
      <c r="K120" s="3"/>
      <c r="L120" s="3" t="s">
        <v>373</v>
      </c>
    </row>
    <row r="121" customFormat="false" ht="11.9" hidden="false" customHeight="true" outlineLevel="0" collapsed="false">
      <c r="A121" s="2" t="str">
        <f aca="false">HYPERLINK("https://www.fabsurplus.com/sdi_catalog/salesItemDetails.do?id=109660")</f>
        <v>https://www.fabsurplus.com/sdi_catalog/salesItemDetails.do?id=109660</v>
      </c>
      <c r="B121" s="2" t="s">
        <v>374</v>
      </c>
      <c r="C121" s="2" t="s">
        <v>320</v>
      </c>
      <c r="D121" s="2" t="s">
        <v>375</v>
      </c>
      <c r="E121" s="2" t="s">
        <v>40</v>
      </c>
      <c r="F121" s="2" t="s">
        <v>16</v>
      </c>
      <c r="G121" s="2" t="s">
        <v>41</v>
      </c>
      <c r="H121" s="2"/>
      <c r="I121" s="2"/>
      <c r="J121" s="2" t="s">
        <v>42</v>
      </c>
      <c r="K121" s="2"/>
      <c r="L121" s="2" t="s">
        <v>376</v>
      </c>
    </row>
    <row r="122" customFormat="false" ht="11.9" hidden="false" customHeight="true" outlineLevel="0" collapsed="false">
      <c r="A122" s="3" t="str">
        <f aca="false">HYPERLINK("https://www.fabsurplus.com/sdi_catalog/salesItemDetails.do?id=109659")</f>
        <v>https://www.fabsurplus.com/sdi_catalog/salesItemDetails.do?id=109659</v>
      </c>
      <c r="B122" s="3" t="s">
        <v>377</v>
      </c>
      <c r="C122" s="3" t="s">
        <v>320</v>
      </c>
      <c r="D122" s="3" t="s">
        <v>375</v>
      </c>
      <c r="E122" s="3" t="s">
        <v>40</v>
      </c>
      <c r="F122" s="3" t="s">
        <v>16</v>
      </c>
      <c r="G122" s="3" t="s">
        <v>41</v>
      </c>
      <c r="H122" s="3"/>
      <c r="I122" s="3"/>
      <c r="J122" s="3" t="s">
        <v>42</v>
      </c>
      <c r="K122" s="3"/>
      <c r="L122" s="3" t="s">
        <v>376</v>
      </c>
    </row>
    <row r="123" customFormat="false" ht="11.9" hidden="false" customHeight="true" outlineLevel="0" collapsed="false">
      <c r="A123" s="3" t="str">
        <f aca="false">HYPERLINK("https://www.fabsurplus.com/sdi_catalog/salesItemDetails.do?id=109661")</f>
        <v>https://www.fabsurplus.com/sdi_catalog/salesItemDetails.do?id=109661</v>
      </c>
      <c r="B123" s="3" t="s">
        <v>378</v>
      </c>
      <c r="C123" s="3" t="s">
        <v>320</v>
      </c>
      <c r="D123" s="3" t="s">
        <v>379</v>
      </c>
      <c r="E123" s="3" t="s">
        <v>133</v>
      </c>
      <c r="F123" s="3" t="s">
        <v>16</v>
      </c>
      <c r="G123" s="3" t="s">
        <v>41</v>
      </c>
      <c r="H123" s="3"/>
      <c r="I123" s="3"/>
      <c r="J123" s="3" t="s">
        <v>42</v>
      </c>
      <c r="K123" s="3"/>
      <c r="L123" s="3" t="s">
        <v>380</v>
      </c>
    </row>
    <row r="124" customFormat="false" ht="11.9" hidden="false" customHeight="true" outlineLevel="0" collapsed="false">
      <c r="A124" s="3" t="str">
        <f aca="false">HYPERLINK("https://www.fabsurplus.com/sdi_catalog/salesItemDetails.do?id=109665")</f>
        <v>https://www.fabsurplus.com/sdi_catalog/salesItemDetails.do?id=109665</v>
      </c>
      <c r="B124" s="3" t="s">
        <v>381</v>
      </c>
      <c r="C124" s="3" t="s">
        <v>320</v>
      </c>
      <c r="D124" s="3" t="s">
        <v>382</v>
      </c>
      <c r="E124" s="3" t="s">
        <v>40</v>
      </c>
      <c r="F124" s="3" t="s">
        <v>16</v>
      </c>
      <c r="G124" s="3" t="s">
        <v>41</v>
      </c>
      <c r="H124" s="3"/>
      <c r="I124" s="3"/>
      <c r="J124" s="3" t="s">
        <v>42</v>
      </c>
      <c r="K124" s="3"/>
      <c r="L124" s="3" t="s">
        <v>383</v>
      </c>
    </row>
    <row r="125" customFormat="false" ht="11.9" hidden="false" customHeight="true" outlineLevel="0" collapsed="false">
      <c r="A125" s="2" t="str">
        <f aca="false">HYPERLINK("https://www.fabsurplus.com/sdi_catalog/salesItemDetails.do?id=109664")</f>
        <v>https://www.fabsurplus.com/sdi_catalog/salesItemDetails.do?id=109664</v>
      </c>
      <c r="B125" s="2" t="s">
        <v>384</v>
      </c>
      <c r="C125" s="2" t="s">
        <v>320</v>
      </c>
      <c r="D125" s="2" t="s">
        <v>382</v>
      </c>
      <c r="E125" s="2" t="s">
        <v>40</v>
      </c>
      <c r="F125" s="2" t="s">
        <v>16</v>
      </c>
      <c r="G125" s="2" t="s">
        <v>41</v>
      </c>
      <c r="H125" s="2"/>
      <c r="I125" s="2"/>
      <c r="J125" s="2" t="s">
        <v>42</v>
      </c>
      <c r="K125" s="2"/>
      <c r="L125" s="2" t="s">
        <v>385</v>
      </c>
    </row>
    <row r="126" customFormat="false" ht="11.9" hidden="false" customHeight="true" outlineLevel="0" collapsed="false">
      <c r="A126" s="3" t="str">
        <f aca="false">HYPERLINK("https://www.fabsurplus.com/sdi_catalog/salesItemDetails.do?id=109663")</f>
        <v>https://www.fabsurplus.com/sdi_catalog/salesItemDetails.do?id=109663</v>
      </c>
      <c r="B126" s="3" t="s">
        <v>386</v>
      </c>
      <c r="C126" s="3" t="s">
        <v>320</v>
      </c>
      <c r="D126" s="3" t="s">
        <v>382</v>
      </c>
      <c r="E126" s="3" t="s">
        <v>40</v>
      </c>
      <c r="F126" s="3" t="s">
        <v>16</v>
      </c>
      <c r="G126" s="3" t="s">
        <v>41</v>
      </c>
      <c r="H126" s="3"/>
      <c r="I126" s="3"/>
      <c r="J126" s="3" t="s">
        <v>42</v>
      </c>
      <c r="K126" s="3"/>
      <c r="L126" s="3" t="s">
        <v>368</v>
      </c>
    </row>
    <row r="127" customFormat="false" ht="11.9" hidden="false" customHeight="true" outlineLevel="0" collapsed="false">
      <c r="A127" s="2" t="str">
        <f aca="false">HYPERLINK("https://www.fabsurplus.com/sdi_catalog/salesItemDetails.do?id=109662")</f>
        <v>https://www.fabsurplus.com/sdi_catalog/salesItemDetails.do?id=109662</v>
      </c>
      <c r="B127" s="2" t="s">
        <v>387</v>
      </c>
      <c r="C127" s="2" t="s">
        <v>320</v>
      </c>
      <c r="D127" s="2" t="s">
        <v>382</v>
      </c>
      <c r="E127" s="2" t="s">
        <v>40</v>
      </c>
      <c r="F127" s="2" t="s">
        <v>16</v>
      </c>
      <c r="G127" s="2" t="s">
        <v>41</v>
      </c>
      <c r="H127" s="2"/>
      <c r="I127" s="2"/>
      <c r="J127" s="2" t="s">
        <v>42</v>
      </c>
      <c r="K127" s="2"/>
      <c r="L127" s="2" t="s">
        <v>388</v>
      </c>
    </row>
    <row r="128" customFormat="false" ht="11.9" hidden="false" customHeight="true" outlineLevel="0" collapsed="false">
      <c r="A128" s="2" t="str">
        <f aca="false">HYPERLINK("https://www.fabsurplus.com/sdi_catalog/salesItemDetails.do?id=109666")</f>
        <v>https://www.fabsurplus.com/sdi_catalog/salesItemDetails.do?id=109666</v>
      </c>
      <c r="B128" s="2" t="s">
        <v>389</v>
      </c>
      <c r="C128" s="2" t="s">
        <v>320</v>
      </c>
      <c r="D128" s="2" t="s">
        <v>390</v>
      </c>
      <c r="E128" s="2" t="s">
        <v>47</v>
      </c>
      <c r="F128" s="2" t="s">
        <v>16</v>
      </c>
      <c r="G128" s="2" t="s">
        <v>41</v>
      </c>
      <c r="H128" s="2"/>
      <c r="I128" s="2"/>
      <c r="J128" s="2" t="s">
        <v>42</v>
      </c>
      <c r="K128" s="2"/>
      <c r="L128" s="2" t="s">
        <v>391</v>
      </c>
    </row>
    <row r="129" customFormat="false" ht="11.9" hidden="false" customHeight="true" outlineLevel="0" collapsed="false">
      <c r="A129" s="2" t="str">
        <f aca="false">HYPERLINK("https://www.fabsurplus.com/sdi_catalog/salesItemDetails.do?id=109672")</f>
        <v>https://www.fabsurplus.com/sdi_catalog/salesItemDetails.do?id=109672</v>
      </c>
      <c r="B129" s="2" t="s">
        <v>392</v>
      </c>
      <c r="C129" s="2" t="s">
        <v>320</v>
      </c>
      <c r="D129" s="2" t="s">
        <v>393</v>
      </c>
      <c r="E129" s="2" t="s">
        <v>47</v>
      </c>
      <c r="F129" s="2" t="s">
        <v>16</v>
      </c>
      <c r="G129" s="2" t="s">
        <v>41</v>
      </c>
      <c r="H129" s="2"/>
      <c r="I129" s="2"/>
      <c r="J129" s="2" t="s">
        <v>42</v>
      </c>
      <c r="K129" s="2"/>
      <c r="L129" s="2" t="s">
        <v>394</v>
      </c>
    </row>
    <row r="130" customFormat="false" ht="11.9" hidden="false" customHeight="true" outlineLevel="0" collapsed="false">
      <c r="A130" s="3" t="str">
        <f aca="false">HYPERLINK("https://www.fabsurplus.com/sdi_catalog/salesItemDetails.do?id=109671")</f>
        <v>https://www.fabsurplus.com/sdi_catalog/salesItemDetails.do?id=109671</v>
      </c>
      <c r="B130" s="3" t="s">
        <v>395</v>
      </c>
      <c r="C130" s="3" t="s">
        <v>320</v>
      </c>
      <c r="D130" s="3" t="s">
        <v>393</v>
      </c>
      <c r="E130" s="3" t="s">
        <v>47</v>
      </c>
      <c r="F130" s="3" t="s">
        <v>16</v>
      </c>
      <c r="G130" s="3" t="s">
        <v>41</v>
      </c>
      <c r="H130" s="3"/>
      <c r="I130" s="3"/>
      <c r="J130" s="3" t="s">
        <v>42</v>
      </c>
      <c r="K130" s="3"/>
      <c r="L130" s="3" t="s">
        <v>394</v>
      </c>
    </row>
    <row r="131" customFormat="false" ht="11.9" hidden="false" customHeight="true" outlineLevel="0" collapsed="false">
      <c r="A131" s="3" t="str">
        <f aca="false">HYPERLINK("https://www.fabsurplus.com/sdi_catalog/salesItemDetails.do?id=109667")</f>
        <v>https://www.fabsurplus.com/sdi_catalog/salesItemDetails.do?id=109667</v>
      </c>
      <c r="B131" s="3" t="s">
        <v>396</v>
      </c>
      <c r="C131" s="3" t="s">
        <v>320</v>
      </c>
      <c r="D131" s="3" t="s">
        <v>397</v>
      </c>
      <c r="E131" s="3" t="s">
        <v>47</v>
      </c>
      <c r="F131" s="3" t="s">
        <v>16</v>
      </c>
      <c r="G131" s="3" t="s">
        <v>41</v>
      </c>
      <c r="H131" s="3"/>
      <c r="I131" s="3"/>
      <c r="J131" s="3" t="s">
        <v>42</v>
      </c>
      <c r="K131" s="3"/>
      <c r="L131" s="3" t="s">
        <v>398</v>
      </c>
    </row>
    <row r="132" customFormat="false" ht="11.9" hidden="false" customHeight="true" outlineLevel="0" collapsed="false">
      <c r="A132" s="2" t="str">
        <f aca="false">HYPERLINK("https://www.fabsurplus.com/sdi_catalog/salesItemDetails.do?id=109668")</f>
        <v>https://www.fabsurplus.com/sdi_catalog/salesItemDetails.do?id=109668</v>
      </c>
      <c r="B132" s="2" t="s">
        <v>399</v>
      </c>
      <c r="C132" s="2" t="s">
        <v>320</v>
      </c>
      <c r="D132" s="2" t="s">
        <v>400</v>
      </c>
      <c r="E132" s="2" t="s">
        <v>47</v>
      </c>
      <c r="F132" s="2" t="s">
        <v>16</v>
      </c>
      <c r="G132" s="2" t="s">
        <v>41</v>
      </c>
      <c r="H132" s="2"/>
      <c r="I132" s="2"/>
      <c r="J132" s="2" t="s">
        <v>42</v>
      </c>
      <c r="K132" s="2"/>
      <c r="L132" s="2" t="s">
        <v>401</v>
      </c>
    </row>
    <row r="133" customFormat="false" ht="11.9" hidden="false" customHeight="true" outlineLevel="0" collapsed="false">
      <c r="A133" s="2" t="str">
        <f aca="false">HYPERLINK("https://www.fabsurplus.com/sdi_catalog/salesItemDetails.do?id=109670")</f>
        <v>https://www.fabsurplus.com/sdi_catalog/salesItemDetails.do?id=109670</v>
      </c>
      <c r="B133" s="2" t="s">
        <v>402</v>
      </c>
      <c r="C133" s="2" t="s">
        <v>320</v>
      </c>
      <c r="D133" s="2" t="s">
        <v>403</v>
      </c>
      <c r="E133" s="2" t="s">
        <v>47</v>
      </c>
      <c r="F133" s="2" t="s">
        <v>16</v>
      </c>
      <c r="G133" s="2" t="s">
        <v>41</v>
      </c>
      <c r="H133" s="2"/>
      <c r="I133" s="2"/>
      <c r="J133" s="2" t="s">
        <v>42</v>
      </c>
      <c r="K133" s="2"/>
      <c r="L133" s="2" t="s">
        <v>391</v>
      </c>
    </row>
    <row r="134" customFormat="false" ht="11.9" hidden="false" customHeight="true" outlineLevel="0" collapsed="false">
      <c r="A134" s="3" t="str">
        <f aca="false">HYPERLINK("https://www.fabsurplus.com/sdi_catalog/salesItemDetails.do?id=109669")</f>
        <v>https://www.fabsurplus.com/sdi_catalog/salesItemDetails.do?id=109669</v>
      </c>
      <c r="B134" s="3" t="s">
        <v>404</v>
      </c>
      <c r="C134" s="3" t="s">
        <v>320</v>
      </c>
      <c r="D134" s="3" t="s">
        <v>403</v>
      </c>
      <c r="E134" s="3" t="s">
        <v>47</v>
      </c>
      <c r="F134" s="3" t="s">
        <v>16</v>
      </c>
      <c r="G134" s="3" t="s">
        <v>41</v>
      </c>
      <c r="H134" s="3"/>
      <c r="I134" s="3"/>
      <c r="J134" s="3" t="s">
        <v>42</v>
      </c>
      <c r="K134" s="3"/>
      <c r="L134" s="3" t="s">
        <v>391</v>
      </c>
    </row>
    <row r="135" customFormat="false" ht="11.9" hidden="false" customHeight="true" outlineLevel="0" collapsed="false">
      <c r="A135" s="3" t="str">
        <f aca="false">HYPERLINK("https://www.fabsurplus.com/sdi_catalog/salesItemDetails.do?id=109673")</f>
        <v>https://www.fabsurplus.com/sdi_catalog/salesItemDetails.do?id=109673</v>
      </c>
      <c r="B135" s="3" t="s">
        <v>405</v>
      </c>
      <c r="C135" s="3" t="s">
        <v>320</v>
      </c>
      <c r="D135" s="3" t="s">
        <v>406</v>
      </c>
      <c r="E135" s="3" t="s">
        <v>47</v>
      </c>
      <c r="F135" s="3" t="s">
        <v>16</v>
      </c>
      <c r="G135" s="3" t="s">
        <v>41</v>
      </c>
      <c r="H135" s="3"/>
      <c r="I135" s="3"/>
      <c r="J135" s="3" t="s">
        <v>42</v>
      </c>
      <c r="K135" s="3"/>
      <c r="L135" s="3" t="s">
        <v>407</v>
      </c>
    </row>
    <row r="136" customFormat="false" ht="11.9" hidden="false" customHeight="true" outlineLevel="0" collapsed="false">
      <c r="A136" s="2" t="str">
        <f aca="false">HYPERLINK("https://www.fabsurplus.com/sdi_catalog/salesItemDetails.do?id=109676")</f>
        <v>https://www.fabsurplus.com/sdi_catalog/salesItemDetails.do?id=109676</v>
      </c>
      <c r="B136" s="2" t="s">
        <v>408</v>
      </c>
      <c r="C136" s="2" t="s">
        <v>320</v>
      </c>
      <c r="D136" s="2" t="s">
        <v>409</v>
      </c>
      <c r="E136" s="2" t="s">
        <v>47</v>
      </c>
      <c r="F136" s="2" t="s">
        <v>16</v>
      </c>
      <c r="G136" s="2" t="s">
        <v>41</v>
      </c>
      <c r="H136" s="2"/>
      <c r="I136" s="2"/>
      <c r="J136" s="2" t="s">
        <v>42</v>
      </c>
      <c r="K136" s="2"/>
      <c r="L136" s="2" t="s">
        <v>410</v>
      </c>
    </row>
    <row r="137" customFormat="false" ht="11.9" hidden="false" customHeight="true" outlineLevel="0" collapsed="false">
      <c r="A137" s="3" t="str">
        <f aca="false">HYPERLINK("https://www.fabsurplus.com/sdi_catalog/salesItemDetails.do?id=109675")</f>
        <v>https://www.fabsurplus.com/sdi_catalog/salesItemDetails.do?id=109675</v>
      </c>
      <c r="B137" s="3" t="s">
        <v>411</v>
      </c>
      <c r="C137" s="3" t="s">
        <v>320</v>
      </c>
      <c r="D137" s="3" t="s">
        <v>409</v>
      </c>
      <c r="E137" s="3" t="s">
        <v>47</v>
      </c>
      <c r="F137" s="3" t="s">
        <v>16</v>
      </c>
      <c r="G137" s="3" t="s">
        <v>41</v>
      </c>
      <c r="H137" s="3"/>
      <c r="I137" s="3"/>
      <c r="J137" s="3" t="s">
        <v>42</v>
      </c>
      <c r="K137" s="3"/>
      <c r="L137" s="3" t="s">
        <v>410</v>
      </c>
    </row>
    <row r="138" customFormat="false" ht="11.9" hidden="false" customHeight="true" outlineLevel="0" collapsed="false">
      <c r="A138" s="2" t="str">
        <f aca="false">HYPERLINK("https://www.fabsurplus.com/sdi_catalog/salesItemDetails.do?id=109674")</f>
        <v>https://www.fabsurplus.com/sdi_catalog/salesItemDetails.do?id=109674</v>
      </c>
      <c r="B138" s="2" t="s">
        <v>412</v>
      </c>
      <c r="C138" s="2" t="s">
        <v>320</v>
      </c>
      <c r="D138" s="2" t="s">
        <v>409</v>
      </c>
      <c r="E138" s="2" t="s">
        <v>47</v>
      </c>
      <c r="F138" s="2" t="s">
        <v>16</v>
      </c>
      <c r="G138" s="2" t="s">
        <v>41</v>
      </c>
      <c r="H138" s="2"/>
      <c r="I138" s="2"/>
      <c r="J138" s="2" t="s">
        <v>42</v>
      </c>
      <c r="K138" s="2"/>
      <c r="L138" s="2" t="s">
        <v>410</v>
      </c>
    </row>
    <row r="139" customFormat="false" ht="11.9" hidden="false" customHeight="true" outlineLevel="0" collapsed="false">
      <c r="A139" s="3" t="str">
        <f aca="false">HYPERLINK("https://www.fabsurplus.com/sdi_catalog/salesItemDetails.do?id=109677")</f>
        <v>https://www.fabsurplus.com/sdi_catalog/salesItemDetails.do?id=109677</v>
      </c>
      <c r="B139" s="3" t="s">
        <v>413</v>
      </c>
      <c r="C139" s="3" t="s">
        <v>320</v>
      </c>
      <c r="D139" s="3" t="s">
        <v>414</v>
      </c>
      <c r="E139" s="3" t="s">
        <v>40</v>
      </c>
      <c r="F139" s="3" t="s">
        <v>16</v>
      </c>
      <c r="G139" s="3" t="s">
        <v>41</v>
      </c>
      <c r="H139" s="3"/>
      <c r="I139" s="3"/>
      <c r="J139" s="3" t="s">
        <v>42</v>
      </c>
      <c r="K139" s="3"/>
      <c r="L139" s="3" t="s">
        <v>415</v>
      </c>
    </row>
    <row r="140" customFormat="false" ht="11.9" hidden="false" customHeight="true" outlineLevel="0" collapsed="false">
      <c r="A140" s="2" t="str">
        <f aca="false">HYPERLINK("https://www.fabsurplus.com/sdi_catalog/salesItemDetails.do?id=109678")</f>
        <v>https://www.fabsurplus.com/sdi_catalog/salesItemDetails.do?id=109678</v>
      </c>
      <c r="B140" s="2" t="s">
        <v>416</v>
      </c>
      <c r="C140" s="2" t="s">
        <v>320</v>
      </c>
      <c r="D140" s="2" t="s">
        <v>417</v>
      </c>
      <c r="E140" s="2" t="s">
        <v>133</v>
      </c>
      <c r="F140" s="2" t="s">
        <v>16</v>
      </c>
      <c r="G140" s="2" t="s">
        <v>41</v>
      </c>
      <c r="H140" s="2"/>
      <c r="I140" s="2"/>
      <c r="J140" s="2" t="s">
        <v>42</v>
      </c>
      <c r="K140" s="2"/>
      <c r="L140" s="2" t="s">
        <v>418</v>
      </c>
    </row>
    <row r="141" customFormat="false" ht="11.9" hidden="false" customHeight="true" outlineLevel="0" collapsed="false">
      <c r="A141" s="2" t="str">
        <f aca="false">HYPERLINK("https://www.fabsurplus.com/sdi_catalog/salesItemDetails.do?id=109680")</f>
        <v>https://www.fabsurplus.com/sdi_catalog/salesItemDetails.do?id=109680</v>
      </c>
      <c r="B141" s="2" t="s">
        <v>419</v>
      </c>
      <c r="C141" s="2" t="s">
        <v>320</v>
      </c>
      <c r="D141" s="2" t="s">
        <v>420</v>
      </c>
      <c r="E141" s="2" t="s">
        <v>133</v>
      </c>
      <c r="F141" s="2" t="s">
        <v>16</v>
      </c>
      <c r="G141" s="2" t="s">
        <v>41</v>
      </c>
      <c r="H141" s="2"/>
      <c r="I141" s="2"/>
      <c r="J141" s="2" t="s">
        <v>42</v>
      </c>
      <c r="K141" s="2"/>
      <c r="L141" s="6" t="s">
        <v>421</v>
      </c>
    </row>
    <row r="142" customFormat="false" ht="11.9" hidden="false" customHeight="true" outlineLevel="0" collapsed="false">
      <c r="A142" s="3" t="str">
        <f aca="false">HYPERLINK("https://www.fabsurplus.com/sdi_catalog/salesItemDetails.do?id=109679")</f>
        <v>https://www.fabsurplus.com/sdi_catalog/salesItemDetails.do?id=109679</v>
      </c>
      <c r="B142" s="3" t="s">
        <v>422</v>
      </c>
      <c r="C142" s="3" t="s">
        <v>320</v>
      </c>
      <c r="D142" s="3" t="s">
        <v>420</v>
      </c>
      <c r="E142" s="3" t="s">
        <v>133</v>
      </c>
      <c r="F142" s="3" t="s">
        <v>16</v>
      </c>
      <c r="G142" s="3" t="s">
        <v>41</v>
      </c>
      <c r="H142" s="3"/>
      <c r="I142" s="3"/>
      <c r="J142" s="3" t="s">
        <v>42</v>
      </c>
      <c r="K142" s="3"/>
      <c r="L142" s="5" t="s">
        <v>423</v>
      </c>
    </row>
    <row r="143" customFormat="false" ht="11.9" hidden="false" customHeight="true" outlineLevel="0" collapsed="false">
      <c r="A143" s="2" t="str">
        <f aca="false">HYPERLINK("https://www.fabsurplus.com/sdi_catalog/salesItemDetails.do?id=109682")</f>
        <v>https://www.fabsurplus.com/sdi_catalog/salesItemDetails.do?id=109682</v>
      </c>
      <c r="B143" s="2" t="s">
        <v>424</v>
      </c>
      <c r="C143" s="2" t="s">
        <v>320</v>
      </c>
      <c r="D143" s="2" t="s">
        <v>425</v>
      </c>
      <c r="E143" s="2" t="s">
        <v>133</v>
      </c>
      <c r="F143" s="2" t="s">
        <v>16</v>
      </c>
      <c r="G143" s="2" t="s">
        <v>41</v>
      </c>
      <c r="H143" s="2"/>
      <c r="I143" s="2"/>
      <c r="J143" s="2" t="s">
        <v>42</v>
      </c>
      <c r="K143" s="2"/>
      <c r="L143" s="6" t="s">
        <v>426</v>
      </c>
    </row>
    <row r="144" customFormat="false" ht="11.9" hidden="false" customHeight="true" outlineLevel="0" collapsed="false">
      <c r="A144" s="3" t="str">
        <f aca="false">HYPERLINK("https://www.fabsurplus.com/sdi_catalog/salesItemDetails.do?id=109681")</f>
        <v>https://www.fabsurplus.com/sdi_catalog/salesItemDetails.do?id=109681</v>
      </c>
      <c r="B144" s="3" t="s">
        <v>427</v>
      </c>
      <c r="C144" s="3" t="s">
        <v>320</v>
      </c>
      <c r="D144" s="3" t="s">
        <v>425</v>
      </c>
      <c r="E144" s="3" t="s">
        <v>133</v>
      </c>
      <c r="F144" s="3" t="s">
        <v>16</v>
      </c>
      <c r="G144" s="3" t="s">
        <v>41</v>
      </c>
      <c r="H144" s="3"/>
      <c r="I144" s="3"/>
      <c r="J144" s="3" t="s">
        <v>42</v>
      </c>
      <c r="K144" s="3"/>
      <c r="L144" s="5" t="s">
        <v>426</v>
      </c>
    </row>
    <row r="145" customFormat="false" ht="11.9" hidden="false" customHeight="true" outlineLevel="0" collapsed="false">
      <c r="A145" s="2" t="str">
        <f aca="false">HYPERLINK("https://www.fabsurplus.com/sdi_catalog/salesItemDetails.do?id=109684")</f>
        <v>https://www.fabsurplus.com/sdi_catalog/salesItemDetails.do?id=109684</v>
      </c>
      <c r="B145" s="2" t="s">
        <v>428</v>
      </c>
      <c r="C145" s="2" t="s">
        <v>320</v>
      </c>
      <c r="D145" s="2" t="s">
        <v>429</v>
      </c>
      <c r="E145" s="2" t="s">
        <v>133</v>
      </c>
      <c r="F145" s="2" t="s">
        <v>16</v>
      </c>
      <c r="G145" s="2" t="s">
        <v>41</v>
      </c>
      <c r="H145" s="2"/>
      <c r="I145" s="2"/>
      <c r="J145" s="2" t="s">
        <v>42</v>
      </c>
      <c r="K145" s="2"/>
      <c r="L145" s="6" t="s">
        <v>430</v>
      </c>
    </row>
    <row r="146" customFormat="false" ht="11.9" hidden="false" customHeight="true" outlineLevel="0" collapsed="false">
      <c r="A146" s="3" t="str">
        <f aca="false">HYPERLINK("https://www.fabsurplus.com/sdi_catalog/salesItemDetails.do?id=109683")</f>
        <v>https://www.fabsurplus.com/sdi_catalog/salesItemDetails.do?id=109683</v>
      </c>
      <c r="B146" s="3" t="s">
        <v>431</v>
      </c>
      <c r="C146" s="3" t="s">
        <v>320</v>
      </c>
      <c r="D146" s="3" t="s">
        <v>429</v>
      </c>
      <c r="E146" s="3" t="s">
        <v>133</v>
      </c>
      <c r="F146" s="3" t="s">
        <v>16</v>
      </c>
      <c r="G146" s="3" t="s">
        <v>41</v>
      </c>
      <c r="H146" s="3"/>
      <c r="I146" s="3"/>
      <c r="J146" s="3" t="s">
        <v>42</v>
      </c>
      <c r="K146" s="3"/>
      <c r="L146" s="3" t="s">
        <v>432</v>
      </c>
    </row>
    <row r="147" customFormat="false" ht="11.9" hidden="false" customHeight="true" outlineLevel="0" collapsed="false">
      <c r="A147" s="2" t="str">
        <f aca="false">HYPERLINK("https://www.fabsurplus.com/sdi_catalog/salesItemDetails.do?id=109690")</f>
        <v>https://www.fabsurplus.com/sdi_catalog/salesItemDetails.do?id=109690</v>
      </c>
      <c r="B147" s="2" t="s">
        <v>433</v>
      </c>
      <c r="C147" s="2" t="s">
        <v>320</v>
      </c>
      <c r="D147" s="2" t="s">
        <v>434</v>
      </c>
      <c r="E147" s="2" t="s">
        <v>40</v>
      </c>
      <c r="F147" s="2" t="s">
        <v>16</v>
      </c>
      <c r="G147" s="2" t="s">
        <v>41</v>
      </c>
      <c r="H147" s="2"/>
      <c r="I147" s="2"/>
      <c r="J147" s="2" t="s">
        <v>42</v>
      </c>
      <c r="K147" s="2"/>
      <c r="L147" s="2" t="s">
        <v>435</v>
      </c>
    </row>
    <row r="148" customFormat="false" ht="11.9" hidden="false" customHeight="true" outlineLevel="0" collapsed="false">
      <c r="A148" s="3" t="str">
        <f aca="false">HYPERLINK("https://www.fabsurplus.com/sdi_catalog/salesItemDetails.do?id=109689")</f>
        <v>https://www.fabsurplus.com/sdi_catalog/salesItemDetails.do?id=109689</v>
      </c>
      <c r="B148" s="3" t="s">
        <v>436</v>
      </c>
      <c r="C148" s="3" t="s">
        <v>320</v>
      </c>
      <c r="D148" s="3" t="s">
        <v>434</v>
      </c>
      <c r="E148" s="3" t="s">
        <v>40</v>
      </c>
      <c r="F148" s="3" t="s">
        <v>16</v>
      </c>
      <c r="G148" s="3" t="s">
        <v>41</v>
      </c>
      <c r="H148" s="3"/>
      <c r="I148" s="3"/>
      <c r="J148" s="3" t="s">
        <v>42</v>
      </c>
      <c r="K148" s="3"/>
      <c r="L148" s="3" t="s">
        <v>437</v>
      </c>
    </row>
    <row r="149" customFormat="false" ht="11.9" hidden="false" customHeight="true" outlineLevel="0" collapsed="false">
      <c r="A149" s="2" t="str">
        <f aca="false">HYPERLINK("https://www.fabsurplus.com/sdi_catalog/salesItemDetails.do?id=109688")</f>
        <v>https://www.fabsurplus.com/sdi_catalog/salesItemDetails.do?id=109688</v>
      </c>
      <c r="B149" s="2" t="s">
        <v>438</v>
      </c>
      <c r="C149" s="2" t="s">
        <v>320</v>
      </c>
      <c r="D149" s="2" t="s">
        <v>434</v>
      </c>
      <c r="E149" s="2" t="s">
        <v>40</v>
      </c>
      <c r="F149" s="2" t="s">
        <v>16</v>
      </c>
      <c r="G149" s="2" t="s">
        <v>41</v>
      </c>
      <c r="H149" s="2"/>
      <c r="I149" s="2"/>
      <c r="J149" s="2" t="s">
        <v>42</v>
      </c>
      <c r="K149" s="2"/>
      <c r="L149" s="2" t="s">
        <v>437</v>
      </c>
    </row>
    <row r="150" customFormat="false" ht="11.9" hidden="false" customHeight="true" outlineLevel="0" collapsed="false">
      <c r="A150" s="3" t="str">
        <f aca="false">HYPERLINK("https://www.fabsurplus.com/sdi_catalog/salesItemDetails.do?id=109687")</f>
        <v>https://www.fabsurplus.com/sdi_catalog/salesItemDetails.do?id=109687</v>
      </c>
      <c r="B150" s="3" t="s">
        <v>439</v>
      </c>
      <c r="C150" s="3" t="s">
        <v>320</v>
      </c>
      <c r="D150" s="3" t="s">
        <v>434</v>
      </c>
      <c r="E150" s="3" t="s">
        <v>40</v>
      </c>
      <c r="F150" s="3" t="s">
        <v>16</v>
      </c>
      <c r="G150" s="3" t="s">
        <v>41</v>
      </c>
      <c r="H150" s="3"/>
      <c r="I150" s="3"/>
      <c r="J150" s="3" t="s">
        <v>42</v>
      </c>
      <c r="K150" s="3"/>
      <c r="L150" s="3" t="s">
        <v>437</v>
      </c>
    </row>
    <row r="151" customFormat="false" ht="11.9" hidden="false" customHeight="true" outlineLevel="0" collapsed="false">
      <c r="A151" s="2" t="str">
        <f aca="false">HYPERLINK("https://www.fabsurplus.com/sdi_catalog/salesItemDetails.do?id=109686")</f>
        <v>https://www.fabsurplus.com/sdi_catalog/salesItemDetails.do?id=109686</v>
      </c>
      <c r="B151" s="2" t="s">
        <v>440</v>
      </c>
      <c r="C151" s="2" t="s">
        <v>320</v>
      </c>
      <c r="D151" s="2" t="s">
        <v>434</v>
      </c>
      <c r="E151" s="2" t="s">
        <v>40</v>
      </c>
      <c r="F151" s="2" t="s">
        <v>16</v>
      </c>
      <c r="G151" s="2" t="s">
        <v>41</v>
      </c>
      <c r="H151" s="2"/>
      <c r="I151" s="2"/>
      <c r="J151" s="2" t="s">
        <v>42</v>
      </c>
      <c r="K151" s="2"/>
      <c r="L151" s="2" t="s">
        <v>437</v>
      </c>
    </row>
    <row r="152" customFormat="false" ht="11.9" hidden="false" customHeight="true" outlineLevel="0" collapsed="false">
      <c r="A152" s="3" t="str">
        <f aca="false">HYPERLINK("https://www.fabsurplus.com/sdi_catalog/salesItemDetails.do?id=109685")</f>
        <v>https://www.fabsurplus.com/sdi_catalog/salesItemDetails.do?id=109685</v>
      </c>
      <c r="B152" s="3" t="s">
        <v>441</v>
      </c>
      <c r="C152" s="3" t="s">
        <v>320</v>
      </c>
      <c r="D152" s="3" t="s">
        <v>434</v>
      </c>
      <c r="E152" s="3" t="s">
        <v>40</v>
      </c>
      <c r="F152" s="3" t="s">
        <v>16</v>
      </c>
      <c r="G152" s="3" t="s">
        <v>41</v>
      </c>
      <c r="H152" s="3"/>
      <c r="I152" s="3"/>
      <c r="J152" s="3" t="s">
        <v>42</v>
      </c>
      <c r="K152" s="3"/>
      <c r="L152" s="3" t="s">
        <v>442</v>
      </c>
    </row>
    <row r="153" customFormat="false" ht="11.9" hidden="false" customHeight="true" outlineLevel="0" collapsed="false">
      <c r="A153" s="3" t="str">
        <f aca="false">HYPERLINK("https://www.fabsurplus.com/sdi_catalog/salesItemDetails.do?id=109693")</f>
        <v>https://www.fabsurplus.com/sdi_catalog/salesItemDetails.do?id=109693</v>
      </c>
      <c r="B153" s="3" t="s">
        <v>443</v>
      </c>
      <c r="C153" s="3" t="s">
        <v>320</v>
      </c>
      <c r="D153" s="3" t="s">
        <v>444</v>
      </c>
      <c r="E153" s="3" t="s">
        <v>40</v>
      </c>
      <c r="F153" s="3" t="s">
        <v>16</v>
      </c>
      <c r="G153" s="3" t="s">
        <v>41</v>
      </c>
      <c r="H153" s="3"/>
      <c r="I153" s="3"/>
      <c r="J153" s="3" t="s">
        <v>42</v>
      </c>
      <c r="K153" s="3"/>
      <c r="L153" s="3" t="s">
        <v>445</v>
      </c>
    </row>
    <row r="154" customFormat="false" ht="11.9" hidden="false" customHeight="true" outlineLevel="0" collapsed="false">
      <c r="A154" s="2" t="str">
        <f aca="false">HYPERLINK("https://www.fabsurplus.com/sdi_catalog/salesItemDetails.do?id=109692")</f>
        <v>https://www.fabsurplus.com/sdi_catalog/salesItemDetails.do?id=109692</v>
      </c>
      <c r="B154" s="2" t="s">
        <v>446</v>
      </c>
      <c r="C154" s="2" t="s">
        <v>320</v>
      </c>
      <c r="D154" s="2" t="s">
        <v>444</v>
      </c>
      <c r="E154" s="2" t="s">
        <v>40</v>
      </c>
      <c r="F154" s="2" t="s">
        <v>16</v>
      </c>
      <c r="G154" s="2" t="s">
        <v>41</v>
      </c>
      <c r="H154" s="2"/>
      <c r="I154" s="2"/>
      <c r="J154" s="2" t="s">
        <v>42</v>
      </c>
      <c r="K154" s="2"/>
      <c r="L154" s="2" t="s">
        <v>437</v>
      </c>
    </row>
    <row r="155" customFormat="false" ht="11.9" hidden="false" customHeight="true" outlineLevel="0" collapsed="false">
      <c r="A155" s="3" t="str">
        <f aca="false">HYPERLINK("https://www.fabsurplus.com/sdi_catalog/salesItemDetails.do?id=109691")</f>
        <v>https://www.fabsurplus.com/sdi_catalog/salesItemDetails.do?id=109691</v>
      </c>
      <c r="B155" s="3" t="s">
        <v>447</v>
      </c>
      <c r="C155" s="3" t="s">
        <v>320</v>
      </c>
      <c r="D155" s="3" t="s">
        <v>444</v>
      </c>
      <c r="E155" s="3" t="s">
        <v>40</v>
      </c>
      <c r="F155" s="3" t="s">
        <v>16</v>
      </c>
      <c r="G155" s="3" t="s">
        <v>41</v>
      </c>
      <c r="H155" s="3"/>
      <c r="I155" s="3"/>
      <c r="J155" s="3" t="s">
        <v>42</v>
      </c>
      <c r="K155" s="3"/>
      <c r="L155" s="3" t="s">
        <v>437</v>
      </c>
    </row>
    <row r="156" customFormat="false" ht="11.9" hidden="false" customHeight="true" outlineLevel="0" collapsed="false">
      <c r="A156" s="2" t="str">
        <f aca="false">HYPERLINK("https://www.fabsurplus.com/sdi_catalog/salesItemDetails.do?id=109694")</f>
        <v>https://www.fabsurplus.com/sdi_catalog/salesItemDetails.do?id=109694</v>
      </c>
      <c r="B156" s="2" t="s">
        <v>448</v>
      </c>
      <c r="C156" s="2" t="s">
        <v>320</v>
      </c>
      <c r="D156" s="2" t="s">
        <v>449</v>
      </c>
      <c r="E156" s="2" t="s">
        <v>47</v>
      </c>
      <c r="F156" s="2" t="s">
        <v>16</v>
      </c>
      <c r="G156" s="2" t="s">
        <v>41</v>
      </c>
      <c r="H156" s="2"/>
      <c r="I156" s="2"/>
      <c r="J156" s="2" t="s">
        <v>42</v>
      </c>
      <c r="K156" s="2"/>
      <c r="L156" s="2" t="s">
        <v>450</v>
      </c>
    </row>
    <row r="157" customFormat="false" ht="11.9" hidden="false" customHeight="true" outlineLevel="0" collapsed="false">
      <c r="A157" s="2" t="str">
        <f aca="false">HYPERLINK("https://www.fabsurplus.com/sdi_catalog/salesItemDetails.do?id=109698")</f>
        <v>https://www.fabsurplus.com/sdi_catalog/salesItemDetails.do?id=109698</v>
      </c>
      <c r="B157" s="2" t="s">
        <v>451</v>
      </c>
      <c r="C157" s="2" t="s">
        <v>320</v>
      </c>
      <c r="D157" s="2" t="s">
        <v>452</v>
      </c>
      <c r="E157" s="2" t="s">
        <v>47</v>
      </c>
      <c r="F157" s="2" t="s">
        <v>16</v>
      </c>
      <c r="G157" s="2" t="s">
        <v>41</v>
      </c>
      <c r="H157" s="2"/>
      <c r="I157" s="2"/>
      <c r="J157" s="2" t="s">
        <v>42</v>
      </c>
      <c r="K157" s="2"/>
      <c r="L157" s="2" t="s">
        <v>453</v>
      </c>
    </row>
    <row r="158" customFormat="false" ht="11.9" hidden="false" customHeight="true" outlineLevel="0" collapsed="false">
      <c r="A158" s="3" t="str">
        <f aca="false">HYPERLINK("https://www.fabsurplus.com/sdi_catalog/salesItemDetails.do?id=109697")</f>
        <v>https://www.fabsurplus.com/sdi_catalog/salesItemDetails.do?id=109697</v>
      </c>
      <c r="B158" s="3" t="s">
        <v>454</v>
      </c>
      <c r="C158" s="3" t="s">
        <v>320</v>
      </c>
      <c r="D158" s="3" t="s">
        <v>452</v>
      </c>
      <c r="E158" s="3" t="s">
        <v>47</v>
      </c>
      <c r="F158" s="3" t="s">
        <v>16</v>
      </c>
      <c r="G158" s="3" t="s">
        <v>41</v>
      </c>
      <c r="H158" s="3"/>
      <c r="I158" s="3"/>
      <c r="J158" s="3" t="s">
        <v>42</v>
      </c>
      <c r="K158" s="3"/>
      <c r="L158" s="5" t="s">
        <v>455</v>
      </c>
    </row>
    <row r="159" customFormat="false" ht="11.9" hidden="false" customHeight="true" outlineLevel="0" collapsed="false">
      <c r="A159" s="2" t="str">
        <f aca="false">HYPERLINK("https://www.fabsurplus.com/sdi_catalog/salesItemDetails.do?id=109696")</f>
        <v>https://www.fabsurplus.com/sdi_catalog/salesItemDetails.do?id=109696</v>
      </c>
      <c r="B159" s="2" t="s">
        <v>456</v>
      </c>
      <c r="C159" s="2" t="s">
        <v>320</v>
      </c>
      <c r="D159" s="2" t="s">
        <v>452</v>
      </c>
      <c r="E159" s="2" t="s">
        <v>47</v>
      </c>
      <c r="F159" s="2" t="s">
        <v>16</v>
      </c>
      <c r="G159" s="2" t="s">
        <v>41</v>
      </c>
      <c r="H159" s="2"/>
      <c r="I159" s="2"/>
      <c r="J159" s="2" t="s">
        <v>42</v>
      </c>
      <c r="K159" s="2"/>
      <c r="L159" s="2" t="s">
        <v>453</v>
      </c>
    </row>
    <row r="160" customFormat="false" ht="11.9" hidden="false" customHeight="true" outlineLevel="0" collapsed="false">
      <c r="A160" s="3" t="str">
        <f aca="false">HYPERLINK("https://www.fabsurplus.com/sdi_catalog/salesItemDetails.do?id=109695")</f>
        <v>https://www.fabsurplus.com/sdi_catalog/salesItemDetails.do?id=109695</v>
      </c>
      <c r="B160" s="3" t="s">
        <v>457</v>
      </c>
      <c r="C160" s="3" t="s">
        <v>320</v>
      </c>
      <c r="D160" s="3" t="s">
        <v>452</v>
      </c>
      <c r="E160" s="3" t="s">
        <v>47</v>
      </c>
      <c r="F160" s="3" t="s">
        <v>16</v>
      </c>
      <c r="G160" s="3" t="s">
        <v>41</v>
      </c>
      <c r="H160" s="3"/>
      <c r="I160" s="3"/>
      <c r="J160" s="3" t="s">
        <v>42</v>
      </c>
      <c r="K160" s="3"/>
      <c r="L160" s="3" t="s">
        <v>458</v>
      </c>
    </row>
    <row r="161" customFormat="false" ht="11.9" hidden="false" customHeight="true" outlineLevel="0" collapsed="false">
      <c r="A161" s="2" t="str">
        <f aca="false">HYPERLINK("https://www.fabsurplus.com/sdi_catalog/salesItemDetails.do?id=109702")</f>
        <v>https://www.fabsurplus.com/sdi_catalog/salesItemDetails.do?id=109702</v>
      </c>
      <c r="B161" s="2" t="s">
        <v>459</v>
      </c>
      <c r="C161" s="2" t="s">
        <v>320</v>
      </c>
      <c r="D161" s="2" t="s">
        <v>460</v>
      </c>
      <c r="E161" s="2" t="s">
        <v>47</v>
      </c>
      <c r="F161" s="2" t="s">
        <v>16</v>
      </c>
      <c r="G161" s="2" t="s">
        <v>41</v>
      </c>
      <c r="H161" s="2"/>
      <c r="I161" s="2"/>
      <c r="J161" s="2" t="s">
        <v>42</v>
      </c>
      <c r="K161" s="2"/>
      <c r="L161" s="2" t="s">
        <v>461</v>
      </c>
    </row>
    <row r="162" customFormat="false" ht="11.9" hidden="false" customHeight="true" outlineLevel="0" collapsed="false">
      <c r="A162" s="3" t="str">
        <f aca="false">HYPERLINK("https://www.fabsurplus.com/sdi_catalog/salesItemDetails.do?id=109701")</f>
        <v>https://www.fabsurplus.com/sdi_catalog/salesItemDetails.do?id=109701</v>
      </c>
      <c r="B162" s="3" t="s">
        <v>462</v>
      </c>
      <c r="C162" s="3" t="s">
        <v>320</v>
      </c>
      <c r="D162" s="3" t="s">
        <v>460</v>
      </c>
      <c r="E162" s="3" t="s">
        <v>47</v>
      </c>
      <c r="F162" s="3" t="s">
        <v>16</v>
      </c>
      <c r="G162" s="3" t="s">
        <v>41</v>
      </c>
      <c r="H162" s="3"/>
      <c r="I162" s="3"/>
      <c r="J162" s="3" t="s">
        <v>42</v>
      </c>
      <c r="K162" s="3"/>
      <c r="L162" s="3" t="s">
        <v>461</v>
      </c>
    </row>
    <row r="163" customFormat="false" ht="11.9" hidden="false" customHeight="true" outlineLevel="0" collapsed="false">
      <c r="A163" s="2" t="str">
        <f aca="false">HYPERLINK("https://www.fabsurplus.com/sdi_catalog/salesItemDetails.do?id=109700")</f>
        <v>https://www.fabsurplus.com/sdi_catalog/salesItemDetails.do?id=109700</v>
      </c>
      <c r="B163" s="2" t="s">
        <v>463</v>
      </c>
      <c r="C163" s="2" t="s">
        <v>320</v>
      </c>
      <c r="D163" s="2" t="s">
        <v>460</v>
      </c>
      <c r="E163" s="2" t="s">
        <v>47</v>
      </c>
      <c r="F163" s="2" t="s">
        <v>16</v>
      </c>
      <c r="G163" s="2" t="s">
        <v>41</v>
      </c>
      <c r="H163" s="2"/>
      <c r="I163" s="2"/>
      <c r="J163" s="2" t="s">
        <v>42</v>
      </c>
      <c r="K163" s="2"/>
      <c r="L163" s="2" t="s">
        <v>461</v>
      </c>
    </row>
    <row r="164" customFormat="false" ht="11.9" hidden="false" customHeight="true" outlineLevel="0" collapsed="false">
      <c r="A164" s="3" t="str">
        <f aca="false">HYPERLINK("https://www.fabsurplus.com/sdi_catalog/salesItemDetails.do?id=109699")</f>
        <v>https://www.fabsurplus.com/sdi_catalog/salesItemDetails.do?id=109699</v>
      </c>
      <c r="B164" s="3" t="s">
        <v>464</v>
      </c>
      <c r="C164" s="3" t="s">
        <v>320</v>
      </c>
      <c r="D164" s="3" t="s">
        <v>460</v>
      </c>
      <c r="E164" s="3" t="s">
        <v>47</v>
      </c>
      <c r="F164" s="3" t="s">
        <v>16</v>
      </c>
      <c r="G164" s="3" t="s">
        <v>41</v>
      </c>
      <c r="H164" s="3"/>
      <c r="I164" s="3"/>
      <c r="J164" s="3" t="s">
        <v>42</v>
      </c>
      <c r="K164" s="3"/>
      <c r="L164" s="3" t="s">
        <v>461</v>
      </c>
    </row>
    <row r="165" customFormat="false" ht="11.9" hidden="false" customHeight="true" outlineLevel="0" collapsed="false">
      <c r="A165" s="3" t="str">
        <f aca="false">HYPERLINK("https://www.fabsurplus.com/sdi_catalog/salesItemDetails.do?id=109704")</f>
        <v>https://www.fabsurplus.com/sdi_catalog/salesItemDetails.do?id=109704</v>
      </c>
      <c r="B165" s="3" t="s">
        <v>465</v>
      </c>
      <c r="C165" s="3" t="s">
        <v>320</v>
      </c>
      <c r="D165" s="3" t="s">
        <v>136</v>
      </c>
      <c r="E165" s="3" t="s">
        <v>47</v>
      </c>
      <c r="F165" s="3" t="s">
        <v>16</v>
      </c>
      <c r="G165" s="3" t="s">
        <v>41</v>
      </c>
      <c r="H165" s="3"/>
      <c r="I165" s="3"/>
      <c r="J165" s="3" t="s">
        <v>42</v>
      </c>
      <c r="K165" s="3"/>
      <c r="L165" s="3" t="s">
        <v>466</v>
      </c>
    </row>
    <row r="166" customFormat="false" ht="11.9" hidden="false" customHeight="true" outlineLevel="0" collapsed="false">
      <c r="A166" s="2" t="str">
        <f aca="false">HYPERLINK("https://www.fabsurplus.com/sdi_catalog/salesItemDetails.do?id=109705")</f>
        <v>https://www.fabsurplus.com/sdi_catalog/salesItemDetails.do?id=109705</v>
      </c>
      <c r="B166" s="2" t="s">
        <v>467</v>
      </c>
      <c r="C166" s="2" t="s">
        <v>320</v>
      </c>
      <c r="D166" s="2" t="s">
        <v>468</v>
      </c>
      <c r="E166" s="2" t="s">
        <v>47</v>
      </c>
      <c r="F166" s="2" t="s">
        <v>16</v>
      </c>
      <c r="G166" s="2" t="s">
        <v>41</v>
      </c>
      <c r="H166" s="2"/>
      <c r="I166" s="2"/>
      <c r="J166" s="2" t="s">
        <v>42</v>
      </c>
      <c r="K166" s="2"/>
      <c r="L166" s="2" t="s">
        <v>469</v>
      </c>
    </row>
    <row r="167" customFormat="false" ht="11.9" hidden="false" customHeight="true" outlineLevel="0" collapsed="false">
      <c r="A167" s="3" t="str">
        <f aca="false">HYPERLINK("https://www.fabsurplus.com/sdi_catalog/salesItemDetails.do?id=109710")</f>
        <v>https://www.fabsurplus.com/sdi_catalog/salesItemDetails.do?id=109710</v>
      </c>
      <c r="B167" s="3" t="s">
        <v>470</v>
      </c>
      <c r="C167" s="3" t="s">
        <v>320</v>
      </c>
      <c r="D167" s="3" t="s">
        <v>471</v>
      </c>
      <c r="E167" s="3" t="s">
        <v>47</v>
      </c>
      <c r="F167" s="3" t="s">
        <v>16</v>
      </c>
      <c r="G167" s="3" t="s">
        <v>41</v>
      </c>
      <c r="H167" s="3"/>
      <c r="I167" s="3"/>
      <c r="J167" s="3" t="s">
        <v>42</v>
      </c>
      <c r="K167" s="3"/>
      <c r="L167" s="3" t="s">
        <v>472</v>
      </c>
    </row>
    <row r="168" customFormat="false" ht="11.9" hidden="false" customHeight="true" outlineLevel="0" collapsed="false">
      <c r="A168" s="2" t="str">
        <f aca="false">HYPERLINK("https://www.fabsurplus.com/sdi_catalog/salesItemDetails.do?id=109709")</f>
        <v>https://www.fabsurplus.com/sdi_catalog/salesItemDetails.do?id=109709</v>
      </c>
      <c r="B168" s="2" t="s">
        <v>473</v>
      </c>
      <c r="C168" s="2" t="s">
        <v>320</v>
      </c>
      <c r="D168" s="2" t="s">
        <v>471</v>
      </c>
      <c r="E168" s="2" t="s">
        <v>47</v>
      </c>
      <c r="F168" s="2" t="s">
        <v>16</v>
      </c>
      <c r="G168" s="2" t="s">
        <v>41</v>
      </c>
      <c r="H168" s="2"/>
      <c r="I168" s="2"/>
      <c r="J168" s="2" t="s">
        <v>42</v>
      </c>
      <c r="K168" s="2"/>
      <c r="L168" s="2" t="s">
        <v>474</v>
      </c>
    </row>
    <row r="169" customFormat="false" ht="11.9" hidden="false" customHeight="true" outlineLevel="0" collapsed="false">
      <c r="A169" s="3" t="str">
        <f aca="false">HYPERLINK("https://www.fabsurplus.com/sdi_catalog/salesItemDetails.do?id=109708")</f>
        <v>https://www.fabsurplus.com/sdi_catalog/salesItemDetails.do?id=109708</v>
      </c>
      <c r="B169" s="3" t="s">
        <v>475</v>
      </c>
      <c r="C169" s="3" t="s">
        <v>320</v>
      </c>
      <c r="D169" s="3" t="s">
        <v>471</v>
      </c>
      <c r="E169" s="3" t="s">
        <v>47</v>
      </c>
      <c r="F169" s="3" t="s">
        <v>16</v>
      </c>
      <c r="G169" s="3" t="s">
        <v>41</v>
      </c>
      <c r="H169" s="3"/>
      <c r="I169" s="3"/>
      <c r="J169" s="3" t="s">
        <v>42</v>
      </c>
      <c r="K169" s="3"/>
      <c r="L169" s="3" t="s">
        <v>476</v>
      </c>
    </row>
    <row r="170" customFormat="false" ht="11.9" hidden="false" customHeight="true" outlineLevel="0" collapsed="false">
      <c r="A170" s="2" t="str">
        <f aca="false">HYPERLINK("https://www.fabsurplus.com/sdi_catalog/salesItemDetails.do?id=109707")</f>
        <v>https://www.fabsurplus.com/sdi_catalog/salesItemDetails.do?id=109707</v>
      </c>
      <c r="B170" s="2" t="s">
        <v>477</v>
      </c>
      <c r="C170" s="2" t="s">
        <v>320</v>
      </c>
      <c r="D170" s="2" t="s">
        <v>471</v>
      </c>
      <c r="E170" s="2" t="s">
        <v>47</v>
      </c>
      <c r="F170" s="2" t="s">
        <v>16</v>
      </c>
      <c r="G170" s="2" t="s">
        <v>41</v>
      </c>
      <c r="H170" s="2"/>
      <c r="I170" s="2"/>
      <c r="J170" s="2" t="s">
        <v>42</v>
      </c>
      <c r="K170" s="2"/>
      <c r="L170" s="2" t="s">
        <v>476</v>
      </c>
    </row>
    <row r="171" customFormat="false" ht="11.9" hidden="false" customHeight="true" outlineLevel="0" collapsed="false">
      <c r="A171" s="3" t="str">
        <f aca="false">HYPERLINK("https://www.fabsurplus.com/sdi_catalog/salesItemDetails.do?id=109706")</f>
        <v>https://www.fabsurplus.com/sdi_catalog/salesItemDetails.do?id=109706</v>
      </c>
      <c r="B171" s="3" t="s">
        <v>478</v>
      </c>
      <c r="C171" s="3" t="s">
        <v>320</v>
      </c>
      <c r="D171" s="3" t="s">
        <v>471</v>
      </c>
      <c r="E171" s="3" t="s">
        <v>47</v>
      </c>
      <c r="F171" s="3" t="s">
        <v>16</v>
      </c>
      <c r="G171" s="3" t="s">
        <v>41</v>
      </c>
      <c r="H171" s="3"/>
      <c r="I171" s="3"/>
      <c r="J171" s="3" t="s">
        <v>42</v>
      </c>
      <c r="K171" s="3"/>
      <c r="L171" s="3" t="s">
        <v>476</v>
      </c>
    </row>
    <row r="172" customFormat="false" ht="11.9" hidden="false" customHeight="true" outlineLevel="0" collapsed="false">
      <c r="A172" s="2" t="str">
        <f aca="false">HYPERLINK("https://www.fabsurplus.com/sdi_catalog/salesItemDetails.do?id=109711")</f>
        <v>https://www.fabsurplus.com/sdi_catalog/salesItemDetails.do?id=109711</v>
      </c>
      <c r="B172" s="2" t="s">
        <v>479</v>
      </c>
      <c r="C172" s="2" t="s">
        <v>320</v>
      </c>
      <c r="D172" s="2" t="s">
        <v>480</v>
      </c>
      <c r="E172" s="2" t="s">
        <v>47</v>
      </c>
      <c r="F172" s="2" t="s">
        <v>16</v>
      </c>
      <c r="G172" s="2" t="s">
        <v>41</v>
      </c>
      <c r="H172" s="2"/>
      <c r="I172" s="2"/>
      <c r="J172" s="2" t="s">
        <v>42</v>
      </c>
      <c r="K172" s="2"/>
      <c r="L172" s="2" t="s">
        <v>481</v>
      </c>
    </row>
    <row r="173" customFormat="false" ht="11.9" hidden="false" customHeight="true" outlineLevel="0" collapsed="false">
      <c r="A173" s="3" t="str">
        <f aca="false">HYPERLINK("https://www.fabsurplus.com/sdi_catalog/salesItemDetails.do?id=109712")</f>
        <v>https://www.fabsurplus.com/sdi_catalog/salesItemDetails.do?id=109712</v>
      </c>
      <c r="B173" s="3" t="s">
        <v>482</v>
      </c>
      <c r="C173" s="3" t="s">
        <v>320</v>
      </c>
      <c r="D173" s="3" t="s">
        <v>483</v>
      </c>
      <c r="E173" s="3" t="s">
        <v>47</v>
      </c>
      <c r="F173" s="3" t="s">
        <v>16</v>
      </c>
      <c r="G173" s="3" t="s">
        <v>41</v>
      </c>
      <c r="H173" s="3"/>
      <c r="I173" s="3"/>
      <c r="J173" s="3" t="s">
        <v>42</v>
      </c>
      <c r="K173" s="3"/>
      <c r="L173" s="3" t="s">
        <v>484</v>
      </c>
    </row>
    <row r="174" customFormat="false" ht="11.9" hidden="false" customHeight="true" outlineLevel="0" collapsed="false">
      <c r="A174" s="2" t="str">
        <f aca="false">HYPERLINK("https://www.fabsurplus.com/sdi_catalog/salesItemDetails.do?id=109713")</f>
        <v>https://www.fabsurplus.com/sdi_catalog/salesItemDetails.do?id=109713</v>
      </c>
      <c r="B174" s="2" t="s">
        <v>485</v>
      </c>
      <c r="C174" s="2" t="s">
        <v>320</v>
      </c>
      <c r="D174" s="2" t="s">
        <v>486</v>
      </c>
      <c r="E174" s="2" t="s">
        <v>47</v>
      </c>
      <c r="F174" s="2" t="s">
        <v>16</v>
      </c>
      <c r="G174" s="2" t="s">
        <v>41</v>
      </c>
      <c r="H174" s="2"/>
      <c r="I174" s="2"/>
      <c r="J174" s="2" t="s">
        <v>42</v>
      </c>
      <c r="K174" s="2"/>
      <c r="L174" s="2" t="s">
        <v>487</v>
      </c>
    </row>
    <row r="175" customFormat="false" ht="11.9" hidden="false" customHeight="true" outlineLevel="0" collapsed="false">
      <c r="A175" s="3" t="str">
        <f aca="false">HYPERLINK("https://www.fabsurplus.com/sdi_catalog/salesItemDetails.do?id=109714")</f>
        <v>https://www.fabsurplus.com/sdi_catalog/salesItemDetails.do?id=109714</v>
      </c>
      <c r="B175" s="3" t="s">
        <v>488</v>
      </c>
      <c r="C175" s="3" t="s">
        <v>320</v>
      </c>
      <c r="D175" s="3" t="s">
        <v>489</v>
      </c>
      <c r="E175" s="3" t="s">
        <v>47</v>
      </c>
      <c r="F175" s="3" t="s">
        <v>16</v>
      </c>
      <c r="G175" s="3" t="s">
        <v>41</v>
      </c>
      <c r="H175" s="3"/>
      <c r="I175" s="3"/>
      <c r="J175" s="3" t="s">
        <v>42</v>
      </c>
      <c r="K175" s="3"/>
      <c r="L175" s="3" t="s">
        <v>349</v>
      </c>
    </row>
    <row r="176" customFormat="false" ht="11.9" hidden="false" customHeight="true" outlineLevel="0" collapsed="false">
      <c r="A176" s="3" t="str">
        <f aca="false">HYPERLINK("https://www.fabsurplus.com/sdi_catalog/salesItemDetails.do?id=109718")</f>
        <v>https://www.fabsurplus.com/sdi_catalog/salesItemDetails.do?id=109718</v>
      </c>
      <c r="B176" s="3" t="s">
        <v>490</v>
      </c>
      <c r="C176" s="3" t="s">
        <v>320</v>
      </c>
      <c r="D176" s="3" t="s">
        <v>491</v>
      </c>
      <c r="E176" s="3" t="s">
        <v>47</v>
      </c>
      <c r="F176" s="3" t="s">
        <v>16</v>
      </c>
      <c r="G176" s="3" t="s">
        <v>41</v>
      </c>
      <c r="H176" s="3"/>
      <c r="I176" s="3"/>
      <c r="J176" s="3" t="s">
        <v>42</v>
      </c>
      <c r="K176" s="3"/>
      <c r="L176" s="3" t="s">
        <v>492</v>
      </c>
    </row>
    <row r="177" customFormat="false" ht="11.9" hidden="false" customHeight="true" outlineLevel="0" collapsed="false">
      <c r="A177" s="2" t="str">
        <f aca="false">HYPERLINK("https://www.fabsurplus.com/sdi_catalog/salesItemDetails.do?id=109717")</f>
        <v>https://www.fabsurplus.com/sdi_catalog/salesItemDetails.do?id=109717</v>
      </c>
      <c r="B177" s="2" t="s">
        <v>493</v>
      </c>
      <c r="C177" s="2" t="s">
        <v>320</v>
      </c>
      <c r="D177" s="2" t="s">
        <v>491</v>
      </c>
      <c r="E177" s="2" t="s">
        <v>47</v>
      </c>
      <c r="F177" s="2" t="s">
        <v>16</v>
      </c>
      <c r="G177" s="2" t="s">
        <v>41</v>
      </c>
      <c r="H177" s="2"/>
      <c r="I177" s="2"/>
      <c r="J177" s="2" t="s">
        <v>42</v>
      </c>
      <c r="K177" s="2"/>
      <c r="L177" s="2" t="s">
        <v>494</v>
      </c>
    </row>
    <row r="178" customFormat="false" ht="11.9" hidden="false" customHeight="true" outlineLevel="0" collapsed="false">
      <c r="A178" s="3" t="str">
        <f aca="false">HYPERLINK("https://www.fabsurplus.com/sdi_catalog/salesItemDetails.do?id=109716")</f>
        <v>https://www.fabsurplus.com/sdi_catalog/salesItemDetails.do?id=109716</v>
      </c>
      <c r="B178" s="3" t="s">
        <v>495</v>
      </c>
      <c r="C178" s="3" t="s">
        <v>320</v>
      </c>
      <c r="D178" s="3" t="s">
        <v>491</v>
      </c>
      <c r="E178" s="3" t="s">
        <v>47</v>
      </c>
      <c r="F178" s="3" t="s">
        <v>16</v>
      </c>
      <c r="G178" s="3" t="s">
        <v>41</v>
      </c>
      <c r="H178" s="3"/>
      <c r="I178" s="3"/>
      <c r="J178" s="3" t="s">
        <v>42</v>
      </c>
      <c r="K178" s="3"/>
      <c r="L178" s="3" t="s">
        <v>494</v>
      </c>
    </row>
    <row r="179" customFormat="false" ht="11.9" hidden="false" customHeight="true" outlineLevel="0" collapsed="false">
      <c r="A179" s="2" t="str">
        <f aca="false">HYPERLINK("https://www.fabsurplus.com/sdi_catalog/salesItemDetails.do?id=109715")</f>
        <v>https://www.fabsurplus.com/sdi_catalog/salesItemDetails.do?id=109715</v>
      </c>
      <c r="B179" s="2" t="s">
        <v>496</v>
      </c>
      <c r="C179" s="2" t="s">
        <v>320</v>
      </c>
      <c r="D179" s="2" t="s">
        <v>491</v>
      </c>
      <c r="E179" s="2" t="s">
        <v>47</v>
      </c>
      <c r="F179" s="2" t="s">
        <v>16</v>
      </c>
      <c r="G179" s="2" t="s">
        <v>41</v>
      </c>
      <c r="H179" s="2"/>
      <c r="I179" s="2"/>
      <c r="J179" s="2" t="s">
        <v>42</v>
      </c>
      <c r="K179" s="2"/>
      <c r="L179" s="2" t="s">
        <v>497</v>
      </c>
    </row>
    <row r="180" customFormat="false" ht="11.9" hidden="false" customHeight="true" outlineLevel="0" collapsed="false">
      <c r="A180" s="2" t="str">
        <f aca="false">HYPERLINK("https://www.fabsurplus.com/sdi_catalog/salesItemDetails.do?id=109719")</f>
        <v>https://www.fabsurplus.com/sdi_catalog/salesItemDetails.do?id=109719</v>
      </c>
      <c r="B180" s="2" t="s">
        <v>498</v>
      </c>
      <c r="C180" s="2" t="s">
        <v>320</v>
      </c>
      <c r="D180" s="2" t="s">
        <v>499</v>
      </c>
      <c r="E180" s="2" t="s">
        <v>40</v>
      </c>
      <c r="F180" s="2" t="s">
        <v>16</v>
      </c>
      <c r="G180" s="2" t="s">
        <v>41</v>
      </c>
      <c r="H180" s="2"/>
      <c r="I180" s="2"/>
      <c r="J180" s="2" t="s">
        <v>42</v>
      </c>
      <c r="K180" s="2"/>
      <c r="L180" s="2" t="s">
        <v>500</v>
      </c>
    </row>
    <row r="181" customFormat="false" ht="11.9" hidden="false" customHeight="true" outlineLevel="0" collapsed="false">
      <c r="A181" s="3" t="str">
        <f aca="false">HYPERLINK("https://www.fabsurplus.com/sdi_catalog/salesItemDetails.do?id=109720")</f>
        <v>https://www.fabsurplus.com/sdi_catalog/salesItemDetails.do?id=109720</v>
      </c>
      <c r="B181" s="3" t="s">
        <v>501</v>
      </c>
      <c r="C181" s="3" t="s">
        <v>320</v>
      </c>
      <c r="D181" s="3" t="s">
        <v>502</v>
      </c>
      <c r="E181" s="3" t="s">
        <v>47</v>
      </c>
      <c r="F181" s="3" t="s">
        <v>16</v>
      </c>
      <c r="G181" s="3" t="s">
        <v>41</v>
      </c>
      <c r="H181" s="3"/>
      <c r="I181" s="3"/>
      <c r="J181" s="3" t="s">
        <v>42</v>
      </c>
      <c r="K181" s="3"/>
      <c r="L181" s="3" t="s">
        <v>503</v>
      </c>
    </row>
    <row r="182" customFormat="false" ht="11.9" hidden="false" customHeight="true" outlineLevel="0" collapsed="false">
      <c r="A182" s="2" t="str">
        <f aca="false">HYPERLINK("https://www.fabsurplus.com/sdi_catalog/salesItemDetails.do?id=109721")</f>
        <v>https://www.fabsurplus.com/sdi_catalog/salesItemDetails.do?id=109721</v>
      </c>
      <c r="B182" s="2" t="s">
        <v>504</v>
      </c>
      <c r="C182" s="2" t="s">
        <v>320</v>
      </c>
      <c r="D182" s="2" t="s">
        <v>505</v>
      </c>
      <c r="E182" s="2" t="s">
        <v>40</v>
      </c>
      <c r="F182" s="2" t="s">
        <v>16</v>
      </c>
      <c r="G182" s="2" t="s">
        <v>41</v>
      </c>
      <c r="H182" s="2"/>
      <c r="I182" s="2"/>
      <c r="J182" s="2" t="s">
        <v>42</v>
      </c>
      <c r="K182" s="2"/>
      <c r="L182" s="2" t="s">
        <v>506</v>
      </c>
    </row>
    <row r="183" customFormat="false" ht="11.9" hidden="false" customHeight="true" outlineLevel="0" collapsed="false">
      <c r="A183" s="3" t="str">
        <f aca="false">HYPERLINK("https://www.fabsurplus.com/sdi_catalog/salesItemDetails.do?id=109722")</f>
        <v>https://www.fabsurplus.com/sdi_catalog/salesItemDetails.do?id=109722</v>
      </c>
      <c r="B183" s="3" t="s">
        <v>507</v>
      </c>
      <c r="C183" s="3" t="s">
        <v>320</v>
      </c>
      <c r="D183" s="3" t="s">
        <v>508</v>
      </c>
      <c r="E183" s="3" t="s">
        <v>47</v>
      </c>
      <c r="F183" s="3" t="s">
        <v>16</v>
      </c>
      <c r="G183" s="3" t="s">
        <v>41</v>
      </c>
      <c r="H183" s="3"/>
      <c r="I183" s="3"/>
      <c r="J183" s="3" t="s">
        <v>42</v>
      </c>
      <c r="K183" s="3"/>
      <c r="L183" s="3" t="s">
        <v>509</v>
      </c>
    </row>
    <row r="184" customFormat="false" ht="11.9" hidden="false" customHeight="true" outlineLevel="0" collapsed="false">
      <c r="A184" s="2" t="str">
        <f aca="false">HYPERLINK("https://www.fabsurplus.com/sdi_catalog/salesItemDetails.do?id=109723")</f>
        <v>https://www.fabsurplus.com/sdi_catalog/salesItemDetails.do?id=109723</v>
      </c>
      <c r="B184" s="2" t="s">
        <v>510</v>
      </c>
      <c r="C184" s="2" t="s">
        <v>320</v>
      </c>
      <c r="D184" s="2" t="s">
        <v>511</v>
      </c>
      <c r="E184" s="2" t="s">
        <v>47</v>
      </c>
      <c r="F184" s="2" t="s">
        <v>16</v>
      </c>
      <c r="G184" s="2" t="s">
        <v>41</v>
      </c>
      <c r="H184" s="2"/>
      <c r="I184" s="2"/>
      <c r="J184" s="2" t="s">
        <v>42</v>
      </c>
      <c r="K184" s="2"/>
      <c r="L184" s="2" t="s">
        <v>512</v>
      </c>
    </row>
    <row r="185" customFormat="false" ht="11.9" hidden="false" customHeight="true" outlineLevel="0" collapsed="false">
      <c r="A185" s="3" t="str">
        <f aca="false">HYPERLINK("https://www.fabsurplus.com/sdi_catalog/salesItemDetails.do?id=109724")</f>
        <v>https://www.fabsurplus.com/sdi_catalog/salesItemDetails.do?id=109724</v>
      </c>
      <c r="B185" s="3" t="s">
        <v>513</v>
      </c>
      <c r="C185" s="3" t="s">
        <v>320</v>
      </c>
      <c r="D185" s="3" t="s">
        <v>514</v>
      </c>
      <c r="E185" s="3" t="s">
        <v>47</v>
      </c>
      <c r="F185" s="3" t="s">
        <v>16</v>
      </c>
      <c r="G185" s="3" t="s">
        <v>41</v>
      </c>
      <c r="H185" s="3"/>
      <c r="I185" s="3"/>
      <c r="J185" s="3" t="s">
        <v>42</v>
      </c>
      <c r="K185" s="3"/>
      <c r="L185" s="3" t="s">
        <v>515</v>
      </c>
    </row>
    <row r="186" customFormat="false" ht="11.9" hidden="false" customHeight="true" outlineLevel="0" collapsed="false">
      <c r="A186" s="2" t="str">
        <f aca="false">HYPERLINK("https://www.fabsurplus.com/sdi_catalog/salesItemDetails.do?id=109725")</f>
        <v>https://www.fabsurplus.com/sdi_catalog/salesItemDetails.do?id=109725</v>
      </c>
      <c r="B186" s="2" t="s">
        <v>516</v>
      </c>
      <c r="C186" s="2" t="s">
        <v>320</v>
      </c>
      <c r="D186" s="2" t="s">
        <v>517</v>
      </c>
      <c r="E186" s="2" t="s">
        <v>47</v>
      </c>
      <c r="F186" s="2" t="s">
        <v>16</v>
      </c>
      <c r="G186" s="2" t="s">
        <v>41</v>
      </c>
      <c r="H186" s="2"/>
      <c r="I186" s="2"/>
      <c r="J186" s="2" t="s">
        <v>42</v>
      </c>
      <c r="K186" s="2"/>
      <c r="L186" s="2" t="s">
        <v>518</v>
      </c>
    </row>
    <row r="187" customFormat="false" ht="11.9" hidden="false" customHeight="true" outlineLevel="0" collapsed="false">
      <c r="A187" s="2" t="str">
        <f aca="false">HYPERLINK("https://www.fabsurplus.com/sdi_catalog/salesItemDetails.do?id=109735")</f>
        <v>https://www.fabsurplus.com/sdi_catalog/salesItemDetails.do?id=109735</v>
      </c>
      <c r="B187" s="2" t="s">
        <v>519</v>
      </c>
      <c r="C187" s="2" t="s">
        <v>320</v>
      </c>
      <c r="D187" s="2" t="s">
        <v>520</v>
      </c>
      <c r="E187" s="2" t="s">
        <v>47</v>
      </c>
      <c r="F187" s="2" t="s">
        <v>16</v>
      </c>
      <c r="G187" s="2" t="s">
        <v>41</v>
      </c>
      <c r="H187" s="2"/>
      <c r="I187" s="2"/>
      <c r="J187" s="2" t="s">
        <v>42</v>
      </c>
      <c r="K187" s="2"/>
      <c r="L187" s="2" t="s">
        <v>521</v>
      </c>
    </row>
    <row r="188" customFormat="false" ht="11.9" hidden="false" customHeight="true" outlineLevel="0" collapsed="false">
      <c r="A188" s="3" t="str">
        <f aca="false">HYPERLINK("https://www.fabsurplus.com/sdi_catalog/salesItemDetails.do?id=109734")</f>
        <v>https://www.fabsurplus.com/sdi_catalog/salesItemDetails.do?id=109734</v>
      </c>
      <c r="B188" s="3" t="s">
        <v>522</v>
      </c>
      <c r="C188" s="3" t="s">
        <v>320</v>
      </c>
      <c r="D188" s="3" t="s">
        <v>520</v>
      </c>
      <c r="E188" s="3" t="s">
        <v>47</v>
      </c>
      <c r="F188" s="3" t="s">
        <v>16</v>
      </c>
      <c r="G188" s="3" t="s">
        <v>41</v>
      </c>
      <c r="H188" s="3"/>
      <c r="I188" s="3"/>
      <c r="J188" s="3" t="s">
        <v>42</v>
      </c>
      <c r="K188" s="3"/>
      <c r="L188" s="3" t="s">
        <v>523</v>
      </c>
    </row>
    <row r="189" customFormat="false" ht="11.9" hidden="false" customHeight="true" outlineLevel="0" collapsed="false">
      <c r="A189" s="2" t="str">
        <f aca="false">HYPERLINK("https://www.fabsurplus.com/sdi_catalog/salesItemDetails.do?id=109733")</f>
        <v>https://www.fabsurplus.com/sdi_catalog/salesItemDetails.do?id=109733</v>
      </c>
      <c r="B189" s="2" t="s">
        <v>524</v>
      </c>
      <c r="C189" s="2" t="s">
        <v>320</v>
      </c>
      <c r="D189" s="2" t="s">
        <v>520</v>
      </c>
      <c r="E189" s="2" t="s">
        <v>47</v>
      </c>
      <c r="F189" s="2" t="s">
        <v>16</v>
      </c>
      <c r="G189" s="2" t="s">
        <v>41</v>
      </c>
      <c r="H189" s="2"/>
      <c r="I189" s="2"/>
      <c r="J189" s="2" t="s">
        <v>42</v>
      </c>
      <c r="K189" s="2"/>
      <c r="L189" s="2" t="s">
        <v>525</v>
      </c>
    </row>
    <row r="190" customFormat="false" ht="11.9" hidden="false" customHeight="true" outlineLevel="0" collapsed="false">
      <c r="A190" s="2" t="str">
        <f aca="false">HYPERLINK("https://www.fabsurplus.com/sdi_catalog/salesItemDetails.do?id=109727")</f>
        <v>https://www.fabsurplus.com/sdi_catalog/salesItemDetails.do?id=109727</v>
      </c>
      <c r="B190" s="2" t="s">
        <v>526</v>
      </c>
      <c r="C190" s="2" t="s">
        <v>320</v>
      </c>
      <c r="D190" s="2" t="s">
        <v>527</v>
      </c>
      <c r="E190" s="2" t="s">
        <v>47</v>
      </c>
      <c r="F190" s="2" t="s">
        <v>16</v>
      </c>
      <c r="G190" s="2" t="s">
        <v>41</v>
      </c>
      <c r="H190" s="2"/>
      <c r="I190" s="2"/>
      <c r="J190" s="2" t="s">
        <v>42</v>
      </c>
      <c r="K190" s="2"/>
      <c r="L190" s="2" t="s">
        <v>528</v>
      </c>
    </row>
    <row r="191" customFormat="false" ht="11.9" hidden="false" customHeight="true" outlineLevel="0" collapsed="false">
      <c r="A191" s="3" t="str">
        <f aca="false">HYPERLINK("https://www.fabsurplus.com/sdi_catalog/salesItemDetails.do?id=109726")</f>
        <v>https://www.fabsurplus.com/sdi_catalog/salesItemDetails.do?id=109726</v>
      </c>
      <c r="B191" s="3" t="s">
        <v>529</v>
      </c>
      <c r="C191" s="3" t="s">
        <v>320</v>
      </c>
      <c r="D191" s="3" t="s">
        <v>527</v>
      </c>
      <c r="E191" s="3" t="s">
        <v>47</v>
      </c>
      <c r="F191" s="3" t="s">
        <v>16</v>
      </c>
      <c r="G191" s="3" t="s">
        <v>41</v>
      </c>
      <c r="H191" s="3"/>
      <c r="I191" s="3"/>
      <c r="J191" s="3" t="s">
        <v>42</v>
      </c>
      <c r="K191" s="3"/>
      <c r="L191" s="3" t="s">
        <v>515</v>
      </c>
    </row>
    <row r="192" customFormat="false" ht="11.9" hidden="false" customHeight="true" outlineLevel="0" collapsed="false">
      <c r="A192" s="3" t="str">
        <f aca="false">HYPERLINK("https://www.fabsurplus.com/sdi_catalog/salesItemDetails.do?id=109728")</f>
        <v>https://www.fabsurplus.com/sdi_catalog/salesItemDetails.do?id=109728</v>
      </c>
      <c r="B192" s="3" t="s">
        <v>530</v>
      </c>
      <c r="C192" s="3" t="s">
        <v>320</v>
      </c>
      <c r="D192" s="3" t="s">
        <v>531</v>
      </c>
      <c r="E192" s="3" t="s">
        <v>47</v>
      </c>
      <c r="F192" s="3" t="s">
        <v>16</v>
      </c>
      <c r="G192" s="3" t="s">
        <v>41</v>
      </c>
      <c r="H192" s="3"/>
      <c r="I192" s="3"/>
      <c r="J192" s="3" t="s">
        <v>42</v>
      </c>
      <c r="K192" s="3"/>
      <c r="L192" s="3" t="s">
        <v>532</v>
      </c>
    </row>
    <row r="193" customFormat="false" ht="11.9" hidden="false" customHeight="true" outlineLevel="0" collapsed="false">
      <c r="A193" s="3" t="str">
        <f aca="false">HYPERLINK("https://www.fabsurplus.com/sdi_catalog/salesItemDetails.do?id=109732")</f>
        <v>https://www.fabsurplus.com/sdi_catalog/salesItemDetails.do?id=109732</v>
      </c>
      <c r="B193" s="3" t="s">
        <v>533</v>
      </c>
      <c r="C193" s="3" t="s">
        <v>320</v>
      </c>
      <c r="D193" s="3" t="s">
        <v>534</v>
      </c>
      <c r="E193" s="3" t="s">
        <v>47</v>
      </c>
      <c r="F193" s="3" t="s">
        <v>16</v>
      </c>
      <c r="G193" s="3" t="s">
        <v>41</v>
      </c>
      <c r="H193" s="3"/>
      <c r="I193" s="3"/>
      <c r="J193" s="3" t="s">
        <v>42</v>
      </c>
      <c r="K193" s="3"/>
      <c r="L193" s="3" t="s">
        <v>535</v>
      </c>
    </row>
    <row r="194" customFormat="false" ht="11.9" hidden="false" customHeight="true" outlineLevel="0" collapsed="false">
      <c r="A194" s="2" t="str">
        <f aca="false">HYPERLINK("https://www.fabsurplus.com/sdi_catalog/salesItemDetails.do?id=109731")</f>
        <v>https://www.fabsurplus.com/sdi_catalog/salesItemDetails.do?id=109731</v>
      </c>
      <c r="B194" s="2" t="s">
        <v>536</v>
      </c>
      <c r="C194" s="2" t="s">
        <v>320</v>
      </c>
      <c r="D194" s="2" t="s">
        <v>534</v>
      </c>
      <c r="E194" s="2" t="s">
        <v>47</v>
      </c>
      <c r="F194" s="2" t="s">
        <v>16</v>
      </c>
      <c r="G194" s="2" t="s">
        <v>41</v>
      </c>
      <c r="H194" s="2"/>
      <c r="I194" s="2"/>
      <c r="J194" s="2" t="s">
        <v>42</v>
      </c>
      <c r="K194" s="2"/>
      <c r="L194" s="2" t="s">
        <v>537</v>
      </c>
    </row>
    <row r="195" customFormat="false" ht="11.9" hidden="false" customHeight="true" outlineLevel="0" collapsed="false">
      <c r="A195" s="3" t="str">
        <f aca="false">HYPERLINK("https://www.fabsurplus.com/sdi_catalog/salesItemDetails.do?id=109730")</f>
        <v>https://www.fabsurplus.com/sdi_catalog/salesItemDetails.do?id=109730</v>
      </c>
      <c r="B195" s="3" t="s">
        <v>538</v>
      </c>
      <c r="C195" s="3" t="s">
        <v>320</v>
      </c>
      <c r="D195" s="3" t="s">
        <v>534</v>
      </c>
      <c r="E195" s="3" t="s">
        <v>47</v>
      </c>
      <c r="F195" s="3" t="s">
        <v>16</v>
      </c>
      <c r="G195" s="3" t="s">
        <v>41</v>
      </c>
      <c r="H195" s="3"/>
      <c r="I195" s="3"/>
      <c r="J195" s="3" t="s">
        <v>42</v>
      </c>
      <c r="K195" s="3"/>
      <c r="L195" s="3" t="s">
        <v>537</v>
      </c>
    </row>
    <row r="196" customFormat="false" ht="11.9" hidden="false" customHeight="true" outlineLevel="0" collapsed="false">
      <c r="A196" s="2" t="str">
        <f aca="false">HYPERLINK("https://www.fabsurplus.com/sdi_catalog/salesItemDetails.do?id=109729")</f>
        <v>https://www.fabsurplus.com/sdi_catalog/salesItemDetails.do?id=109729</v>
      </c>
      <c r="B196" s="2" t="s">
        <v>539</v>
      </c>
      <c r="C196" s="2" t="s">
        <v>320</v>
      </c>
      <c r="D196" s="2" t="s">
        <v>534</v>
      </c>
      <c r="E196" s="2" t="s">
        <v>47</v>
      </c>
      <c r="F196" s="2" t="s">
        <v>16</v>
      </c>
      <c r="G196" s="2" t="s">
        <v>41</v>
      </c>
      <c r="H196" s="2"/>
      <c r="I196" s="2"/>
      <c r="J196" s="2" t="s">
        <v>42</v>
      </c>
      <c r="K196" s="2"/>
      <c r="L196" s="2" t="s">
        <v>537</v>
      </c>
    </row>
    <row r="197" customFormat="false" ht="11.9" hidden="false" customHeight="true" outlineLevel="0" collapsed="false">
      <c r="A197" s="3" t="str">
        <f aca="false">HYPERLINK("https://www.fabsurplus.com/sdi_catalog/salesItemDetails.do?id=109738")</f>
        <v>https://www.fabsurplus.com/sdi_catalog/salesItemDetails.do?id=109738</v>
      </c>
      <c r="B197" s="3" t="s">
        <v>540</v>
      </c>
      <c r="C197" s="3" t="s">
        <v>320</v>
      </c>
      <c r="D197" s="3" t="s">
        <v>541</v>
      </c>
      <c r="E197" s="3" t="s">
        <v>40</v>
      </c>
      <c r="F197" s="3" t="s">
        <v>16</v>
      </c>
      <c r="G197" s="3" t="s">
        <v>41</v>
      </c>
      <c r="H197" s="3"/>
      <c r="I197" s="3"/>
      <c r="J197" s="3" t="s">
        <v>42</v>
      </c>
      <c r="K197" s="3"/>
      <c r="L197" s="3" t="s">
        <v>542</v>
      </c>
    </row>
    <row r="198" customFormat="false" ht="11.9" hidden="false" customHeight="true" outlineLevel="0" collapsed="false">
      <c r="A198" s="2" t="str">
        <f aca="false">HYPERLINK("https://www.fabsurplus.com/sdi_catalog/salesItemDetails.do?id=109737")</f>
        <v>https://www.fabsurplus.com/sdi_catalog/salesItemDetails.do?id=109737</v>
      </c>
      <c r="B198" s="2" t="s">
        <v>543</v>
      </c>
      <c r="C198" s="2" t="s">
        <v>320</v>
      </c>
      <c r="D198" s="2" t="s">
        <v>541</v>
      </c>
      <c r="E198" s="2" t="s">
        <v>40</v>
      </c>
      <c r="F198" s="2" t="s">
        <v>16</v>
      </c>
      <c r="G198" s="2" t="s">
        <v>41</v>
      </c>
      <c r="H198" s="2"/>
      <c r="I198" s="2"/>
      <c r="J198" s="2" t="s">
        <v>42</v>
      </c>
      <c r="K198" s="2"/>
      <c r="L198" s="2" t="s">
        <v>542</v>
      </c>
    </row>
    <row r="199" customFormat="false" ht="11.9" hidden="false" customHeight="true" outlineLevel="0" collapsed="false">
      <c r="A199" s="3" t="str">
        <f aca="false">HYPERLINK("https://www.fabsurplus.com/sdi_catalog/salesItemDetails.do?id=109736")</f>
        <v>https://www.fabsurplus.com/sdi_catalog/salesItemDetails.do?id=109736</v>
      </c>
      <c r="B199" s="3" t="s">
        <v>544</v>
      </c>
      <c r="C199" s="3" t="s">
        <v>320</v>
      </c>
      <c r="D199" s="3" t="s">
        <v>541</v>
      </c>
      <c r="E199" s="3" t="s">
        <v>40</v>
      </c>
      <c r="F199" s="3" t="s">
        <v>16</v>
      </c>
      <c r="G199" s="3" t="s">
        <v>41</v>
      </c>
      <c r="H199" s="3"/>
      <c r="I199" s="3"/>
      <c r="J199" s="3" t="s">
        <v>42</v>
      </c>
      <c r="K199" s="3"/>
      <c r="L199" s="3" t="s">
        <v>542</v>
      </c>
    </row>
    <row r="200" customFormat="false" ht="11.9" hidden="false" customHeight="true" outlineLevel="0" collapsed="false">
      <c r="A200" s="3" t="str">
        <f aca="false">HYPERLINK("https://www.fabsurplus.com/sdi_catalog/salesItemDetails.do?id=109742")</f>
        <v>https://www.fabsurplus.com/sdi_catalog/salesItemDetails.do?id=109742</v>
      </c>
      <c r="B200" s="3" t="s">
        <v>545</v>
      </c>
      <c r="C200" s="3" t="s">
        <v>320</v>
      </c>
      <c r="D200" s="3" t="s">
        <v>546</v>
      </c>
      <c r="E200" s="3" t="s">
        <v>133</v>
      </c>
      <c r="F200" s="3" t="s">
        <v>16</v>
      </c>
      <c r="G200" s="3" t="s">
        <v>41</v>
      </c>
      <c r="H200" s="3"/>
      <c r="I200" s="3"/>
      <c r="J200" s="3" t="s">
        <v>42</v>
      </c>
      <c r="K200" s="3"/>
      <c r="L200" s="5" t="s">
        <v>547</v>
      </c>
    </row>
    <row r="201" customFormat="false" ht="11.9" hidden="false" customHeight="true" outlineLevel="0" collapsed="false">
      <c r="A201" s="2" t="str">
        <f aca="false">HYPERLINK("https://www.fabsurplus.com/sdi_catalog/salesItemDetails.do?id=109741")</f>
        <v>https://www.fabsurplus.com/sdi_catalog/salesItemDetails.do?id=109741</v>
      </c>
      <c r="B201" s="2" t="s">
        <v>548</v>
      </c>
      <c r="C201" s="2" t="s">
        <v>320</v>
      </c>
      <c r="D201" s="2" t="s">
        <v>546</v>
      </c>
      <c r="E201" s="2" t="s">
        <v>133</v>
      </c>
      <c r="F201" s="2" t="s">
        <v>16</v>
      </c>
      <c r="G201" s="2" t="s">
        <v>41</v>
      </c>
      <c r="H201" s="2"/>
      <c r="I201" s="2"/>
      <c r="J201" s="2" t="s">
        <v>42</v>
      </c>
      <c r="K201" s="2"/>
      <c r="L201" s="6" t="s">
        <v>549</v>
      </c>
    </row>
    <row r="202" customFormat="false" ht="11.9" hidden="false" customHeight="true" outlineLevel="0" collapsed="false">
      <c r="A202" s="3" t="str">
        <f aca="false">HYPERLINK("https://www.fabsurplus.com/sdi_catalog/salesItemDetails.do?id=109740")</f>
        <v>https://www.fabsurplus.com/sdi_catalog/salesItemDetails.do?id=109740</v>
      </c>
      <c r="B202" s="3" t="s">
        <v>550</v>
      </c>
      <c r="C202" s="3" t="s">
        <v>320</v>
      </c>
      <c r="D202" s="3" t="s">
        <v>546</v>
      </c>
      <c r="E202" s="3" t="s">
        <v>133</v>
      </c>
      <c r="F202" s="3" t="s">
        <v>16</v>
      </c>
      <c r="G202" s="3" t="s">
        <v>41</v>
      </c>
      <c r="H202" s="3"/>
      <c r="I202" s="3"/>
      <c r="J202" s="3" t="s">
        <v>42</v>
      </c>
      <c r="K202" s="3"/>
      <c r="L202" s="5" t="s">
        <v>551</v>
      </c>
    </row>
    <row r="203" customFormat="false" ht="11.9" hidden="false" customHeight="true" outlineLevel="0" collapsed="false">
      <c r="A203" s="2" t="str">
        <f aca="false">HYPERLINK("https://www.fabsurplus.com/sdi_catalog/salesItemDetails.do?id=109739")</f>
        <v>https://www.fabsurplus.com/sdi_catalog/salesItemDetails.do?id=109739</v>
      </c>
      <c r="B203" s="2" t="s">
        <v>552</v>
      </c>
      <c r="C203" s="2" t="s">
        <v>320</v>
      </c>
      <c r="D203" s="2" t="s">
        <v>546</v>
      </c>
      <c r="E203" s="2" t="s">
        <v>133</v>
      </c>
      <c r="F203" s="2" t="s">
        <v>16</v>
      </c>
      <c r="G203" s="2" t="s">
        <v>41</v>
      </c>
      <c r="H203" s="2"/>
      <c r="I203" s="2"/>
      <c r="J203" s="2" t="s">
        <v>42</v>
      </c>
      <c r="K203" s="2"/>
      <c r="L203" s="6" t="s">
        <v>553</v>
      </c>
    </row>
    <row r="204" customFormat="false" ht="11.9" hidden="false" customHeight="true" outlineLevel="0" collapsed="false">
      <c r="A204" s="2" t="str">
        <f aca="false">HYPERLINK("https://www.fabsurplus.com/sdi_catalog/salesItemDetails.do?id=109743")</f>
        <v>https://www.fabsurplus.com/sdi_catalog/salesItemDetails.do?id=109743</v>
      </c>
      <c r="B204" s="2" t="s">
        <v>554</v>
      </c>
      <c r="C204" s="2" t="s">
        <v>320</v>
      </c>
      <c r="D204" s="2" t="s">
        <v>555</v>
      </c>
      <c r="E204" s="2" t="s">
        <v>133</v>
      </c>
      <c r="F204" s="2" t="s">
        <v>16</v>
      </c>
      <c r="G204" s="2" t="s">
        <v>41</v>
      </c>
      <c r="H204" s="2"/>
      <c r="I204" s="2"/>
      <c r="J204" s="2" t="s">
        <v>42</v>
      </c>
      <c r="K204" s="2"/>
      <c r="L204" s="6" t="s">
        <v>556</v>
      </c>
    </row>
    <row r="205" customFormat="false" ht="11.9" hidden="false" customHeight="true" outlineLevel="0" collapsed="false">
      <c r="A205" s="2" t="str">
        <f aca="false">HYPERLINK("https://www.fabsurplus.com/sdi_catalog/salesItemDetails.do?id=109745")</f>
        <v>https://www.fabsurplus.com/sdi_catalog/salesItemDetails.do?id=109745</v>
      </c>
      <c r="B205" s="2" t="s">
        <v>557</v>
      </c>
      <c r="C205" s="2" t="s">
        <v>320</v>
      </c>
      <c r="D205" s="2" t="s">
        <v>558</v>
      </c>
      <c r="E205" s="2" t="s">
        <v>40</v>
      </c>
      <c r="F205" s="2" t="s">
        <v>16</v>
      </c>
      <c r="G205" s="2" t="s">
        <v>41</v>
      </c>
      <c r="H205" s="2"/>
      <c r="I205" s="2"/>
      <c r="J205" s="2" t="s">
        <v>42</v>
      </c>
      <c r="K205" s="2"/>
      <c r="L205" s="2" t="s">
        <v>559</v>
      </c>
    </row>
    <row r="206" customFormat="false" ht="11.9" hidden="false" customHeight="true" outlineLevel="0" collapsed="false">
      <c r="A206" s="3" t="str">
        <f aca="false">HYPERLINK("https://www.fabsurplus.com/sdi_catalog/salesItemDetails.do?id=109744")</f>
        <v>https://www.fabsurplus.com/sdi_catalog/salesItemDetails.do?id=109744</v>
      </c>
      <c r="B206" s="3" t="s">
        <v>560</v>
      </c>
      <c r="C206" s="3" t="s">
        <v>320</v>
      </c>
      <c r="D206" s="3" t="s">
        <v>558</v>
      </c>
      <c r="E206" s="3" t="s">
        <v>40</v>
      </c>
      <c r="F206" s="3" t="s">
        <v>16</v>
      </c>
      <c r="G206" s="3" t="s">
        <v>41</v>
      </c>
      <c r="H206" s="3"/>
      <c r="I206" s="3"/>
      <c r="J206" s="3" t="s">
        <v>42</v>
      </c>
      <c r="K206" s="3"/>
      <c r="L206" s="3" t="s">
        <v>559</v>
      </c>
    </row>
    <row r="207" customFormat="false" ht="11.9" hidden="false" customHeight="true" outlineLevel="0" collapsed="false">
      <c r="A207" s="3" t="str">
        <f aca="false">HYPERLINK("https://www.fabsurplus.com/sdi_catalog/salesItemDetails.do?id=109746")</f>
        <v>https://www.fabsurplus.com/sdi_catalog/salesItemDetails.do?id=109746</v>
      </c>
      <c r="B207" s="3" t="s">
        <v>561</v>
      </c>
      <c r="C207" s="3" t="s">
        <v>320</v>
      </c>
      <c r="D207" s="3" t="s">
        <v>562</v>
      </c>
      <c r="E207" s="3" t="s">
        <v>133</v>
      </c>
      <c r="F207" s="3" t="s">
        <v>16</v>
      </c>
      <c r="G207" s="3" t="s">
        <v>41</v>
      </c>
      <c r="H207" s="3"/>
      <c r="I207" s="3"/>
      <c r="J207" s="3" t="s">
        <v>42</v>
      </c>
      <c r="K207" s="3"/>
      <c r="L207" s="3" t="s">
        <v>563</v>
      </c>
    </row>
    <row r="208" customFormat="false" ht="11.9" hidden="false" customHeight="true" outlineLevel="0" collapsed="false">
      <c r="A208" s="2" t="str">
        <f aca="false">HYPERLINK("https://www.fabsurplus.com/sdi_catalog/salesItemDetails.do?id=109747")</f>
        <v>https://www.fabsurplus.com/sdi_catalog/salesItemDetails.do?id=109747</v>
      </c>
      <c r="B208" s="2" t="s">
        <v>564</v>
      </c>
      <c r="C208" s="2" t="s">
        <v>320</v>
      </c>
      <c r="D208" s="2" t="s">
        <v>565</v>
      </c>
      <c r="E208" s="2" t="s">
        <v>133</v>
      </c>
      <c r="F208" s="2" t="s">
        <v>16</v>
      </c>
      <c r="G208" s="2" t="s">
        <v>41</v>
      </c>
      <c r="H208" s="2"/>
      <c r="I208" s="2"/>
      <c r="J208" s="2" t="s">
        <v>42</v>
      </c>
      <c r="K208" s="2"/>
      <c r="L208" s="6" t="s">
        <v>566</v>
      </c>
    </row>
    <row r="209" customFormat="false" ht="11.9" hidden="false" customHeight="true" outlineLevel="0" collapsed="false">
      <c r="A209" s="2" t="str">
        <f aca="false">HYPERLINK("https://www.fabsurplus.com/sdi_catalog/salesItemDetails.do?id=109749")</f>
        <v>https://www.fabsurplus.com/sdi_catalog/salesItemDetails.do?id=109749</v>
      </c>
      <c r="B209" s="2" t="s">
        <v>567</v>
      </c>
      <c r="C209" s="2" t="s">
        <v>320</v>
      </c>
      <c r="D209" s="2" t="s">
        <v>568</v>
      </c>
      <c r="E209" s="2" t="s">
        <v>133</v>
      </c>
      <c r="F209" s="2" t="s">
        <v>16</v>
      </c>
      <c r="G209" s="2" t="s">
        <v>41</v>
      </c>
      <c r="H209" s="2"/>
      <c r="I209" s="2"/>
      <c r="J209" s="2" t="s">
        <v>42</v>
      </c>
      <c r="K209" s="2"/>
      <c r="L209" s="6" t="s">
        <v>569</v>
      </c>
    </row>
    <row r="210" customFormat="false" ht="11.9" hidden="false" customHeight="true" outlineLevel="0" collapsed="false">
      <c r="A210" s="3" t="str">
        <f aca="false">HYPERLINK("https://www.fabsurplus.com/sdi_catalog/salesItemDetails.do?id=109748")</f>
        <v>https://www.fabsurplus.com/sdi_catalog/salesItemDetails.do?id=109748</v>
      </c>
      <c r="B210" s="3" t="s">
        <v>570</v>
      </c>
      <c r="C210" s="3" t="s">
        <v>320</v>
      </c>
      <c r="D210" s="3" t="s">
        <v>568</v>
      </c>
      <c r="E210" s="3" t="s">
        <v>133</v>
      </c>
      <c r="F210" s="3" t="s">
        <v>16</v>
      </c>
      <c r="G210" s="3" t="s">
        <v>41</v>
      </c>
      <c r="H210" s="3"/>
      <c r="I210" s="3"/>
      <c r="J210" s="3" t="s">
        <v>42</v>
      </c>
      <c r="K210" s="3"/>
      <c r="L210" s="5" t="s">
        <v>571</v>
      </c>
    </row>
    <row r="211" customFormat="false" ht="11.9" hidden="false" customHeight="true" outlineLevel="0" collapsed="false">
      <c r="A211" s="3" t="str">
        <f aca="false">HYPERLINK("https://www.fabsurplus.com/sdi_catalog/salesItemDetails.do?id=109750")</f>
        <v>https://www.fabsurplus.com/sdi_catalog/salesItemDetails.do?id=109750</v>
      </c>
      <c r="B211" s="3" t="s">
        <v>572</v>
      </c>
      <c r="C211" s="3" t="s">
        <v>320</v>
      </c>
      <c r="D211" s="3" t="s">
        <v>573</v>
      </c>
      <c r="E211" s="3" t="s">
        <v>47</v>
      </c>
      <c r="F211" s="3" t="s">
        <v>16</v>
      </c>
      <c r="G211" s="3" t="s">
        <v>41</v>
      </c>
      <c r="H211" s="3"/>
      <c r="I211" s="3"/>
      <c r="J211" s="3" t="s">
        <v>42</v>
      </c>
      <c r="K211" s="3"/>
      <c r="L211" s="3" t="s">
        <v>574</v>
      </c>
    </row>
    <row r="212" customFormat="false" ht="11.9" hidden="false" customHeight="true" outlineLevel="0" collapsed="false">
      <c r="A212" s="2" t="str">
        <f aca="false">HYPERLINK("https://www.fabsurplus.com/sdi_catalog/salesItemDetails.do?id=109754")</f>
        <v>https://www.fabsurplus.com/sdi_catalog/salesItemDetails.do?id=109754</v>
      </c>
      <c r="B212" s="2" t="s">
        <v>575</v>
      </c>
      <c r="C212" s="2" t="s">
        <v>320</v>
      </c>
      <c r="D212" s="2" t="s">
        <v>576</v>
      </c>
      <c r="E212" s="2" t="s">
        <v>47</v>
      </c>
      <c r="F212" s="2" t="s">
        <v>16</v>
      </c>
      <c r="G212" s="2" t="s">
        <v>41</v>
      </c>
      <c r="H212" s="2"/>
      <c r="I212" s="2"/>
      <c r="J212" s="2" t="s">
        <v>42</v>
      </c>
      <c r="K212" s="2"/>
      <c r="L212" s="6" t="s">
        <v>577</v>
      </c>
    </row>
    <row r="213" customFormat="false" ht="11.9" hidden="false" customHeight="true" outlineLevel="0" collapsed="false">
      <c r="A213" s="3" t="str">
        <f aca="false">HYPERLINK("https://www.fabsurplus.com/sdi_catalog/salesItemDetails.do?id=109753")</f>
        <v>https://www.fabsurplus.com/sdi_catalog/salesItemDetails.do?id=109753</v>
      </c>
      <c r="B213" s="3" t="s">
        <v>578</v>
      </c>
      <c r="C213" s="3" t="s">
        <v>320</v>
      </c>
      <c r="D213" s="3" t="s">
        <v>576</v>
      </c>
      <c r="E213" s="3" t="s">
        <v>47</v>
      </c>
      <c r="F213" s="3" t="s">
        <v>16</v>
      </c>
      <c r="G213" s="3" t="s">
        <v>41</v>
      </c>
      <c r="H213" s="3"/>
      <c r="I213" s="3"/>
      <c r="J213" s="3" t="s">
        <v>42</v>
      </c>
      <c r="K213" s="3"/>
      <c r="L213" s="5" t="s">
        <v>577</v>
      </c>
    </row>
    <row r="214" customFormat="false" ht="11.9" hidden="false" customHeight="true" outlineLevel="0" collapsed="false">
      <c r="A214" s="2" t="str">
        <f aca="false">HYPERLINK("https://www.fabsurplus.com/sdi_catalog/salesItemDetails.do?id=109752")</f>
        <v>https://www.fabsurplus.com/sdi_catalog/salesItemDetails.do?id=109752</v>
      </c>
      <c r="B214" s="2" t="s">
        <v>579</v>
      </c>
      <c r="C214" s="2" t="s">
        <v>320</v>
      </c>
      <c r="D214" s="2" t="s">
        <v>576</v>
      </c>
      <c r="E214" s="2" t="s">
        <v>47</v>
      </c>
      <c r="F214" s="2" t="s">
        <v>16</v>
      </c>
      <c r="G214" s="2" t="s">
        <v>41</v>
      </c>
      <c r="H214" s="2"/>
      <c r="I214" s="2"/>
      <c r="J214" s="2" t="s">
        <v>42</v>
      </c>
      <c r="K214" s="2"/>
      <c r="L214" s="6" t="s">
        <v>577</v>
      </c>
    </row>
    <row r="215" customFormat="false" ht="11.9" hidden="false" customHeight="true" outlineLevel="0" collapsed="false">
      <c r="A215" s="2" t="str">
        <f aca="false">HYPERLINK("https://www.fabsurplus.com/sdi_catalog/salesItemDetails.do?id=109756")</f>
        <v>https://www.fabsurplus.com/sdi_catalog/salesItemDetails.do?id=109756</v>
      </c>
      <c r="B215" s="2" t="s">
        <v>580</v>
      </c>
      <c r="C215" s="2" t="s">
        <v>320</v>
      </c>
      <c r="D215" s="2" t="s">
        <v>581</v>
      </c>
      <c r="E215" s="2" t="s">
        <v>47</v>
      </c>
      <c r="F215" s="2" t="s">
        <v>16</v>
      </c>
      <c r="G215" s="2" t="s">
        <v>41</v>
      </c>
      <c r="H215" s="2"/>
      <c r="I215" s="2"/>
      <c r="J215" s="2" t="s">
        <v>42</v>
      </c>
      <c r="K215" s="2"/>
      <c r="L215" s="2" t="s">
        <v>582</v>
      </c>
    </row>
    <row r="216" customFormat="false" ht="11.9" hidden="false" customHeight="true" outlineLevel="0" collapsed="false">
      <c r="A216" s="3" t="str">
        <f aca="false">HYPERLINK("https://www.fabsurplus.com/sdi_catalog/salesItemDetails.do?id=109755")</f>
        <v>https://www.fabsurplus.com/sdi_catalog/salesItemDetails.do?id=109755</v>
      </c>
      <c r="B216" s="3" t="s">
        <v>583</v>
      </c>
      <c r="C216" s="3" t="s">
        <v>320</v>
      </c>
      <c r="D216" s="3" t="s">
        <v>581</v>
      </c>
      <c r="E216" s="3" t="s">
        <v>47</v>
      </c>
      <c r="F216" s="3" t="s">
        <v>16</v>
      </c>
      <c r="G216" s="3" t="s">
        <v>41</v>
      </c>
      <c r="H216" s="3"/>
      <c r="I216" s="3"/>
      <c r="J216" s="3" t="s">
        <v>42</v>
      </c>
      <c r="K216" s="3"/>
      <c r="L216" s="3" t="s">
        <v>584</v>
      </c>
    </row>
    <row r="217" customFormat="false" ht="11.9" hidden="false" customHeight="true" outlineLevel="0" collapsed="false">
      <c r="A217" s="3" t="str">
        <f aca="false">HYPERLINK("https://www.fabsurplus.com/sdi_catalog/salesItemDetails.do?id=109759")</f>
        <v>https://www.fabsurplus.com/sdi_catalog/salesItemDetails.do?id=109759</v>
      </c>
      <c r="B217" s="3" t="s">
        <v>585</v>
      </c>
      <c r="C217" s="3" t="s">
        <v>320</v>
      </c>
      <c r="D217" s="3" t="s">
        <v>586</v>
      </c>
      <c r="E217" s="3" t="s">
        <v>47</v>
      </c>
      <c r="F217" s="3" t="s">
        <v>16</v>
      </c>
      <c r="G217" s="3" t="s">
        <v>41</v>
      </c>
      <c r="H217" s="3"/>
      <c r="I217" s="3"/>
      <c r="J217" s="3" t="s">
        <v>42</v>
      </c>
      <c r="K217" s="3"/>
      <c r="L217" s="3" t="s">
        <v>587</v>
      </c>
    </row>
    <row r="218" customFormat="false" ht="11.9" hidden="false" customHeight="true" outlineLevel="0" collapsed="false">
      <c r="A218" s="2" t="str">
        <f aca="false">HYPERLINK("https://www.fabsurplus.com/sdi_catalog/salesItemDetails.do?id=109758")</f>
        <v>https://www.fabsurplus.com/sdi_catalog/salesItemDetails.do?id=109758</v>
      </c>
      <c r="B218" s="2" t="s">
        <v>588</v>
      </c>
      <c r="C218" s="2" t="s">
        <v>320</v>
      </c>
      <c r="D218" s="2" t="s">
        <v>586</v>
      </c>
      <c r="E218" s="2" t="s">
        <v>47</v>
      </c>
      <c r="F218" s="2" t="s">
        <v>16</v>
      </c>
      <c r="G218" s="2" t="s">
        <v>41</v>
      </c>
      <c r="H218" s="2"/>
      <c r="I218" s="2"/>
      <c r="J218" s="2" t="s">
        <v>42</v>
      </c>
      <c r="K218" s="2"/>
      <c r="L218" s="6" t="s">
        <v>589</v>
      </c>
    </row>
    <row r="219" customFormat="false" ht="11.9" hidden="false" customHeight="true" outlineLevel="0" collapsed="false">
      <c r="A219" s="3" t="str">
        <f aca="false">HYPERLINK("https://www.fabsurplus.com/sdi_catalog/salesItemDetails.do?id=109757")</f>
        <v>https://www.fabsurplus.com/sdi_catalog/salesItemDetails.do?id=109757</v>
      </c>
      <c r="B219" s="3" t="s">
        <v>590</v>
      </c>
      <c r="C219" s="3" t="s">
        <v>320</v>
      </c>
      <c r="D219" s="3" t="s">
        <v>591</v>
      </c>
      <c r="E219" s="3" t="s">
        <v>47</v>
      </c>
      <c r="F219" s="3" t="s">
        <v>16</v>
      </c>
      <c r="G219" s="3" t="s">
        <v>41</v>
      </c>
      <c r="H219" s="3"/>
      <c r="I219" s="3"/>
      <c r="J219" s="3" t="s">
        <v>42</v>
      </c>
      <c r="K219" s="3"/>
      <c r="L219" s="5" t="s">
        <v>592</v>
      </c>
    </row>
    <row r="220" customFormat="false" ht="11.9" hidden="false" customHeight="true" outlineLevel="0" collapsed="false">
      <c r="A220" s="2" t="str">
        <f aca="false">HYPERLINK("https://www.fabsurplus.com/sdi_catalog/salesItemDetails.do?id=109762")</f>
        <v>https://www.fabsurplus.com/sdi_catalog/salesItemDetails.do?id=109762</v>
      </c>
      <c r="B220" s="2" t="s">
        <v>593</v>
      </c>
      <c r="C220" s="2" t="s">
        <v>320</v>
      </c>
      <c r="D220" s="2" t="s">
        <v>594</v>
      </c>
      <c r="E220" s="2" t="s">
        <v>40</v>
      </c>
      <c r="F220" s="2" t="s">
        <v>16</v>
      </c>
      <c r="G220" s="2" t="s">
        <v>41</v>
      </c>
      <c r="H220" s="2"/>
      <c r="I220" s="2"/>
      <c r="J220" s="2" t="s">
        <v>42</v>
      </c>
      <c r="K220" s="2"/>
      <c r="L220" s="2" t="s">
        <v>595</v>
      </c>
    </row>
    <row r="221" customFormat="false" ht="11.9" hidden="false" customHeight="true" outlineLevel="0" collapsed="false">
      <c r="A221" s="3" t="str">
        <f aca="false">HYPERLINK("https://www.fabsurplus.com/sdi_catalog/salesItemDetails.do?id=109761")</f>
        <v>https://www.fabsurplus.com/sdi_catalog/salesItemDetails.do?id=109761</v>
      </c>
      <c r="B221" s="3" t="s">
        <v>596</v>
      </c>
      <c r="C221" s="3" t="s">
        <v>320</v>
      </c>
      <c r="D221" s="3" t="s">
        <v>594</v>
      </c>
      <c r="E221" s="3" t="s">
        <v>40</v>
      </c>
      <c r="F221" s="3" t="s">
        <v>16</v>
      </c>
      <c r="G221" s="3" t="s">
        <v>41</v>
      </c>
      <c r="H221" s="3"/>
      <c r="I221" s="3"/>
      <c r="J221" s="3" t="s">
        <v>42</v>
      </c>
      <c r="K221" s="3"/>
      <c r="L221" s="3" t="s">
        <v>597</v>
      </c>
    </row>
    <row r="222" customFormat="false" ht="11.9" hidden="false" customHeight="true" outlineLevel="0" collapsed="false">
      <c r="A222" s="2" t="str">
        <f aca="false">HYPERLINK("https://www.fabsurplus.com/sdi_catalog/salesItemDetails.do?id=109760")</f>
        <v>https://www.fabsurplus.com/sdi_catalog/salesItemDetails.do?id=109760</v>
      </c>
      <c r="B222" s="2" t="s">
        <v>598</v>
      </c>
      <c r="C222" s="2" t="s">
        <v>320</v>
      </c>
      <c r="D222" s="2" t="s">
        <v>594</v>
      </c>
      <c r="E222" s="2" t="s">
        <v>40</v>
      </c>
      <c r="F222" s="2" t="s">
        <v>16</v>
      </c>
      <c r="G222" s="2" t="s">
        <v>41</v>
      </c>
      <c r="H222" s="2"/>
      <c r="I222" s="2"/>
      <c r="J222" s="2" t="s">
        <v>42</v>
      </c>
      <c r="K222" s="2"/>
      <c r="L222" s="2" t="s">
        <v>597</v>
      </c>
    </row>
    <row r="223" customFormat="false" ht="11.9" hidden="false" customHeight="true" outlineLevel="0" collapsed="false">
      <c r="A223" s="3" t="str">
        <f aca="false">HYPERLINK("https://www.fabsurplus.com/sdi_catalog/salesItemDetails.do?id=109769")</f>
        <v>https://www.fabsurplus.com/sdi_catalog/salesItemDetails.do?id=109769</v>
      </c>
      <c r="B223" s="3" t="s">
        <v>599</v>
      </c>
      <c r="C223" s="3" t="s">
        <v>320</v>
      </c>
      <c r="D223" s="3" t="s">
        <v>142</v>
      </c>
      <c r="E223" s="3" t="s">
        <v>47</v>
      </c>
      <c r="F223" s="3" t="s">
        <v>16</v>
      </c>
      <c r="G223" s="3" t="s">
        <v>41</v>
      </c>
      <c r="H223" s="3"/>
      <c r="I223" s="3"/>
      <c r="J223" s="3" t="s">
        <v>42</v>
      </c>
      <c r="K223" s="3"/>
      <c r="L223" s="5" t="s">
        <v>143</v>
      </c>
    </row>
    <row r="224" customFormat="false" ht="11.9" hidden="false" customHeight="true" outlineLevel="0" collapsed="false">
      <c r="A224" s="2" t="str">
        <f aca="false">HYPERLINK("https://www.fabsurplus.com/sdi_catalog/salesItemDetails.do?id=109768")</f>
        <v>https://www.fabsurplus.com/sdi_catalog/salesItemDetails.do?id=109768</v>
      </c>
      <c r="B224" s="2" t="s">
        <v>600</v>
      </c>
      <c r="C224" s="2" t="s">
        <v>320</v>
      </c>
      <c r="D224" s="2" t="s">
        <v>142</v>
      </c>
      <c r="E224" s="2" t="s">
        <v>47</v>
      </c>
      <c r="F224" s="2" t="s">
        <v>16</v>
      </c>
      <c r="G224" s="2" t="s">
        <v>41</v>
      </c>
      <c r="H224" s="2"/>
      <c r="I224" s="2"/>
      <c r="J224" s="2" t="s">
        <v>42</v>
      </c>
      <c r="K224" s="2"/>
      <c r="L224" s="6" t="s">
        <v>601</v>
      </c>
    </row>
    <row r="225" customFormat="false" ht="11.9" hidden="false" customHeight="true" outlineLevel="0" collapsed="false">
      <c r="A225" s="3" t="str">
        <f aca="false">HYPERLINK("https://www.fabsurplus.com/sdi_catalog/salesItemDetails.do?id=109767")</f>
        <v>https://www.fabsurplus.com/sdi_catalog/salesItemDetails.do?id=109767</v>
      </c>
      <c r="B225" s="3" t="s">
        <v>602</v>
      </c>
      <c r="C225" s="3" t="s">
        <v>320</v>
      </c>
      <c r="D225" s="3" t="s">
        <v>142</v>
      </c>
      <c r="E225" s="3" t="s">
        <v>47</v>
      </c>
      <c r="F225" s="3" t="s">
        <v>16</v>
      </c>
      <c r="G225" s="3" t="s">
        <v>41</v>
      </c>
      <c r="H225" s="3"/>
      <c r="I225" s="3"/>
      <c r="J225" s="3" t="s">
        <v>42</v>
      </c>
      <c r="K225" s="3"/>
      <c r="L225" s="5" t="s">
        <v>603</v>
      </c>
    </row>
    <row r="226" customFormat="false" ht="11.9" hidden="false" customHeight="true" outlineLevel="0" collapsed="false">
      <c r="A226" s="2" t="str">
        <f aca="false">HYPERLINK("https://www.fabsurplus.com/sdi_catalog/salesItemDetails.do?id=109766")</f>
        <v>https://www.fabsurplus.com/sdi_catalog/salesItemDetails.do?id=109766</v>
      </c>
      <c r="B226" s="2" t="s">
        <v>604</v>
      </c>
      <c r="C226" s="2" t="s">
        <v>320</v>
      </c>
      <c r="D226" s="2" t="s">
        <v>142</v>
      </c>
      <c r="E226" s="2" t="s">
        <v>47</v>
      </c>
      <c r="F226" s="2" t="s">
        <v>16</v>
      </c>
      <c r="G226" s="2" t="s">
        <v>41</v>
      </c>
      <c r="H226" s="2"/>
      <c r="I226" s="2"/>
      <c r="J226" s="2" t="s">
        <v>42</v>
      </c>
      <c r="K226" s="2"/>
      <c r="L226" s="6" t="s">
        <v>603</v>
      </c>
    </row>
    <row r="227" customFormat="false" ht="11.9" hidden="false" customHeight="true" outlineLevel="0" collapsed="false">
      <c r="A227" s="3" t="str">
        <f aca="false">HYPERLINK("https://www.fabsurplus.com/sdi_catalog/salesItemDetails.do?id=109765")</f>
        <v>https://www.fabsurplus.com/sdi_catalog/salesItemDetails.do?id=109765</v>
      </c>
      <c r="B227" s="3" t="s">
        <v>605</v>
      </c>
      <c r="C227" s="3" t="s">
        <v>320</v>
      </c>
      <c r="D227" s="3" t="s">
        <v>142</v>
      </c>
      <c r="E227" s="3" t="s">
        <v>47</v>
      </c>
      <c r="F227" s="3" t="s">
        <v>16</v>
      </c>
      <c r="G227" s="3" t="s">
        <v>41</v>
      </c>
      <c r="H227" s="3"/>
      <c r="I227" s="3"/>
      <c r="J227" s="3" t="s">
        <v>42</v>
      </c>
      <c r="K227" s="3"/>
      <c r="L227" s="5" t="s">
        <v>603</v>
      </c>
    </row>
    <row r="228" customFormat="false" ht="11.9" hidden="false" customHeight="true" outlineLevel="0" collapsed="false">
      <c r="A228" s="2" t="str">
        <f aca="false">HYPERLINK("https://www.fabsurplus.com/sdi_catalog/salesItemDetails.do?id=109764")</f>
        <v>https://www.fabsurplus.com/sdi_catalog/salesItemDetails.do?id=109764</v>
      </c>
      <c r="B228" s="2" t="s">
        <v>606</v>
      </c>
      <c r="C228" s="2" t="s">
        <v>320</v>
      </c>
      <c r="D228" s="2" t="s">
        <v>142</v>
      </c>
      <c r="E228" s="2" t="s">
        <v>47</v>
      </c>
      <c r="F228" s="2" t="s">
        <v>16</v>
      </c>
      <c r="G228" s="2" t="s">
        <v>41</v>
      </c>
      <c r="H228" s="2"/>
      <c r="I228" s="2"/>
      <c r="J228" s="2" t="s">
        <v>42</v>
      </c>
      <c r="K228" s="2"/>
      <c r="L228" s="6" t="s">
        <v>607</v>
      </c>
    </row>
    <row r="229" customFormat="false" ht="11.9" hidden="false" customHeight="true" outlineLevel="0" collapsed="false">
      <c r="A229" s="3" t="str">
        <f aca="false">HYPERLINK("https://www.fabsurplus.com/sdi_catalog/salesItemDetails.do?id=109763")</f>
        <v>https://www.fabsurplus.com/sdi_catalog/salesItemDetails.do?id=109763</v>
      </c>
      <c r="B229" s="3" t="s">
        <v>608</v>
      </c>
      <c r="C229" s="3" t="s">
        <v>320</v>
      </c>
      <c r="D229" s="3" t="s">
        <v>142</v>
      </c>
      <c r="E229" s="3" t="s">
        <v>47</v>
      </c>
      <c r="F229" s="3" t="s">
        <v>16</v>
      </c>
      <c r="G229" s="3" t="s">
        <v>41</v>
      </c>
      <c r="H229" s="3"/>
      <c r="I229" s="3"/>
      <c r="J229" s="3" t="s">
        <v>42</v>
      </c>
      <c r="K229" s="3"/>
      <c r="L229" s="5" t="s">
        <v>607</v>
      </c>
    </row>
    <row r="230" customFormat="false" ht="11.9" hidden="false" customHeight="true" outlineLevel="0" collapsed="false">
      <c r="A230" s="2" t="str">
        <f aca="false">HYPERLINK("https://www.fabsurplus.com/sdi_catalog/salesItemDetails.do?id=109772")</f>
        <v>https://www.fabsurplus.com/sdi_catalog/salesItemDetails.do?id=109772</v>
      </c>
      <c r="B230" s="2" t="s">
        <v>609</v>
      </c>
      <c r="C230" s="2" t="s">
        <v>320</v>
      </c>
      <c r="D230" s="2" t="s">
        <v>610</v>
      </c>
      <c r="E230" s="2" t="s">
        <v>47</v>
      </c>
      <c r="F230" s="2" t="s">
        <v>16</v>
      </c>
      <c r="G230" s="2" t="s">
        <v>41</v>
      </c>
      <c r="H230" s="2"/>
      <c r="I230" s="2"/>
      <c r="J230" s="2" t="s">
        <v>42</v>
      </c>
      <c r="K230" s="2"/>
      <c r="L230" s="6" t="s">
        <v>611</v>
      </c>
    </row>
    <row r="231" customFormat="false" ht="11.9" hidden="false" customHeight="true" outlineLevel="0" collapsed="false">
      <c r="A231" s="3" t="str">
        <f aca="false">HYPERLINK("https://www.fabsurplus.com/sdi_catalog/salesItemDetails.do?id=109773")</f>
        <v>https://www.fabsurplus.com/sdi_catalog/salesItemDetails.do?id=109773</v>
      </c>
      <c r="B231" s="3" t="s">
        <v>612</v>
      </c>
      <c r="C231" s="3" t="s">
        <v>320</v>
      </c>
      <c r="D231" s="3" t="s">
        <v>613</v>
      </c>
      <c r="E231" s="3" t="s">
        <v>47</v>
      </c>
      <c r="F231" s="3" t="s">
        <v>16</v>
      </c>
      <c r="G231" s="3" t="s">
        <v>41</v>
      </c>
      <c r="H231" s="3"/>
      <c r="I231" s="3"/>
      <c r="J231" s="3" t="s">
        <v>42</v>
      </c>
      <c r="K231" s="3"/>
      <c r="L231" s="3" t="s">
        <v>614</v>
      </c>
    </row>
    <row r="232" customFormat="false" ht="11.9" hidden="false" customHeight="true" outlineLevel="0" collapsed="false">
      <c r="A232" s="2" t="str">
        <f aca="false">HYPERLINK("https://www.fabsurplus.com/sdi_catalog/salesItemDetails.do?id=109776")</f>
        <v>https://www.fabsurplus.com/sdi_catalog/salesItemDetails.do?id=109776</v>
      </c>
      <c r="B232" s="2" t="s">
        <v>615</v>
      </c>
      <c r="C232" s="2" t="s">
        <v>320</v>
      </c>
      <c r="D232" s="2" t="s">
        <v>146</v>
      </c>
      <c r="E232" s="2" t="s">
        <v>47</v>
      </c>
      <c r="F232" s="2" t="s">
        <v>16</v>
      </c>
      <c r="G232" s="2" t="s">
        <v>41</v>
      </c>
      <c r="H232" s="2"/>
      <c r="I232" s="2"/>
      <c r="J232" s="2" t="s">
        <v>42</v>
      </c>
      <c r="K232" s="2"/>
      <c r="L232" s="2" t="s">
        <v>616</v>
      </c>
    </row>
    <row r="233" customFormat="false" ht="11.9" hidden="false" customHeight="true" outlineLevel="0" collapsed="false">
      <c r="A233" s="3" t="str">
        <f aca="false">HYPERLINK("https://www.fabsurplus.com/sdi_catalog/salesItemDetails.do?id=109775")</f>
        <v>https://www.fabsurplus.com/sdi_catalog/salesItemDetails.do?id=109775</v>
      </c>
      <c r="B233" s="3" t="s">
        <v>617</v>
      </c>
      <c r="C233" s="3" t="s">
        <v>320</v>
      </c>
      <c r="D233" s="3" t="s">
        <v>146</v>
      </c>
      <c r="E233" s="3" t="s">
        <v>47</v>
      </c>
      <c r="F233" s="3" t="s">
        <v>16</v>
      </c>
      <c r="G233" s="3" t="s">
        <v>41</v>
      </c>
      <c r="H233" s="3"/>
      <c r="I233" s="3"/>
      <c r="J233" s="3" t="s">
        <v>42</v>
      </c>
      <c r="K233" s="3"/>
      <c r="L233" s="3" t="s">
        <v>616</v>
      </c>
    </row>
    <row r="234" customFormat="false" ht="11.9" hidden="false" customHeight="true" outlineLevel="0" collapsed="false">
      <c r="A234" s="2" t="str">
        <f aca="false">HYPERLINK("https://www.fabsurplus.com/sdi_catalog/salesItemDetails.do?id=109774")</f>
        <v>https://www.fabsurplus.com/sdi_catalog/salesItemDetails.do?id=109774</v>
      </c>
      <c r="B234" s="2" t="s">
        <v>618</v>
      </c>
      <c r="C234" s="2" t="s">
        <v>320</v>
      </c>
      <c r="D234" s="2" t="s">
        <v>146</v>
      </c>
      <c r="E234" s="2" t="s">
        <v>47</v>
      </c>
      <c r="F234" s="2" t="s">
        <v>16</v>
      </c>
      <c r="G234" s="2" t="s">
        <v>41</v>
      </c>
      <c r="H234" s="2"/>
      <c r="I234" s="2"/>
      <c r="J234" s="2" t="s">
        <v>42</v>
      </c>
      <c r="K234" s="2"/>
      <c r="L234" s="2" t="s">
        <v>616</v>
      </c>
    </row>
    <row r="235" customFormat="false" ht="11.9" hidden="false" customHeight="true" outlineLevel="0" collapsed="false">
      <c r="A235" s="3" t="str">
        <f aca="false">HYPERLINK("https://www.fabsurplus.com/sdi_catalog/salesItemDetails.do?id=109778")</f>
        <v>https://www.fabsurplus.com/sdi_catalog/salesItemDetails.do?id=109778</v>
      </c>
      <c r="B235" s="3" t="s">
        <v>619</v>
      </c>
      <c r="C235" s="3" t="s">
        <v>320</v>
      </c>
      <c r="D235" s="3" t="s">
        <v>620</v>
      </c>
      <c r="E235" s="3" t="s">
        <v>47</v>
      </c>
      <c r="F235" s="3" t="s">
        <v>16</v>
      </c>
      <c r="G235" s="3" t="s">
        <v>41</v>
      </c>
      <c r="H235" s="3"/>
      <c r="I235" s="3"/>
      <c r="J235" s="3" t="s">
        <v>42</v>
      </c>
      <c r="K235" s="3"/>
      <c r="L235" s="3" t="s">
        <v>621</v>
      </c>
    </row>
    <row r="236" customFormat="false" ht="11.9" hidden="false" customHeight="true" outlineLevel="0" collapsed="false">
      <c r="A236" s="2" t="str">
        <f aca="false">HYPERLINK("https://www.fabsurplus.com/sdi_catalog/salesItemDetails.do?id=109809")</f>
        <v>https://www.fabsurplus.com/sdi_catalog/salesItemDetails.do?id=109809</v>
      </c>
      <c r="B236" s="2" t="s">
        <v>622</v>
      </c>
      <c r="C236" s="2" t="s">
        <v>320</v>
      </c>
      <c r="D236" s="2" t="s">
        <v>623</v>
      </c>
      <c r="E236" s="2" t="s">
        <v>47</v>
      </c>
      <c r="F236" s="2" t="s">
        <v>16</v>
      </c>
      <c r="G236" s="2" t="s">
        <v>41</v>
      </c>
      <c r="H236" s="2"/>
      <c r="I236" s="2"/>
      <c r="J236" s="2" t="s">
        <v>42</v>
      </c>
      <c r="K236" s="2"/>
      <c r="L236" s="2" t="s">
        <v>624</v>
      </c>
    </row>
    <row r="237" customFormat="false" ht="11.9" hidden="false" customHeight="true" outlineLevel="0" collapsed="false">
      <c r="A237" s="3" t="str">
        <f aca="false">HYPERLINK("https://www.fabsurplus.com/sdi_catalog/salesItemDetails.do?id=109808")</f>
        <v>https://www.fabsurplus.com/sdi_catalog/salesItemDetails.do?id=109808</v>
      </c>
      <c r="B237" s="3" t="s">
        <v>625</v>
      </c>
      <c r="C237" s="3" t="s">
        <v>320</v>
      </c>
      <c r="D237" s="3" t="s">
        <v>623</v>
      </c>
      <c r="E237" s="3" t="s">
        <v>47</v>
      </c>
      <c r="F237" s="3" t="s">
        <v>16</v>
      </c>
      <c r="G237" s="3" t="s">
        <v>41</v>
      </c>
      <c r="H237" s="3"/>
      <c r="I237" s="3"/>
      <c r="J237" s="3" t="s">
        <v>42</v>
      </c>
      <c r="K237" s="3"/>
      <c r="L237" s="5" t="s">
        <v>626</v>
      </c>
    </row>
    <row r="238" customFormat="false" ht="11.9" hidden="false" customHeight="true" outlineLevel="0" collapsed="false">
      <c r="A238" s="2" t="str">
        <f aca="false">HYPERLINK("https://www.fabsurplus.com/sdi_catalog/salesItemDetails.do?id=109807")</f>
        <v>https://www.fabsurplus.com/sdi_catalog/salesItemDetails.do?id=109807</v>
      </c>
      <c r="B238" s="2" t="s">
        <v>627</v>
      </c>
      <c r="C238" s="2" t="s">
        <v>320</v>
      </c>
      <c r="D238" s="2" t="s">
        <v>623</v>
      </c>
      <c r="E238" s="2" t="s">
        <v>47</v>
      </c>
      <c r="F238" s="2" t="s">
        <v>16</v>
      </c>
      <c r="G238" s="2" t="s">
        <v>41</v>
      </c>
      <c r="H238" s="2"/>
      <c r="I238" s="2"/>
      <c r="J238" s="2" t="s">
        <v>42</v>
      </c>
      <c r="K238" s="2"/>
      <c r="L238" s="2" t="s">
        <v>628</v>
      </c>
    </row>
    <row r="239" customFormat="false" ht="11.9" hidden="false" customHeight="true" outlineLevel="0" collapsed="false">
      <c r="A239" s="3" t="str">
        <f aca="false">HYPERLINK("https://www.fabsurplus.com/sdi_catalog/salesItemDetails.do?id=109806")</f>
        <v>https://www.fabsurplus.com/sdi_catalog/salesItemDetails.do?id=109806</v>
      </c>
      <c r="B239" s="3" t="s">
        <v>629</v>
      </c>
      <c r="C239" s="3" t="s">
        <v>320</v>
      </c>
      <c r="D239" s="3" t="s">
        <v>623</v>
      </c>
      <c r="E239" s="3" t="s">
        <v>47</v>
      </c>
      <c r="F239" s="3" t="s">
        <v>16</v>
      </c>
      <c r="G239" s="3" t="s">
        <v>41</v>
      </c>
      <c r="H239" s="3"/>
      <c r="I239" s="3"/>
      <c r="J239" s="3" t="s">
        <v>42</v>
      </c>
      <c r="K239" s="3"/>
      <c r="L239" s="3" t="s">
        <v>630</v>
      </c>
    </row>
    <row r="240" customFormat="false" ht="11.9" hidden="false" customHeight="true" outlineLevel="0" collapsed="false">
      <c r="A240" s="2" t="str">
        <f aca="false">HYPERLINK("https://www.fabsurplus.com/sdi_catalog/salesItemDetails.do?id=109805")</f>
        <v>https://www.fabsurplus.com/sdi_catalog/salesItemDetails.do?id=109805</v>
      </c>
      <c r="B240" s="2" t="s">
        <v>631</v>
      </c>
      <c r="C240" s="2" t="s">
        <v>320</v>
      </c>
      <c r="D240" s="2" t="s">
        <v>623</v>
      </c>
      <c r="E240" s="2" t="s">
        <v>47</v>
      </c>
      <c r="F240" s="2" t="s">
        <v>16</v>
      </c>
      <c r="G240" s="2" t="s">
        <v>41</v>
      </c>
      <c r="H240" s="2"/>
      <c r="I240" s="2"/>
      <c r="J240" s="2" t="s">
        <v>42</v>
      </c>
      <c r="K240" s="2"/>
      <c r="L240" s="2" t="s">
        <v>632</v>
      </c>
    </row>
    <row r="241" customFormat="false" ht="11.9" hidden="false" customHeight="true" outlineLevel="0" collapsed="false">
      <c r="A241" s="3" t="str">
        <f aca="false">HYPERLINK("https://www.fabsurplus.com/sdi_catalog/salesItemDetails.do?id=109804")</f>
        <v>https://www.fabsurplus.com/sdi_catalog/salesItemDetails.do?id=109804</v>
      </c>
      <c r="B241" s="3" t="s">
        <v>633</v>
      </c>
      <c r="C241" s="3" t="s">
        <v>320</v>
      </c>
      <c r="D241" s="3" t="s">
        <v>623</v>
      </c>
      <c r="E241" s="3" t="s">
        <v>47</v>
      </c>
      <c r="F241" s="3" t="s">
        <v>16</v>
      </c>
      <c r="G241" s="3" t="s">
        <v>41</v>
      </c>
      <c r="H241" s="3"/>
      <c r="I241" s="3"/>
      <c r="J241" s="3" t="s">
        <v>42</v>
      </c>
      <c r="K241" s="3"/>
      <c r="L241" s="3" t="s">
        <v>632</v>
      </c>
    </row>
    <row r="242" customFormat="false" ht="11.9" hidden="false" customHeight="true" outlineLevel="0" collapsed="false">
      <c r="A242" s="2" t="str">
        <f aca="false">HYPERLINK("https://www.fabsurplus.com/sdi_catalog/salesItemDetails.do?id=109803")</f>
        <v>https://www.fabsurplus.com/sdi_catalog/salesItemDetails.do?id=109803</v>
      </c>
      <c r="B242" s="2" t="s">
        <v>634</v>
      </c>
      <c r="C242" s="2" t="s">
        <v>320</v>
      </c>
      <c r="D242" s="2" t="s">
        <v>623</v>
      </c>
      <c r="E242" s="2" t="s">
        <v>47</v>
      </c>
      <c r="F242" s="2" t="s">
        <v>16</v>
      </c>
      <c r="G242" s="2" t="s">
        <v>41</v>
      </c>
      <c r="H242" s="2"/>
      <c r="I242" s="2"/>
      <c r="J242" s="2" t="s">
        <v>42</v>
      </c>
      <c r="K242" s="2"/>
      <c r="L242" s="2" t="s">
        <v>632</v>
      </c>
    </row>
    <row r="243" customFormat="false" ht="11.9" hidden="false" customHeight="true" outlineLevel="0" collapsed="false">
      <c r="A243" s="3" t="str">
        <f aca="false">HYPERLINK("https://www.fabsurplus.com/sdi_catalog/salesItemDetails.do?id=109802")</f>
        <v>https://www.fabsurplus.com/sdi_catalog/salesItemDetails.do?id=109802</v>
      </c>
      <c r="B243" s="3" t="s">
        <v>635</v>
      </c>
      <c r="C243" s="3" t="s">
        <v>320</v>
      </c>
      <c r="D243" s="3" t="s">
        <v>623</v>
      </c>
      <c r="E243" s="3" t="s">
        <v>47</v>
      </c>
      <c r="F243" s="3" t="s">
        <v>16</v>
      </c>
      <c r="G243" s="3" t="s">
        <v>41</v>
      </c>
      <c r="H243" s="3"/>
      <c r="I243" s="3"/>
      <c r="J243" s="3" t="s">
        <v>42</v>
      </c>
      <c r="K243" s="3"/>
      <c r="L243" s="3" t="s">
        <v>636</v>
      </c>
    </row>
    <row r="244" customFormat="false" ht="11.9" hidden="false" customHeight="true" outlineLevel="0" collapsed="false">
      <c r="A244" s="3" t="str">
        <f aca="false">HYPERLINK("https://www.fabsurplus.com/sdi_catalog/salesItemDetails.do?id=109790")</f>
        <v>https://www.fabsurplus.com/sdi_catalog/salesItemDetails.do?id=109790</v>
      </c>
      <c r="B244" s="3" t="s">
        <v>637</v>
      </c>
      <c r="C244" s="3" t="s">
        <v>320</v>
      </c>
      <c r="D244" s="3" t="s">
        <v>638</v>
      </c>
      <c r="E244" s="3" t="s">
        <v>47</v>
      </c>
      <c r="F244" s="3" t="s">
        <v>16</v>
      </c>
      <c r="G244" s="3" t="s">
        <v>41</v>
      </c>
      <c r="H244" s="3"/>
      <c r="I244" s="3"/>
      <c r="J244" s="3" t="s">
        <v>42</v>
      </c>
      <c r="K244" s="3"/>
      <c r="L244" s="3" t="s">
        <v>639</v>
      </c>
    </row>
    <row r="245" customFormat="false" ht="11.9" hidden="false" customHeight="true" outlineLevel="0" collapsed="false">
      <c r="A245" s="2" t="str">
        <f aca="false">HYPERLINK("https://www.fabsurplus.com/sdi_catalog/salesItemDetails.do?id=109789")</f>
        <v>https://www.fabsurplus.com/sdi_catalog/salesItemDetails.do?id=109789</v>
      </c>
      <c r="B245" s="2" t="s">
        <v>640</v>
      </c>
      <c r="C245" s="2" t="s">
        <v>320</v>
      </c>
      <c r="D245" s="2" t="s">
        <v>638</v>
      </c>
      <c r="E245" s="2" t="s">
        <v>47</v>
      </c>
      <c r="F245" s="2" t="s">
        <v>16</v>
      </c>
      <c r="G245" s="2" t="s">
        <v>41</v>
      </c>
      <c r="H245" s="2"/>
      <c r="I245" s="2"/>
      <c r="J245" s="2" t="s">
        <v>42</v>
      </c>
      <c r="K245" s="2"/>
      <c r="L245" s="2" t="s">
        <v>639</v>
      </c>
    </row>
    <row r="246" customFormat="false" ht="11.9" hidden="false" customHeight="true" outlineLevel="0" collapsed="false">
      <c r="A246" s="3" t="str">
        <f aca="false">HYPERLINK("https://www.fabsurplus.com/sdi_catalog/salesItemDetails.do?id=109788")</f>
        <v>https://www.fabsurplus.com/sdi_catalog/salesItemDetails.do?id=109788</v>
      </c>
      <c r="B246" s="3" t="s">
        <v>641</v>
      </c>
      <c r="C246" s="3" t="s">
        <v>320</v>
      </c>
      <c r="D246" s="3" t="s">
        <v>638</v>
      </c>
      <c r="E246" s="3" t="s">
        <v>47</v>
      </c>
      <c r="F246" s="3" t="s">
        <v>16</v>
      </c>
      <c r="G246" s="3" t="s">
        <v>41</v>
      </c>
      <c r="H246" s="3"/>
      <c r="I246" s="3"/>
      <c r="J246" s="3" t="s">
        <v>42</v>
      </c>
      <c r="K246" s="3"/>
      <c r="L246" s="3" t="s">
        <v>639</v>
      </c>
    </row>
    <row r="247" customFormat="false" ht="11.9" hidden="false" customHeight="true" outlineLevel="0" collapsed="false">
      <c r="A247" s="2" t="str">
        <f aca="false">HYPERLINK("https://www.fabsurplus.com/sdi_catalog/salesItemDetails.do?id=109787")</f>
        <v>https://www.fabsurplus.com/sdi_catalog/salesItemDetails.do?id=109787</v>
      </c>
      <c r="B247" s="2" t="s">
        <v>642</v>
      </c>
      <c r="C247" s="2" t="s">
        <v>320</v>
      </c>
      <c r="D247" s="2" t="s">
        <v>638</v>
      </c>
      <c r="E247" s="2" t="s">
        <v>47</v>
      </c>
      <c r="F247" s="2" t="s">
        <v>16</v>
      </c>
      <c r="G247" s="2" t="s">
        <v>41</v>
      </c>
      <c r="H247" s="2"/>
      <c r="I247" s="2"/>
      <c r="J247" s="2" t="s">
        <v>42</v>
      </c>
      <c r="K247" s="2"/>
      <c r="L247" s="2" t="s">
        <v>643</v>
      </c>
    </row>
    <row r="248" customFormat="false" ht="11.9" hidden="false" customHeight="true" outlineLevel="0" collapsed="false">
      <c r="A248" s="3" t="str">
        <f aca="false">HYPERLINK("https://www.fabsurplus.com/sdi_catalog/salesItemDetails.do?id=109786")</f>
        <v>https://www.fabsurplus.com/sdi_catalog/salesItemDetails.do?id=109786</v>
      </c>
      <c r="B248" s="3" t="s">
        <v>644</v>
      </c>
      <c r="C248" s="3" t="s">
        <v>320</v>
      </c>
      <c r="D248" s="3" t="s">
        <v>638</v>
      </c>
      <c r="E248" s="3" t="s">
        <v>47</v>
      </c>
      <c r="F248" s="3" t="s">
        <v>16</v>
      </c>
      <c r="G248" s="3" t="s">
        <v>41</v>
      </c>
      <c r="H248" s="3"/>
      <c r="I248" s="3"/>
      <c r="J248" s="3" t="s">
        <v>42</v>
      </c>
      <c r="K248" s="3"/>
      <c r="L248" s="3" t="s">
        <v>643</v>
      </c>
    </row>
    <row r="249" customFormat="false" ht="11.9" hidden="false" customHeight="true" outlineLevel="0" collapsed="false">
      <c r="A249" s="2" t="str">
        <f aca="false">HYPERLINK("https://www.fabsurplus.com/sdi_catalog/salesItemDetails.do?id=109785")</f>
        <v>https://www.fabsurplus.com/sdi_catalog/salesItemDetails.do?id=109785</v>
      </c>
      <c r="B249" s="2" t="s">
        <v>645</v>
      </c>
      <c r="C249" s="2" t="s">
        <v>320</v>
      </c>
      <c r="D249" s="2" t="s">
        <v>638</v>
      </c>
      <c r="E249" s="2" t="s">
        <v>47</v>
      </c>
      <c r="F249" s="2" t="s">
        <v>16</v>
      </c>
      <c r="G249" s="2" t="s">
        <v>41</v>
      </c>
      <c r="H249" s="2"/>
      <c r="I249" s="2"/>
      <c r="J249" s="2" t="s">
        <v>42</v>
      </c>
      <c r="K249" s="2"/>
      <c r="L249" s="2" t="s">
        <v>643</v>
      </c>
    </row>
    <row r="250" customFormat="false" ht="11.9" hidden="false" customHeight="true" outlineLevel="0" collapsed="false">
      <c r="A250" s="3" t="str">
        <f aca="false">HYPERLINK("https://www.fabsurplus.com/sdi_catalog/salesItemDetails.do?id=109784")</f>
        <v>https://www.fabsurplus.com/sdi_catalog/salesItemDetails.do?id=109784</v>
      </c>
      <c r="B250" s="3" t="s">
        <v>646</v>
      </c>
      <c r="C250" s="3" t="s">
        <v>320</v>
      </c>
      <c r="D250" s="3" t="s">
        <v>638</v>
      </c>
      <c r="E250" s="3" t="s">
        <v>47</v>
      </c>
      <c r="F250" s="3" t="s">
        <v>16</v>
      </c>
      <c r="G250" s="3" t="s">
        <v>41</v>
      </c>
      <c r="H250" s="3"/>
      <c r="I250" s="3"/>
      <c r="J250" s="3" t="s">
        <v>42</v>
      </c>
      <c r="K250" s="3"/>
      <c r="L250" s="3" t="s">
        <v>643</v>
      </c>
    </row>
    <row r="251" customFormat="false" ht="11.9" hidden="false" customHeight="true" outlineLevel="0" collapsed="false">
      <c r="A251" s="2" t="str">
        <f aca="false">HYPERLINK("https://www.fabsurplus.com/sdi_catalog/salesItemDetails.do?id=109783")</f>
        <v>https://www.fabsurplus.com/sdi_catalog/salesItemDetails.do?id=109783</v>
      </c>
      <c r="B251" s="2" t="s">
        <v>647</v>
      </c>
      <c r="C251" s="2" t="s">
        <v>320</v>
      </c>
      <c r="D251" s="2" t="s">
        <v>648</v>
      </c>
      <c r="E251" s="2" t="s">
        <v>47</v>
      </c>
      <c r="F251" s="2" t="s">
        <v>16</v>
      </c>
      <c r="G251" s="2" t="s">
        <v>41</v>
      </c>
      <c r="H251" s="2"/>
      <c r="I251" s="2"/>
      <c r="J251" s="2" t="s">
        <v>42</v>
      </c>
      <c r="K251" s="2"/>
      <c r="L251" s="2" t="s">
        <v>649</v>
      </c>
    </row>
    <row r="252" customFormat="false" ht="11.9" hidden="false" customHeight="true" outlineLevel="0" collapsed="false">
      <c r="A252" s="3" t="str">
        <f aca="false">HYPERLINK("https://www.fabsurplus.com/sdi_catalog/salesItemDetails.do?id=109782")</f>
        <v>https://www.fabsurplus.com/sdi_catalog/salesItemDetails.do?id=109782</v>
      </c>
      <c r="B252" s="3" t="s">
        <v>650</v>
      </c>
      <c r="C252" s="3" t="s">
        <v>320</v>
      </c>
      <c r="D252" s="3" t="s">
        <v>648</v>
      </c>
      <c r="E252" s="3" t="s">
        <v>47</v>
      </c>
      <c r="F252" s="3" t="s">
        <v>16</v>
      </c>
      <c r="G252" s="3" t="s">
        <v>41</v>
      </c>
      <c r="H252" s="3"/>
      <c r="I252" s="3"/>
      <c r="J252" s="3" t="s">
        <v>42</v>
      </c>
      <c r="K252" s="3"/>
      <c r="L252" s="3" t="s">
        <v>651</v>
      </c>
    </row>
    <row r="253" customFormat="false" ht="11.9" hidden="false" customHeight="true" outlineLevel="0" collapsed="false">
      <c r="A253" s="2" t="str">
        <f aca="false">HYPERLINK("https://www.fabsurplus.com/sdi_catalog/salesItemDetails.do?id=109781")</f>
        <v>https://www.fabsurplus.com/sdi_catalog/salesItemDetails.do?id=109781</v>
      </c>
      <c r="B253" s="2" t="s">
        <v>652</v>
      </c>
      <c r="C253" s="2" t="s">
        <v>320</v>
      </c>
      <c r="D253" s="2" t="s">
        <v>648</v>
      </c>
      <c r="E253" s="2" t="s">
        <v>47</v>
      </c>
      <c r="F253" s="2" t="s">
        <v>16</v>
      </c>
      <c r="G253" s="2" t="s">
        <v>41</v>
      </c>
      <c r="H253" s="2"/>
      <c r="I253" s="2"/>
      <c r="J253" s="2" t="s">
        <v>42</v>
      </c>
      <c r="K253" s="2"/>
      <c r="L253" s="2" t="s">
        <v>653</v>
      </c>
    </row>
    <row r="254" customFormat="false" ht="11.9" hidden="false" customHeight="true" outlineLevel="0" collapsed="false">
      <c r="A254" s="3" t="str">
        <f aca="false">HYPERLINK("https://www.fabsurplus.com/sdi_catalog/salesItemDetails.do?id=109780")</f>
        <v>https://www.fabsurplus.com/sdi_catalog/salesItemDetails.do?id=109780</v>
      </c>
      <c r="B254" s="3" t="s">
        <v>654</v>
      </c>
      <c r="C254" s="3" t="s">
        <v>320</v>
      </c>
      <c r="D254" s="3" t="s">
        <v>648</v>
      </c>
      <c r="E254" s="3" t="s">
        <v>47</v>
      </c>
      <c r="F254" s="3" t="s">
        <v>16</v>
      </c>
      <c r="G254" s="3" t="s">
        <v>41</v>
      </c>
      <c r="H254" s="3"/>
      <c r="I254" s="3"/>
      <c r="J254" s="3" t="s">
        <v>42</v>
      </c>
      <c r="K254" s="3"/>
      <c r="L254" s="3" t="s">
        <v>655</v>
      </c>
    </row>
    <row r="255" customFormat="false" ht="11.9" hidden="false" customHeight="true" outlineLevel="0" collapsed="false">
      <c r="A255" s="2" t="str">
        <f aca="false">HYPERLINK("https://www.fabsurplus.com/sdi_catalog/salesItemDetails.do?id=109779")</f>
        <v>https://www.fabsurplus.com/sdi_catalog/salesItemDetails.do?id=109779</v>
      </c>
      <c r="B255" s="2" t="s">
        <v>656</v>
      </c>
      <c r="C255" s="2" t="s">
        <v>320</v>
      </c>
      <c r="D255" s="2" t="s">
        <v>648</v>
      </c>
      <c r="E255" s="2" t="s">
        <v>47</v>
      </c>
      <c r="F255" s="2" t="s">
        <v>16</v>
      </c>
      <c r="G255" s="2" t="s">
        <v>41</v>
      </c>
      <c r="H255" s="2"/>
      <c r="I255" s="2"/>
      <c r="J255" s="2" t="s">
        <v>42</v>
      </c>
      <c r="K255" s="2"/>
      <c r="L255" s="2" t="s">
        <v>657</v>
      </c>
    </row>
    <row r="256" customFormat="false" ht="11.9" hidden="false" customHeight="true" outlineLevel="0" collapsed="false">
      <c r="A256" s="2" t="str">
        <f aca="false">HYPERLINK("https://www.fabsurplus.com/sdi_catalog/salesItemDetails.do?id=109793")</f>
        <v>https://www.fabsurplus.com/sdi_catalog/salesItemDetails.do?id=109793</v>
      </c>
      <c r="B256" s="2" t="s">
        <v>658</v>
      </c>
      <c r="C256" s="2" t="s">
        <v>320</v>
      </c>
      <c r="D256" s="2" t="s">
        <v>659</v>
      </c>
      <c r="E256" s="2" t="s">
        <v>47</v>
      </c>
      <c r="F256" s="2" t="s">
        <v>16</v>
      </c>
      <c r="G256" s="2" t="s">
        <v>41</v>
      </c>
      <c r="H256" s="2"/>
      <c r="I256" s="2"/>
      <c r="J256" s="2" t="s">
        <v>42</v>
      </c>
      <c r="K256" s="2"/>
      <c r="L256" s="2" t="s">
        <v>660</v>
      </c>
    </row>
    <row r="257" customFormat="false" ht="11.9" hidden="false" customHeight="true" outlineLevel="0" collapsed="false">
      <c r="A257" s="3" t="str">
        <f aca="false">HYPERLINK("https://www.fabsurplus.com/sdi_catalog/salesItemDetails.do?id=109792")</f>
        <v>https://www.fabsurplus.com/sdi_catalog/salesItemDetails.do?id=109792</v>
      </c>
      <c r="B257" s="3" t="s">
        <v>661</v>
      </c>
      <c r="C257" s="3" t="s">
        <v>320</v>
      </c>
      <c r="D257" s="3" t="s">
        <v>659</v>
      </c>
      <c r="E257" s="3" t="s">
        <v>47</v>
      </c>
      <c r="F257" s="3" t="s">
        <v>16</v>
      </c>
      <c r="G257" s="3" t="s">
        <v>41</v>
      </c>
      <c r="H257" s="3"/>
      <c r="I257" s="3"/>
      <c r="J257" s="3" t="s">
        <v>42</v>
      </c>
      <c r="K257" s="3"/>
      <c r="L257" s="3" t="s">
        <v>662</v>
      </c>
    </row>
    <row r="258" customFormat="false" ht="11.9" hidden="false" customHeight="true" outlineLevel="0" collapsed="false">
      <c r="A258" s="2" t="str">
        <f aca="false">HYPERLINK("https://www.fabsurplus.com/sdi_catalog/salesItemDetails.do?id=109791")</f>
        <v>https://www.fabsurplus.com/sdi_catalog/salesItemDetails.do?id=109791</v>
      </c>
      <c r="B258" s="2" t="s">
        <v>663</v>
      </c>
      <c r="C258" s="2" t="s">
        <v>320</v>
      </c>
      <c r="D258" s="2" t="s">
        <v>659</v>
      </c>
      <c r="E258" s="2" t="s">
        <v>47</v>
      </c>
      <c r="F258" s="2" t="s">
        <v>16</v>
      </c>
      <c r="G258" s="2" t="s">
        <v>41</v>
      </c>
      <c r="H258" s="2"/>
      <c r="I258" s="2"/>
      <c r="J258" s="2" t="s">
        <v>42</v>
      </c>
      <c r="K258" s="2"/>
      <c r="L258" s="2" t="s">
        <v>662</v>
      </c>
    </row>
    <row r="259" customFormat="false" ht="11.9" hidden="false" customHeight="true" outlineLevel="0" collapsed="false">
      <c r="A259" s="2" t="str">
        <f aca="false">HYPERLINK("https://www.fabsurplus.com/sdi_catalog/salesItemDetails.do?id=109795")</f>
        <v>https://www.fabsurplus.com/sdi_catalog/salesItemDetails.do?id=109795</v>
      </c>
      <c r="B259" s="2" t="s">
        <v>664</v>
      </c>
      <c r="C259" s="2" t="s">
        <v>320</v>
      </c>
      <c r="D259" s="2" t="s">
        <v>665</v>
      </c>
      <c r="E259" s="2" t="s">
        <v>47</v>
      </c>
      <c r="F259" s="2" t="s">
        <v>16</v>
      </c>
      <c r="G259" s="2" t="s">
        <v>41</v>
      </c>
      <c r="H259" s="2"/>
      <c r="I259" s="2"/>
      <c r="J259" s="2" t="s">
        <v>42</v>
      </c>
      <c r="K259" s="2"/>
      <c r="L259" s="2" t="s">
        <v>666</v>
      </c>
    </row>
    <row r="260" customFormat="false" ht="11.9" hidden="false" customHeight="true" outlineLevel="0" collapsed="false">
      <c r="A260" s="3" t="str">
        <f aca="false">HYPERLINK("https://www.fabsurplus.com/sdi_catalog/salesItemDetails.do?id=109794")</f>
        <v>https://www.fabsurplus.com/sdi_catalog/salesItemDetails.do?id=109794</v>
      </c>
      <c r="B260" s="3" t="s">
        <v>667</v>
      </c>
      <c r="C260" s="3" t="s">
        <v>320</v>
      </c>
      <c r="D260" s="3" t="s">
        <v>665</v>
      </c>
      <c r="E260" s="3" t="s">
        <v>47</v>
      </c>
      <c r="F260" s="3" t="s">
        <v>16</v>
      </c>
      <c r="G260" s="3" t="s">
        <v>41</v>
      </c>
      <c r="H260" s="3"/>
      <c r="I260" s="3"/>
      <c r="J260" s="3" t="s">
        <v>42</v>
      </c>
      <c r="K260" s="3"/>
      <c r="L260" s="5" t="s">
        <v>668</v>
      </c>
    </row>
    <row r="261" customFormat="false" ht="11.9" hidden="false" customHeight="true" outlineLevel="0" collapsed="false">
      <c r="A261" s="2" t="str">
        <f aca="false">HYPERLINK("https://www.fabsurplus.com/sdi_catalog/salesItemDetails.do?id=109801")</f>
        <v>https://www.fabsurplus.com/sdi_catalog/salesItemDetails.do?id=109801</v>
      </c>
      <c r="B261" s="2" t="s">
        <v>669</v>
      </c>
      <c r="C261" s="2" t="s">
        <v>320</v>
      </c>
      <c r="D261" s="2" t="s">
        <v>670</v>
      </c>
      <c r="E261" s="2" t="s">
        <v>47</v>
      </c>
      <c r="F261" s="2" t="s">
        <v>16</v>
      </c>
      <c r="G261" s="2" t="s">
        <v>41</v>
      </c>
      <c r="H261" s="2"/>
      <c r="I261" s="2"/>
      <c r="J261" s="2" t="s">
        <v>42</v>
      </c>
      <c r="K261" s="2"/>
      <c r="L261" s="2" t="s">
        <v>671</v>
      </c>
    </row>
    <row r="262" customFormat="false" ht="11.9" hidden="false" customHeight="true" outlineLevel="0" collapsed="false">
      <c r="A262" s="3" t="str">
        <f aca="false">HYPERLINK("https://www.fabsurplus.com/sdi_catalog/salesItemDetails.do?id=109800")</f>
        <v>https://www.fabsurplus.com/sdi_catalog/salesItemDetails.do?id=109800</v>
      </c>
      <c r="B262" s="3" t="s">
        <v>672</v>
      </c>
      <c r="C262" s="3" t="s">
        <v>320</v>
      </c>
      <c r="D262" s="3" t="s">
        <v>670</v>
      </c>
      <c r="E262" s="3" t="s">
        <v>47</v>
      </c>
      <c r="F262" s="3" t="s">
        <v>16</v>
      </c>
      <c r="G262" s="3" t="s">
        <v>41</v>
      </c>
      <c r="H262" s="3"/>
      <c r="I262" s="3"/>
      <c r="J262" s="3" t="s">
        <v>42</v>
      </c>
      <c r="K262" s="3"/>
      <c r="L262" s="3" t="s">
        <v>671</v>
      </c>
    </row>
    <row r="263" customFormat="false" ht="11.9" hidden="false" customHeight="true" outlineLevel="0" collapsed="false">
      <c r="A263" s="2" t="str">
        <f aca="false">HYPERLINK("https://www.fabsurplus.com/sdi_catalog/salesItemDetails.do?id=109799")</f>
        <v>https://www.fabsurplus.com/sdi_catalog/salesItemDetails.do?id=109799</v>
      </c>
      <c r="B263" s="2" t="s">
        <v>673</v>
      </c>
      <c r="C263" s="2" t="s">
        <v>320</v>
      </c>
      <c r="D263" s="2" t="s">
        <v>670</v>
      </c>
      <c r="E263" s="2" t="s">
        <v>47</v>
      </c>
      <c r="F263" s="2" t="s">
        <v>16</v>
      </c>
      <c r="G263" s="2" t="s">
        <v>41</v>
      </c>
      <c r="H263" s="2"/>
      <c r="I263" s="2"/>
      <c r="J263" s="2" t="s">
        <v>42</v>
      </c>
      <c r="K263" s="2"/>
      <c r="L263" s="2" t="s">
        <v>671</v>
      </c>
    </row>
    <row r="264" customFormat="false" ht="11.9" hidden="false" customHeight="true" outlineLevel="0" collapsed="false">
      <c r="A264" s="3" t="str">
        <f aca="false">HYPERLINK("https://www.fabsurplus.com/sdi_catalog/salesItemDetails.do?id=109798")</f>
        <v>https://www.fabsurplus.com/sdi_catalog/salesItemDetails.do?id=109798</v>
      </c>
      <c r="B264" s="3" t="s">
        <v>674</v>
      </c>
      <c r="C264" s="3" t="s">
        <v>320</v>
      </c>
      <c r="D264" s="3" t="s">
        <v>670</v>
      </c>
      <c r="E264" s="3" t="s">
        <v>47</v>
      </c>
      <c r="F264" s="3" t="s">
        <v>16</v>
      </c>
      <c r="G264" s="3" t="s">
        <v>41</v>
      </c>
      <c r="H264" s="3"/>
      <c r="I264" s="3"/>
      <c r="J264" s="3" t="s">
        <v>42</v>
      </c>
      <c r="K264" s="3"/>
      <c r="L264" s="3" t="s">
        <v>671</v>
      </c>
    </row>
    <row r="265" customFormat="false" ht="11.9" hidden="false" customHeight="true" outlineLevel="0" collapsed="false">
      <c r="A265" s="2" t="str">
        <f aca="false">HYPERLINK("https://www.fabsurplus.com/sdi_catalog/salesItemDetails.do?id=109797")</f>
        <v>https://www.fabsurplus.com/sdi_catalog/salesItemDetails.do?id=109797</v>
      </c>
      <c r="B265" s="2" t="s">
        <v>675</v>
      </c>
      <c r="C265" s="2" t="s">
        <v>320</v>
      </c>
      <c r="D265" s="2" t="s">
        <v>670</v>
      </c>
      <c r="E265" s="2" t="s">
        <v>47</v>
      </c>
      <c r="F265" s="2" t="s">
        <v>16</v>
      </c>
      <c r="G265" s="2" t="s">
        <v>41</v>
      </c>
      <c r="H265" s="2"/>
      <c r="I265" s="2"/>
      <c r="J265" s="2" t="s">
        <v>42</v>
      </c>
      <c r="K265" s="2"/>
      <c r="L265" s="2" t="s">
        <v>671</v>
      </c>
    </row>
    <row r="266" customFormat="false" ht="11.9" hidden="false" customHeight="true" outlineLevel="0" collapsed="false">
      <c r="A266" s="3" t="str">
        <f aca="false">HYPERLINK("https://www.fabsurplus.com/sdi_catalog/salesItemDetails.do?id=109796")</f>
        <v>https://www.fabsurplus.com/sdi_catalog/salesItemDetails.do?id=109796</v>
      </c>
      <c r="B266" s="3" t="s">
        <v>676</v>
      </c>
      <c r="C266" s="3" t="s">
        <v>320</v>
      </c>
      <c r="D266" s="3" t="s">
        <v>670</v>
      </c>
      <c r="E266" s="3" t="s">
        <v>47</v>
      </c>
      <c r="F266" s="3" t="s">
        <v>16</v>
      </c>
      <c r="G266" s="3" t="s">
        <v>41</v>
      </c>
      <c r="H266" s="3"/>
      <c r="I266" s="3"/>
      <c r="J266" s="3" t="s">
        <v>42</v>
      </c>
      <c r="K266" s="3"/>
      <c r="L266" s="3" t="s">
        <v>671</v>
      </c>
    </row>
    <row r="267" customFormat="false" ht="11.9" hidden="false" customHeight="true" outlineLevel="0" collapsed="false">
      <c r="A267" s="3" t="str">
        <f aca="false">HYPERLINK("https://www.fabsurplus.com/sdi_catalog/salesItemDetails.do?id=109816")</f>
        <v>https://www.fabsurplus.com/sdi_catalog/salesItemDetails.do?id=109816</v>
      </c>
      <c r="B267" s="3" t="s">
        <v>677</v>
      </c>
      <c r="C267" s="3" t="s">
        <v>320</v>
      </c>
      <c r="D267" s="3" t="s">
        <v>678</v>
      </c>
      <c r="E267" s="3" t="s">
        <v>40</v>
      </c>
      <c r="F267" s="3" t="s">
        <v>16</v>
      </c>
      <c r="G267" s="3" t="s">
        <v>41</v>
      </c>
      <c r="H267" s="3"/>
      <c r="I267" s="3"/>
      <c r="J267" s="3" t="s">
        <v>42</v>
      </c>
      <c r="K267" s="3"/>
      <c r="L267" s="3" t="s">
        <v>679</v>
      </c>
    </row>
    <row r="268" customFormat="false" ht="11.9" hidden="false" customHeight="true" outlineLevel="0" collapsed="false">
      <c r="A268" s="2" t="str">
        <f aca="false">HYPERLINK("https://www.fabsurplus.com/sdi_catalog/salesItemDetails.do?id=109815")</f>
        <v>https://www.fabsurplus.com/sdi_catalog/salesItemDetails.do?id=109815</v>
      </c>
      <c r="B268" s="2" t="s">
        <v>680</v>
      </c>
      <c r="C268" s="2" t="s">
        <v>320</v>
      </c>
      <c r="D268" s="2" t="s">
        <v>678</v>
      </c>
      <c r="E268" s="2" t="s">
        <v>40</v>
      </c>
      <c r="F268" s="2" t="s">
        <v>16</v>
      </c>
      <c r="G268" s="2" t="s">
        <v>41</v>
      </c>
      <c r="H268" s="2"/>
      <c r="I268" s="2"/>
      <c r="J268" s="2" t="s">
        <v>42</v>
      </c>
      <c r="K268" s="2"/>
      <c r="L268" s="2" t="s">
        <v>681</v>
      </c>
    </row>
    <row r="269" customFormat="false" ht="11.9" hidden="false" customHeight="true" outlineLevel="0" collapsed="false">
      <c r="A269" s="3" t="str">
        <f aca="false">HYPERLINK("https://www.fabsurplus.com/sdi_catalog/salesItemDetails.do?id=109814")</f>
        <v>https://www.fabsurplus.com/sdi_catalog/salesItemDetails.do?id=109814</v>
      </c>
      <c r="B269" s="3" t="s">
        <v>682</v>
      </c>
      <c r="C269" s="3" t="s">
        <v>320</v>
      </c>
      <c r="D269" s="3" t="s">
        <v>678</v>
      </c>
      <c r="E269" s="3" t="s">
        <v>40</v>
      </c>
      <c r="F269" s="3" t="s">
        <v>16</v>
      </c>
      <c r="G269" s="3" t="s">
        <v>41</v>
      </c>
      <c r="H269" s="3"/>
      <c r="I269" s="3"/>
      <c r="J269" s="3" t="s">
        <v>42</v>
      </c>
      <c r="K269" s="3"/>
      <c r="L269" s="3" t="s">
        <v>681</v>
      </c>
    </row>
    <row r="270" customFormat="false" ht="11.9" hidden="false" customHeight="true" outlineLevel="0" collapsed="false">
      <c r="A270" s="2" t="str">
        <f aca="false">HYPERLINK("https://www.fabsurplus.com/sdi_catalog/salesItemDetails.do?id=109813")</f>
        <v>https://www.fabsurplus.com/sdi_catalog/salesItemDetails.do?id=109813</v>
      </c>
      <c r="B270" s="2" t="s">
        <v>683</v>
      </c>
      <c r="C270" s="2" t="s">
        <v>320</v>
      </c>
      <c r="D270" s="2" t="s">
        <v>678</v>
      </c>
      <c r="E270" s="2" t="s">
        <v>40</v>
      </c>
      <c r="F270" s="2" t="s">
        <v>16</v>
      </c>
      <c r="G270" s="2" t="s">
        <v>41</v>
      </c>
      <c r="H270" s="2"/>
      <c r="I270" s="2"/>
      <c r="J270" s="2" t="s">
        <v>42</v>
      </c>
      <c r="K270" s="2"/>
      <c r="L270" s="2" t="s">
        <v>684</v>
      </c>
    </row>
    <row r="271" customFormat="false" ht="11.9" hidden="false" customHeight="true" outlineLevel="0" collapsed="false">
      <c r="A271" s="3" t="str">
        <f aca="false">HYPERLINK("https://www.fabsurplus.com/sdi_catalog/salesItemDetails.do?id=109812")</f>
        <v>https://www.fabsurplus.com/sdi_catalog/salesItemDetails.do?id=109812</v>
      </c>
      <c r="B271" s="3" t="s">
        <v>685</v>
      </c>
      <c r="C271" s="3" t="s">
        <v>320</v>
      </c>
      <c r="D271" s="3" t="s">
        <v>678</v>
      </c>
      <c r="E271" s="3" t="s">
        <v>40</v>
      </c>
      <c r="F271" s="3" t="s">
        <v>16</v>
      </c>
      <c r="G271" s="3" t="s">
        <v>41</v>
      </c>
      <c r="H271" s="3"/>
      <c r="I271" s="3"/>
      <c r="J271" s="3" t="s">
        <v>42</v>
      </c>
      <c r="K271" s="3"/>
      <c r="L271" s="3" t="s">
        <v>684</v>
      </c>
    </row>
    <row r="272" customFormat="false" ht="11.9" hidden="false" customHeight="true" outlineLevel="0" collapsed="false">
      <c r="A272" s="2" t="str">
        <f aca="false">HYPERLINK("https://www.fabsurplus.com/sdi_catalog/salesItemDetails.do?id=109811")</f>
        <v>https://www.fabsurplus.com/sdi_catalog/salesItemDetails.do?id=109811</v>
      </c>
      <c r="B272" s="2" t="s">
        <v>686</v>
      </c>
      <c r="C272" s="2" t="s">
        <v>320</v>
      </c>
      <c r="D272" s="2" t="s">
        <v>678</v>
      </c>
      <c r="E272" s="2" t="s">
        <v>40</v>
      </c>
      <c r="F272" s="2" t="s">
        <v>16</v>
      </c>
      <c r="G272" s="2" t="s">
        <v>41</v>
      </c>
      <c r="H272" s="2"/>
      <c r="I272" s="2"/>
      <c r="J272" s="2" t="s">
        <v>42</v>
      </c>
      <c r="K272" s="2"/>
      <c r="L272" s="2" t="s">
        <v>684</v>
      </c>
    </row>
    <row r="273" customFormat="false" ht="11.9" hidden="false" customHeight="true" outlineLevel="0" collapsed="false">
      <c r="A273" s="3" t="str">
        <f aca="false">HYPERLINK("https://www.fabsurplus.com/sdi_catalog/salesItemDetails.do?id=109810")</f>
        <v>https://www.fabsurplus.com/sdi_catalog/salesItemDetails.do?id=109810</v>
      </c>
      <c r="B273" s="3" t="s">
        <v>687</v>
      </c>
      <c r="C273" s="3" t="s">
        <v>320</v>
      </c>
      <c r="D273" s="3" t="s">
        <v>678</v>
      </c>
      <c r="E273" s="3" t="s">
        <v>40</v>
      </c>
      <c r="F273" s="3" t="s">
        <v>16</v>
      </c>
      <c r="G273" s="3" t="s">
        <v>41</v>
      </c>
      <c r="H273" s="3"/>
      <c r="I273" s="3"/>
      <c r="J273" s="3" t="s">
        <v>42</v>
      </c>
      <c r="K273" s="3"/>
      <c r="L273" s="3" t="s">
        <v>688</v>
      </c>
    </row>
    <row r="274" customFormat="false" ht="11.9" hidden="false" customHeight="true" outlineLevel="0" collapsed="false">
      <c r="A274" s="2" t="str">
        <f aca="false">HYPERLINK("https://www.fabsurplus.com/sdi_catalog/salesItemDetails.do?id=109817")</f>
        <v>https://www.fabsurplus.com/sdi_catalog/salesItemDetails.do?id=109817</v>
      </c>
      <c r="B274" s="2" t="s">
        <v>689</v>
      </c>
      <c r="C274" s="2" t="s">
        <v>320</v>
      </c>
      <c r="D274" s="2" t="s">
        <v>690</v>
      </c>
      <c r="E274" s="2" t="s">
        <v>47</v>
      </c>
      <c r="F274" s="2" t="s">
        <v>16</v>
      </c>
      <c r="G274" s="2" t="s">
        <v>41</v>
      </c>
      <c r="H274" s="2"/>
      <c r="I274" s="2"/>
      <c r="J274" s="2" t="s">
        <v>42</v>
      </c>
      <c r="K274" s="2"/>
      <c r="L274" s="2" t="s">
        <v>691</v>
      </c>
    </row>
    <row r="275" customFormat="false" ht="11.9" hidden="false" customHeight="true" outlineLevel="0" collapsed="false">
      <c r="A275" s="2" t="str">
        <f aca="false">HYPERLINK("https://www.fabsurplus.com/sdi_catalog/salesItemDetails.do?id=109822")</f>
        <v>https://www.fabsurplus.com/sdi_catalog/salesItemDetails.do?id=109822</v>
      </c>
      <c r="B275" s="2" t="s">
        <v>692</v>
      </c>
      <c r="C275" s="2" t="s">
        <v>320</v>
      </c>
      <c r="D275" s="2" t="s">
        <v>693</v>
      </c>
      <c r="E275" s="2" t="s">
        <v>47</v>
      </c>
      <c r="F275" s="2" t="s">
        <v>16</v>
      </c>
      <c r="G275" s="2" t="s">
        <v>41</v>
      </c>
      <c r="H275" s="2"/>
      <c r="I275" s="2"/>
      <c r="J275" s="2" t="s">
        <v>42</v>
      </c>
      <c r="K275" s="2"/>
      <c r="L275" s="2" t="s">
        <v>694</v>
      </c>
    </row>
    <row r="276" customFormat="false" ht="11.9" hidden="false" customHeight="true" outlineLevel="0" collapsed="false">
      <c r="A276" s="3" t="str">
        <f aca="false">HYPERLINK("https://www.fabsurplus.com/sdi_catalog/salesItemDetails.do?id=109821")</f>
        <v>https://www.fabsurplus.com/sdi_catalog/salesItemDetails.do?id=109821</v>
      </c>
      <c r="B276" s="3" t="s">
        <v>695</v>
      </c>
      <c r="C276" s="3" t="s">
        <v>320</v>
      </c>
      <c r="D276" s="3" t="s">
        <v>149</v>
      </c>
      <c r="E276" s="3" t="s">
        <v>47</v>
      </c>
      <c r="F276" s="3" t="s">
        <v>16</v>
      </c>
      <c r="G276" s="3" t="s">
        <v>41</v>
      </c>
      <c r="H276" s="3"/>
      <c r="I276" s="3"/>
      <c r="J276" s="3" t="s">
        <v>42</v>
      </c>
      <c r="K276" s="3"/>
      <c r="L276" s="3" t="s">
        <v>696</v>
      </c>
    </row>
    <row r="277" customFormat="false" ht="11.9" hidden="false" customHeight="true" outlineLevel="0" collapsed="false">
      <c r="A277" s="2" t="str">
        <f aca="false">HYPERLINK("https://www.fabsurplus.com/sdi_catalog/salesItemDetails.do?id=109820")</f>
        <v>https://www.fabsurplus.com/sdi_catalog/salesItemDetails.do?id=109820</v>
      </c>
      <c r="B277" s="2" t="s">
        <v>697</v>
      </c>
      <c r="C277" s="2" t="s">
        <v>320</v>
      </c>
      <c r="D277" s="2" t="s">
        <v>149</v>
      </c>
      <c r="E277" s="2" t="s">
        <v>47</v>
      </c>
      <c r="F277" s="2" t="s">
        <v>16</v>
      </c>
      <c r="G277" s="2" t="s">
        <v>41</v>
      </c>
      <c r="H277" s="2"/>
      <c r="I277" s="2"/>
      <c r="J277" s="2" t="s">
        <v>42</v>
      </c>
      <c r="K277" s="2"/>
      <c r="L277" s="2" t="s">
        <v>698</v>
      </c>
    </row>
    <row r="278" customFormat="false" ht="11.9" hidden="false" customHeight="true" outlineLevel="0" collapsed="false">
      <c r="A278" s="3" t="str">
        <f aca="false">HYPERLINK("https://www.fabsurplus.com/sdi_catalog/salesItemDetails.do?id=109819")</f>
        <v>https://www.fabsurplus.com/sdi_catalog/salesItemDetails.do?id=109819</v>
      </c>
      <c r="B278" s="3" t="s">
        <v>699</v>
      </c>
      <c r="C278" s="3" t="s">
        <v>320</v>
      </c>
      <c r="D278" s="3" t="s">
        <v>149</v>
      </c>
      <c r="E278" s="3" t="s">
        <v>47</v>
      </c>
      <c r="F278" s="3" t="s">
        <v>16</v>
      </c>
      <c r="G278" s="3" t="s">
        <v>41</v>
      </c>
      <c r="H278" s="3"/>
      <c r="I278" s="3"/>
      <c r="J278" s="3" t="s">
        <v>42</v>
      </c>
      <c r="K278" s="3"/>
      <c r="L278" s="3" t="s">
        <v>700</v>
      </c>
    </row>
    <row r="279" customFormat="false" ht="11.9" hidden="false" customHeight="true" outlineLevel="0" collapsed="false">
      <c r="A279" s="3" t="str">
        <f aca="false">HYPERLINK("https://www.fabsurplus.com/sdi_catalog/salesItemDetails.do?id=109835")</f>
        <v>https://www.fabsurplus.com/sdi_catalog/salesItemDetails.do?id=109835</v>
      </c>
      <c r="B279" s="3" t="s">
        <v>701</v>
      </c>
      <c r="C279" s="3" t="s">
        <v>320</v>
      </c>
      <c r="D279" s="3" t="s">
        <v>702</v>
      </c>
      <c r="E279" s="3" t="s">
        <v>40</v>
      </c>
      <c r="F279" s="3" t="s">
        <v>16</v>
      </c>
      <c r="G279" s="3" t="s">
        <v>41</v>
      </c>
      <c r="H279" s="3"/>
      <c r="I279" s="3"/>
      <c r="J279" s="3" t="s">
        <v>42</v>
      </c>
      <c r="K279" s="3"/>
      <c r="L279" s="5" t="s">
        <v>703</v>
      </c>
    </row>
    <row r="280" customFormat="false" ht="11.9" hidden="false" customHeight="true" outlineLevel="0" collapsed="false">
      <c r="A280" s="2" t="str">
        <f aca="false">HYPERLINK("https://www.fabsurplus.com/sdi_catalog/salesItemDetails.do?id=109834")</f>
        <v>https://www.fabsurplus.com/sdi_catalog/salesItemDetails.do?id=109834</v>
      </c>
      <c r="B280" s="2" t="s">
        <v>704</v>
      </c>
      <c r="C280" s="2" t="s">
        <v>320</v>
      </c>
      <c r="D280" s="2" t="s">
        <v>702</v>
      </c>
      <c r="E280" s="2" t="s">
        <v>40</v>
      </c>
      <c r="F280" s="2" t="s">
        <v>16</v>
      </c>
      <c r="G280" s="2" t="s">
        <v>41</v>
      </c>
      <c r="H280" s="2"/>
      <c r="I280" s="2"/>
      <c r="J280" s="2" t="s">
        <v>42</v>
      </c>
      <c r="K280" s="2"/>
      <c r="L280" s="6" t="s">
        <v>703</v>
      </c>
    </row>
    <row r="281" customFormat="false" ht="11.9" hidden="false" customHeight="true" outlineLevel="0" collapsed="false">
      <c r="A281" s="3" t="str">
        <f aca="false">HYPERLINK("https://www.fabsurplus.com/sdi_catalog/salesItemDetails.do?id=109833")</f>
        <v>https://www.fabsurplus.com/sdi_catalog/salesItemDetails.do?id=109833</v>
      </c>
      <c r="B281" s="3" t="s">
        <v>705</v>
      </c>
      <c r="C281" s="3" t="s">
        <v>320</v>
      </c>
      <c r="D281" s="3" t="s">
        <v>702</v>
      </c>
      <c r="E281" s="3" t="s">
        <v>40</v>
      </c>
      <c r="F281" s="3" t="s">
        <v>16</v>
      </c>
      <c r="G281" s="3" t="s">
        <v>41</v>
      </c>
      <c r="H281" s="3"/>
      <c r="I281" s="3"/>
      <c r="J281" s="3" t="s">
        <v>42</v>
      </c>
      <c r="K281" s="3"/>
      <c r="L281" s="5" t="s">
        <v>703</v>
      </c>
    </row>
    <row r="282" customFormat="false" ht="11.9" hidden="false" customHeight="true" outlineLevel="0" collapsed="false">
      <c r="A282" s="3" t="str">
        <f aca="false">HYPERLINK("https://www.fabsurplus.com/sdi_catalog/salesItemDetails.do?id=109823")</f>
        <v>https://www.fabsurplus.com/sdi_catalog/salesItemDetails.do?id=109823</v>
      </c>
      <c r="B282" s="3" t="s">
        <v>706</v>
      </c>
      <c r="C282" s="3" t="s">
        <v>320</v>
      </c>
      <c r="D282" s="3" t="s">
        <v>707</v>
      </c>
      <c r="E282" s="3" t="s">
        <v>40</v>
      </c>
      <c r="F282" s="3" t="s">
        <v>16</v>
      </c>
      <c r="G282" s="3" t="s">
        <v>41</v>
      </c>
      <c r="H282" s="3"/>
      <c r="I282" s="3"/>
      <c r="J282" s="3" t="s">
        <v>42</v>
      </c>
      <c r="K282" s="3"/>
      <c r="L282" s="5" t="s">
        <v>708</v>
      </c>
    </row>
    <row r="283" customFormat="false" ht="11.9" hidden="false" customHeight="true" outlineLevel="0" collapsed="false">
      <c r="A283" s="2" t="str">
        <f aca="false">HYPERLINK("https://www.fabsurplus.com/sdi_catalog/salesItemDetails.do?id=109832")</f>
        <v>https://www.fabsurplus.com/sdi_catalog/salesItemDetails.do?id=109832</v>
      </c>
      <c r="B283" s="2" t="s">
        <v>709</v>
      </c>
      <c r="C283" s="2" t="s">
        <v>320</v>
      </c>
      <c r="D283" s="2" t="s">
        <v>710</v>
      </c>
      <c r="E283" s="2" t="s">
        <v>40</v>
      </c>
      <c r="F283" s="2" t="s">
        <v>16</v>
      </c>
      <c r="G283" s="2" t="s">
        <v>41</v>
      </c>
      <c r="H283" s="2"/>
      <c r="I283" s="2"/>
      <c r="J283" s="2" t="s">
        <v>42</v>
      </c>
      <c r="K283" s="2"/>
      <c r="L283" s="6" t="s">
        <v>711</v>
      </c>
    </row>
    <row r="284" customFormat="false" ht="11.9" hidden="false" customHeight="true" outlineLevel="0" collapsed="false">
      <c r="A284" s="3" t="str">
        <f aca="false">HYPERLINK("https://www.fabsurplus.com/sdi_catalog/salesItemDetails.do?id=109831")</f>
        <v>https://www.fabsurplus.com/sdi_catalog/salesItemDetails.do?id=109831</v>
      </c>
      <c r="B284" s="3" t="s">
        <v>712</v>
      </c>
      <c r="C284" s="3" t="s">
        <v>320</v>
      </c>
      <c r="D284" s="3" t="s">
        <v>710</v>
      </c>
      <c r="E284" s="3" t="s">
        <v>40</v>
      </c>
      <c r="F284" s="3" t="s">
        <v>16</v>
      </c>
      <c r="G284" s="3" t="s">
        <v>41</v>
      </c>
      <c r="H284" s="3"/>
      <c r="I284" s="3"/>
      <c r="J284" s="3" t="s">
        <v>42</v>
      </c>
      <c r="K284" s="3"/>
      <c r="L284" s="5" t="s">
        <v>711</v>
      </c>
    </row>
    <row r="285" customFormat="false" ht="11.9" hidden="false" customHeight="true" outlineLevel="0" collapsed="false">
      <c r="A285" s="2" t="str">
        <f aca="false">HYPERLINK("https://www.fabsurplus.com/sdi_catalog/salesItemDetails.do?id=109830")</f>
        <v>https://www.fabsurplus.com/sdi_catalog/salesItemDetails.do?id=109830</v>
      </c>
      <c r="B285" s="2" t="s">
        <v>713</v>
      </c>
      <c r="C285" s="2" t="s">
        <v>320</v>
      </c>
      <c r="D285" s="2" t="s">
        <v>710</v>
      </c>
      <c r="E285" s="2" t="s">
        <v>40</v>
      </c>
      <c r="F285" s="2" t="s">
        <v>16</v>
      </c>
      <c r="G285" s="2" t="s">
        <v>41</v>
      </c>
      <c r="H285" s="2"/>
      <c r="I285" s="2"/>
      <c r="J285" s="2" t="s">
        <v>42</v>
      </c>
      <c r="K285" s="2"/>
      <c r="L285" s="6" t="s">
        <v>711</v>
      </c>
    </row>
    <row r="286" customFormat="false" ht="11.9" hidden="false" customHeight="true" outlineLevel="0" collapsed="false">
      <c r="A286" s="3" t="str">
        <f aca="false">HYPERLINK("https://www.fabsurplus.com/sdi_catalog/salesItemDetails.do?id=109829")</f>
        <v>https://www.fabsurplus.com/sdi_catalog/salesItemDetails.do?id=109829</v>
      </c>
      <c r="B286" s="3" t="s">
        <v>714</v>
      </c>
      <c r="C286" s="3" t="s">
        <v>320</v>
      </c>
      <c r="D286" s="3" t="s">
        <v>710</v>
      </c>
      <c r="E286" s="3" t="s">
        <v>40</v>
      </c>
      <c r="F286" s="3" t="s">
        <v>16</v>
      </c>
      <c r="G286" s="3" t="s">
        <v>41</v>
      </c>
      <c r="H286" s="3"/>
      <c r="I286" s="3"/>
      <c r="J286" s="3" t="s">
        <v>42</v>
      </c>
      <c r="K286" s="3"/>
      <c r="L286" s="5" t="s">
        <v>711</v>
      </c>
    </row>
    <row r="287" customFormat="false" ht="11.9" hidden="false" customHeight="true" outlineLevel="0" collapsed="false">
      <c r="A287" s="2" t="str">
        <f aca="false">HYPERLINK("https://www.fabsurplus.com/sdi_catalog/salesItemDetails.do?id=109828")</f>
        <v>https://www.fabsurplus.com/sdi_catalog/salesItemDetails.do?id=109828</v>
      </c>
      <c r="B287" s="2" t="s">
        <v>715</v>
      </c>
      <c r="C287" s="2" t="s">
        <v>320</v>
      </c>
      <c r="D287" s="2" t="s">
        <v>710</v>
      </c>
      <c r="E287" s="2" t="s">
        <v>40</v>
      </c>
      <c r="F287" s="2" t="s">
        <v>16</v>
      </c>
      <c r="G287" s="2" t="s">
        <v>41</v>
      </c>
      <c r="H287" s="2"/>
      <c r="I287" s="2"/>
      <c r="J287" s="2" t="s">
        <v>42</v>
      </c>
      <c r="K287" s="2"/>
      <c r="L287" s="6" t="s">
        <v>711</v>
      </c>
    </row>
    <row r="288" customFormat="false" ht="11.9" hidden="false" customHeight="true" outlineLevel="0" collapsed="false">
      <c r="A288" s="3" t="str">
        <f aca="false">HYPERLINK("https://www.fabsurplus.com/sdi_catalog/salesItemDetails.do?id=109827")</f>
        <v>https://www.fabsurplus.com/sdi_catalog/salesItemDetails.do?id=109827</v>
      </c>
      <c r="B288" s="3" t="s">
        <v>716</v>
      </c>
      <c r="C288" s="3" t="s">
        <v>320</v>
      </c>
      <c r="D288" s="3" t="s">
        <v>710</v>
      </c>
      <c r="E288" s="3" t="s">
        <v>40</v>
      </c>
      <c r="F288" s="3" t="s">
        <v>16</v>
      </c>
      <c r="G288" s="3" t="s">
        <v>41</v>
      </c>
      <c r="H288" s="3"/>
      <c r="I288" s="3"/>
      <c r="J288" s="3" t="s">
        <v>42</v>
      </c>
      <c r="K288" s="3"/>
      <c r="L288" s="5" t="s">
        <v>711</v>
      </c>
    </row>
    <row r="289" customFormat="false" ht="11.9" hidden="false" customHeight="true" outlineLevel="0" collapsed="false">
      <c r="A289" s="2" t="str">
        <f aca="false">HYPERLINK("https://www.fabsurplus.com/sdi_catalog/salesItemDetails.do?id=109826")</f>
        <v>https://www.fabsurplus.com/sdi_catalog/salesItemDetails.do?id=109826</v>
      </c>
      <c r="B289" s="2" t="s">
        <v>717</v>
      </c>
      <c r="C289" s="2" t="s">
        <v>320</v>
      </c>
      <c r="D289" s="2" t="s">
        <v>710</v>
      </c>
      <c r="E289" s="2" t="s">
        <v>40</v>
      </c>
      <c r="F289" s="2" t="s">
        <v>16</v>
      </c>
      <c r="G289" s="2" t="s">
        <v>41</v>
      </c>
      <c r="H289" s="2"/>
      <c r="I289" s="2"/>
      <c r="J289" s="2" t="s">
        <v>42</v>
      </c>
      <c r="K289" s="2"/>
      <c r="L289" s="6" t="s">
        <v>711</v>
      </c>
    </row>
    <row r="290" customFormat="false" ht="11.9" hidden="false" customHeight="true" outlineLevel="0" collapsed="false">
      <c r="A290" s="3" t="str">
        <f aca="false">HYPERLINK("https://www.fabsurplus.com/sdi_catalog/salesItemDetails.do?id=109825")</f>
        <v>https://www.fabsurplus.com/sdi_catalog/salesItemDetails.do?id=109825</v>
      </c>
      <c r="B290" s="3" t="s">
        <v>718</v>
      </c>
      <c r="C290" s="3" t="s">
        <v>320</v>
      </c>
      <c r="D290" s="3" t="s">
        <v>710</v>
      </c>
      <c r="E290" s="3" t="s">
        <v>40</v>
      </c>
      <c r="F290" s="3" t="s">
        <v>16</v>
      </c>
      <c r="G290" s="3" t="s">
        <v>41</v>
      </c>
      <c r="H290" s="3"/>
      <c r="I290" s="3"/>
      <c r="J290" s="3" t="s">
        <v>42</v>
      </c>
      <c r="K290" s="3"/>
      <c r="L290" s="5" t="s">
        <v>711</v>
      </c>
    </row>
    <row r="291" customFormat="false" ht="11.9" hidden="false" customHeight="true" outlineLevel="0" collapsed="false">
      <c r="A291" s="2" t="str">
        <f aca="false">HYPERLINK("https://www.fabsurplus.com/sdi_catalog/salesItemDetails.do?id=109824")</f>
        <v>https://www.fabsurplus.com/sdi_catalog/salesItemDetails.do?id=109824</v>
      </c>
      <c r="B291" s="2" t="s">
        <v>719</v>
      </c>
      <c r="C291" s="2" t="s">
        <v>320</v>
      </c>
      <c r="D291" s="2" t="s">
        <v>710</v>
      </c>
      <c r="E291" s="2" t="s">
        <v>40</v>
      </c>
      <c r="F291" s="2" t="s">
        <v>16</v>
      </c>
      <c r="G291" s="2" t="s">
        <v>41</v>
      </c>
      <c r="H291" s="2"/>
      <c r="I291" s="2"/>
      <c r="J291" s="2" t="s">
        <v>42</v>
      </c>
      <c r="K291" s="2"/>
      <c r="L291" s="6" t="s">
        <v>711</v>
      </c>
    </row>
    <row r="292" customFormat="false" ht="11.9" hidden="false" customHeight="true" outlineLevel="0" collapsed="false">
      <c r="A292" s="2" t="str">
        <f aca="false">HYPERLINK("https://www.fabsurplus.com/sdi_catalog/salesItemDetails.do?id=109836")</f>
        <v>https://www.fabsurplus.com/sdi_catalog/salesItemDetails.do?id=109836</v>
      </c>
      <c r="B292" s="2" t="s">
        <v>720</v>
      </c>
      <c r="C292" s="2" t="s">
        <v>320</v>
      </c>
      <c r="D292" s="2" t="s">
        <v>721</v>
      </c>
      <c r="E292" s="2" t="s">
        <v>40</v>
      </c>
      <c r="F292" s="2" t="s">
        <v>16</v>
      </c>
      <c r="G292" s="2" t="s">
        <v>41</v>
      </c>
      <c r="H292" s="2"/>
      <c r="I292" s="2"/>
      <c r="J292" s="2" t="s">
        <v>42</v>
      </c>
      <c r="K292" s="2"/>
      <c r="L292" s="2" t="s">
        <v>722</v>
      </c>
    </row>
    <row r="293" customFormat="false" ht="11.9" hidden="false" customHeight="true" outlineLevel="0" collapsed="false">
      <c r="A293" s="2" t="str">
        <f aca="false">HYPERLINK("https://www.fabsurplus.com/sdi_catalog/salesItemDetails.do?id=109844")</f>
        <v>https://www.fabsurplus.com/sdi_catalog/salesItemDetails.do?id=109844</v>
      </c>
      <c r="B293" s="2" t="s">
        <v>723</v>
      </c>
      <c r="C293" s="2" t="s">
        <v>320</v>
      </c>
      <c r="D293" s="2" t="s">
        <v>724</v>
      </c>
      <c r="E293" s="2" t="s">
        <v>47</v>
      </c>
      <c r="F293" s="2" t="s">
        <v>16</v>
      </c>
      <c r="G293" s="2" t="s">
        <v>41</v>
      </c>
      <c r="H293" s="2"/>
      <c r="I293" s="2"/>
      <c r="J293" s="2" t="s">
        <v>42</v>
      </c>
      <c r="K293" s="2"/>
      <c r="L293" s="2" t="s">
        <v>725</v>
      </c>
    </row>
    <row r="294" customFormat="false" ht="11.9" hidden="false" customHeight="true" outlineLevel="0" collapsed="false">
      <c r="A294" s="3" t="str">
        <f aca="false">HYPERLINK("https://www.fabsurplus.com/sdi_catalog/salesItemDetails.do?id=109843")</f>
        <v>https://www.fabsurplus.com/sdi_catalog/salesItemDetails.do?id=109843</v>
      </c>
      <c r="B294" s="3" t="s">
        <v>726</v>
      </c>
      <c r="C294" s="3" t="s">
        <v>320</v>
      </c>
      <c r="D294" s="3" t="s">
        <v>724</v>
      </c>
      <c r="E294" s="3" t="s">
        <v>47</v>
      </c>
      <c r="F294" s="3" t="s">
        <v>16</v>
      </c>
      <c r="G294" s="3" t="s">
        <v>41</v>
      </c>
      <c r="H294" s="3"/>
      <c r="I294" s="3"/>
      <c r="J294" s="3" t="s">
        <v>42</v>
      </c>
      <c r="K294" s="3"/>
      <c r="L294" s="3" t="s">
        <v>727</v>
      </c>
    </row>
    <row r="295" customFormat="false" ht="11.9" hidden="false" customHeight="true" outlineLevel="0" collapsed="false">
      <c r="A295" s="2" t="str">
        <f aca="false">HYPERLINK("https://www.fabsurplus.com/sdi_catalog/salesItemDetails.do?id=109842")</f>
        <v>https://www.fabsurplus.com/sdi_catalog/salesItemDetails.do?id=109842</v>
      </c>
      <c r="B295" s="2" t="s">
        <v>728</v>
      </c>
      <c r="C295" s="2" t="s">
        <v>320</v>
      </c>
      <c r="D295" s="2" t="s">
        <v>724</v>
      </c>
      <c r="E295" s="2" t="s">
        <v>47</v>
      </c>
      <c r="F295" s="2" t="s">
        <v>16</v>
      </c>
      <c r="G295" s="2" t="s">
        <v>41</v>
      </c>
      <c r="H295" s="2"/>
      <c r="I295" s="2"/>
      <c r="J295" s="2" t="s">
        <v>42</v>
      </c>
      <c r="K295" s="2"/>
      <c r="L295" s="2" t="s">
        <v>729</v>
      </c>
    </row>
    <row r="296" customFormat="false" ht="11.9" hidden="false" customHeight="true" outlineLevel="0" collapsed="false">
      <c r="A296" s="3" t="str">
        <f aca="false">HYPERLINK("https://www.fabsurplus.com/sdi_catalog/salesItemDetails.do?id=109841")</f>
        <v>https://www.fabsurplus.com/sdi_catalog/salesItemDetails.do?id=109841</v>
      </c>
      <c r="B296" s="3" t="s">
        <v>730</v>
      </c>
      <c r="C296" s="3" t="s">
        <v>320</v>
      </c>
      <c r="D296" s="3" t="s">
        <v>724</v>
      </c>
      <c r="E296" s="3" t="s">
        <v>47</v>
      </c>
      <c r="F296" s="3" t="s">
        <v>16</v>
      </c>
      <c r="G296" s="3" t="s">
        <v>41</v>
      </c>
      <c r="H296" s="3"/>
      <c r="I296" s="3"/>
      <c r="J296" s="3" t="s">
        <v>42</v>
      </c>
      <c r="K296" s="3"/>
      <c r="L296" s="3" t="s">
        <v>731</v>
      </c>
    </row>
    <row r="297" customFormat="false" ht="11.9" hidden="false" customHeight="true" outlineLevel="0" collapsed="false">
      <c r="A297" s="3" t="str">
        <f aca="false">HYPERLINK("https://www.fabsurplus.com/sdi_catalog/salesItemDetails.do?id=109837")</f>
        <v>https://www.fabsurplus.com/sdi_catalog/salesItemDetails.do?id=109837</v>
      </c>
      <c r="B297" s="3" t="s">
        <v>732</v>
      </c>
      <c r="C297" s="3" t="s">
        <v>320</v>
      </c>
      <c r="D297" s="3" t="s">
        <v>733</v>
      </c>
      <c r="E297" s="3" t="s">
        <v>47</v>
      </c>
      <c r="F297" s="3" t="s">
        <v>16</v>
      </c>
      <c r="G297" s="3" t="s">
        <v>41</v>
      </c>
      <c r="H297" s="3"/>
      <c r="I297" s="3"/>
      <c r="J297" s="3" t="s">
        <v>42</v>
      </c>
      <c r="K297" s="3"/>
      <c r="L297" s="3" t="s">
        <v>734</v>
      </c>
    </row>
    <row r="298" customFormat="false" ht="11.9" hidden="false" customHeight="true" outlineLevel="0" collapsed="false">
      <c r="A298" s="2" t="str">
        <f aca="false">HYPERLINK("https://www.fabsurplus.com/sdi_catalog/salesItemDetails.do?id=109838")</f>
        <v>https://www.fabsurplus.com/sdi_catalog/salesItemDetails.do?id=109838</v>
      </c>
      <c r="B298" s="2" t="s">
        <v>735</v>
      </c>
      <c r="C298" s="2" t="s">
        <v>320</v>
      </c>
      <c r="D298" s="2" t="s">
        <v>736</v>
      </c>
      <c r="E298" s="2" t="s">
        <v>47</v>
      </c>
      <c r="F298" s="2" t="s">
        <v>16</v>
      </c>
      <c r="G298" s="2" t="s">
        <v>41</v>
      </c>
      <c r="H298" s="2"/>
      <c r="I298" s="2"/>
      <c r="J298" s="2" t="s">
        <v>42</v>
      </c>
      <c r="K298" s="2"/>
      <c r="L298" s="2" t="s">
        <v>737</v>
      </c>
    </row>
    <row r="299" customFormat="false" ht="11.9" hidden="false" customHeight="true" outlineLevel="0" collapsed="false">
      <c r="A299" s="2" t="str">
        <f aca="false">HYPERLINK("https://www.fabsurplus.com/sdi_catalog/salesItemDetails.do?id=109840")</f>
        <v>https://www.fabsurplus.com/sdi_catalog/salesItemDetails.do?id=109840</v>
      </c>
      <c r="B299" s="2" t="s">
        <v>738</v>
      </c>
      <c r="C299" s="2" t="s">
        <v>320</v>
      </c>
      <c r="D299" s="2" t="s">
        <v>152</v>
      </c>
      <c r="E299" s="2" t="s">
        <v>47</v>
      </c>
      <c r="F299" s="2" t="s">
        <v>16</v>
      </c>
      <c r="G299" s="2" t="s">
        <v>41</v>
      </c>
      <c r="H299" s="2"/>
      <c r="I299" s="2"/>
      <c r="J299" s="2" t="s">
        <v>42</v>
      </c>
      <c r="K299" s="2"/>
      <c r="L299" s="2" t="s">
        <v>739</v>
      </c>
    </row>
    <row r="300" customFormat="false" ht="11.9" hidden="false" customHeight="true" outlineLevel="0" collapsed="false">
      <c r="A300" s="3" t="str">
        <f aca="false">HYPERLINK("https://www.fabsurplus.com/sdi_catalog/salesItemDetails.do?id=109839")</f>
        <v>https://www.fabsurplus.com/sdi_catalog/salesItemDetails.do?id=109839</v>
      </c>
      <c r="B300" s="3" t="s">
        <v>740</v>
      </c>
      <c r="C300" s="3" t="s">
        <v>320</v>
      </c>
      <c r="D300" s="3" t="s">
        <v>152</v>
      </c>
      <c r="E300" s="3" t="s">
        <v>47</v>
      </c>
      <c r="F300" s="3" t="s">
        <v>16</v>
      </c>
      <c r="G300" s="3" t="s">
        <v>41</v>
      </c>
      <c r="H300" s="3"/>
      <c r="I300" s="3"/>
      <c r="J300" s="3" t="s">
        <v>42</v>
      </c>
      <c r="K300" s="3"/>
      <c r="L300" s="3" t="s">
        <v>741</v>
      </c>
    </row>
    <row r="301" customFormat="false" ht="11.9" hidden="false" customHeight="true" outlineLevel="0" collapsed="false">
      <c r="A301" s="3" t="str">
        <f aca="false">HYPERLINK("https://www.fabsurplus.com/sdi_catalog/salesItemDetails.do?id=109847")</f>
        <v>https://www.fabsurplus.com/sdi_catalog/salesItemDetails.do?id=109847</v>
      </c>
      <c r="B301" s="3" t="s">
        <v>742</v>
      </c>
      <c r="C301" s="3" t="s">
        <v>320</v>
      </c>
      <c r="D301" s="3" t="s">
        <v>743</v>
      </c>
      <c r="E301" s="3" t="s">
        <v>47</v>
      </c>
      <c r="F301" s="3" t="s">
        <v>16</v>
      </c>
      <c r="G301" s="3" t="s">
        <v>41</v>
      </c>
      <c r="H301" s="3"/>
      <c r="I301" s="3"/>
      <c r="J301" s="3" t="s">
        <v>42</v>
      </c>
      <c r="K301" s="3"/>
      <c r="L301" s="3" t="s">
        <v>744</v>
      </c>
    </row>
    <row r="302" customFormat="false" ht="11.9" hidden="false" customHeight="true" outlineLevel="0" collapsed="false">
      <c r="A302" s="3" t="str">
        <f aca="false">HYPERLINK("https://www.fabsurplus.com/sdi_catalog/salesItemDetails.do?id=109861")</f>
        <v>https://www.fabsurplus.com/sdi_catalog/salesItemDetails.do?id=109861</v>
      </c>
      <c r="B302" s="3" t="s">
        <v>745</v>
      </c>
      <c r="C302" s="3" t="s">
        <v>320</v>
      </c>
      <c r="D302" s="3" t="s">
        <v>746</v>
      </c>
      <c r="E302" s="3" t="s">
        <v>47</v>
      </c>
      <c r="F302" s="3" t="s">
        <v>16</v>
      </c>
      <c r="G302" s="3" t="s">
        <v>41</v>
      </c>
      <c r="H302" s="3"/>
      <c r="I302" s="3"/>
      <c r="J302" s="3" t="s">
        <v>42</v>
      </c>
      <c r="K302" s="3"/>
      <c r="L302" s="3" t="s">
        <v>747</v>
      </c>
    </row>
    <row r="303" customFormat="false" ht="11.9" hidden="false" customHeight="true" outlineLevel="0" collapsed="false">
      <c r="A303" s="2" t="str">
        <f aca="false">HYPERLINK("https://www.fabsurplus.com/sdi_catalog/salesItemDetails.do?id=109860")</f>
        <v>https://www.fabsurplus.com/sdi_catalog/salesItemDetails.do?id=109860</v>
      </c>
      <c r="B303" s="2" t="s">
        <v>748</v>
      </c>
      <c r="C303" s="2" t="s">
        <v>320</v>
      </c>
      <c r="D303" s="2" t="s">
        <v>746</v>
      </c>
      <c r="E303" s="2" t="s">
        <v>47</v>
      </c>
      <c r="F303" s="2" t="s">
        <v>16</v>
      </c>
      <c r="G303" s="2" t="s">
        <v>41</v>
      </c>
      <c r="H303" s="2"/>
      <c r="I303" s="2"/>
      <c r="J303" s="2" t="s">
        <v>42</v>
      </c>
      <c r="K303" s="2"/>
      <c r="L303" s="2" t="s">
        <v>749</v>
      </c>
    </row>
    <row r="304" customFormat="false" ht="11.9" hidden="false" customHeight="true" outlineLevel="0" collapsed="false">
      <c r="A304" s="3" t="str">
        <f aca="false">HYPERLINK("https://www.fabsurplus.com/sdi_catalog/salesItemDetails.do?id=109859")</f>
        <v>https://www.fabsurplus.com/sdi_catalog/salesItemDetails.do?id=109859</v>
      </c>
      <c r="B304" s="3" t="s">
        <v>750</v>
      </c>
      <c r="C304" s="3" t="s">
        <v>320</v>
      </c>
      <c r="D304" s="3" t="s">
        <v>746</v>
      </c>
      <c r="E304" s="3" t="s">
        <v>47</v>
      </c>
      <c r="F304" s="3" t="s">
        <v>16</v>
      </c>
      <c r="G304" s="3" t="s">
        <v>41</v>
      </c>
      <c r="H304" s="3"/>
      <c r="I304" s="3"/>
      <c r="J304" s="3" t="s">
        <v>42</v>
      </c>
      <c r="K304" s="3"/>
      <c r="L304" s="3" t="s">
        <v>751</v>
      </c>
    </row>
    <row r="305" customFormat="false" ht="11.9" hidden="false" customHeight="true" outlineLevel="0" collapsed="false">
      <c r="A305" s="2" t="str">
        <f aca="false">HYPERLINK("https://www.fabsurplus.com/sdi_catalog/salesItemDetails.do?id=109858")</f>
        <v>https://www.fabsurplus.com/sdi_catalog/salesItemDetails.do?id=109858</v>
      </c>
      <c r="B305" s="2" t="s">
        <v>752</v>
      </c>
      <c r="C305" s="2" t="s">
        <v>320</v>
      </c>
      <c r="D305" s="2" t="s">
        <v>746</v>
      </c>
      <c r="E305" s="2" t="s">
        <v>47</v>
      </c>
      <c r="F305" s="2" t="s">
        <v>16</v>
      </c>
      <c r="G305" s="2" t="s">
        <v>41</v>
      </c>
      <c r="H305" s="2"/>
      <c r="I305" s="2"/>
      <c r="J305" s="2" t="s">
        <v>42</v>
      </c>
      <c r="K305" s="2"/>
      <c r="L305" s="2" t="s">
        <v>751</v>
      </c>
    </row>
    <row r="306" customFormat="false" ht="11.9" hidden="false" customHeight="true" outlineLevel="0" collapsed="false">
      <c r="A306" s="3" t="str">
        <f aca="false">HYPERLINK("https://www.fabsurplus.com/sdi_catalog/salesItemDetails.do?id=109857")</f>
        <v>https://www.fabsurplus.com/sdi_catalog/salesItemDetails.do?id=109857</v>
      </c>
      <c r="B306" s="3" t="s">
        <v>753</v>
      </c>
      <c r="C306" s="3" t="s">
        <v>320</v>
      </c>
      <c r="D306" s="3" t="s">
        <v>746</v>
      </c>
      <c r="E306" s="3" t="s">
        <v>47</v>
      </c>
      <c r="F306" s="3" t="s">
        <v>16</v>
      </c>
      <c r="G306" s="3" t="s">
        <v>41</v>
      </c>
      <c r="H306" s="3"/>
      <c r="I306" s="3"/>
      <c r="J306" s="3" t="s">
        <v>42</v>
      </c>
      <c r="K306" s="3"/>
      <c r="L306" s="3" t="s">
        <v>751</v>
      </c>
    </row>
    <row r="307" customFormat="false" ht="11.9" hidden="false" customHeight="true" outlineLevel="0" collapsed="false">
      <c r="A307" s="2" t="str">
        <f aca="false">HYPERLINK("https://www.fabsurplus.com/sdi_catalog/salesItemDetails.do?id=109856")</f>
        <v>https://www.fabsurplus.com/sdi_catalog/salesItemDetails.do?id=109856</v>
      </c>
      <c r="B307" s="2" t="s">
        <v>754</v>
      </c>
      <c r="C307" s="2" t="s">
        <v>320</v>
      </c>
      <c r="D307" s="2" t="s">
        <v>746</v>
      </c>
      <c r="E307" s="2" t="s">
        <v>47</v>
      </c>
      <c r="F307" s="2" t="s">
        <v>16</v>
      </c>
      <c r="G307" s="2" t="s">
        <v>41</v>
      </c>
      <c r="H307" s="2"/>
      <c r="I307" s="2"/>
      <c r="J307" s="2" t="s">
        <v>42</v>
      </c>
      <c r="K307" s="2"/>
      <c r="L307" s="2" t="s">
        <v>751</v>
      </c>
    </row>
    <row r="308" customFormat="false" ht="11.9" hidden="false" customHeight="true" outlineLevel="0" collapsed="false">
      <c r="A308" s="3" t="str">
        <f aca="false">HYPERLINK("https://www.fabsurplus.com/sdi_catalog/salesItemDetails.do?id=109855")</f>
        <v>https://www.fabsurplus.com/sdi_catalog/salesItemDetails.do?id=109855</v>
      </c>
      <c r="B308" s="3" t="s">
        <v>755</v>
      </c>
      <c r="C308" s="3" t="s">
        <v>320</v>
      </c>
      <c r="D308" s="3" t="s">
        <v>746</v>
      </c>
      <c r="E308" s="3" t="s">
        <v>47</v>
      </c>
      <c r="F308" s="3" t="s">
        <v>16</v>
      </c>
      <c r="G308" s="3" t="s">
        <v>41</v>
      </c>
      <c r="H308" s="3"/>
      <c r="I308" s="3"/>
      <c r="J308" s="3" t="s">
        <v>42</v>
      </c>
      <c r="K308" s="3"/>
      <c r="L308" s="3" t="s">
        <v>756</v>
      </c>
    </row>
    <row r="309" customFormat="false" ht="11.9" hidden="false" customHeight="true" outlineLevel="0" collapsed="false">
      <c r="A309" s="2" t="str">
        <f aca="false">HYPERLINK("https://www.fabsurplus.com/sdi_catalog/salesItemDetails.do?id=109854")</f>
        <v>https://www.fabsurplus.com/sdi_catalog/salesItemDetails.do?id=109854</v>
      </c>
      <c r="B309" s="2" t="s">
        <v>757</v>
      </c>
      <c r="C309" s="2" t="s">
        <v>320</v>
      </c>
      <c r="D309" s="2" t="s">
        <v>746</v>
      </c>
      <c r="E309" s="2" t="s">
        <v>47</v>
      </c>
      <c r="F309" s="2" t="s">
        <v>16</v>
      </c>
      <c r="G309" s="2" t="s">
        <v>41</v>
      </c>
      <c r="H309" s="2"/>
      <c r="I309" s="2"/>
      <c r="J309" s="2" t="s">
        <v>42</v>
      </c>
      <c r="K309" s="2"/>
      <c r="L309" s="2" t="s">
        <v>756</v>
      </c>
    </row>
    <row r="310" customFormat="false" ht="11.9" hidden="false" customHeight="true" outlineLevel="0" collapsed="false">
      <c r="A310" s="3" t="str">
        <f aca="false">HYPERLINK("https://www.fabsurplus.com/sdi_catalog/salesItemDetails.do?id=109853")</f>
        <v>https://www.fabsurplus.com/sdi_catalog/salesItemDetails.do?id=109853</v>
      </c>
      <c r="B310" s="3" t="s">
        <v>758</v>
      </c>
      <c r="C310" s="3" t="s">
        <v>320</v>
      </c>
      <c r="D310" s="3" t="s">
        <v>746</v>
      </c>
      <c r="E310" s="3" t="s">
        <v>47</v>
      </c>
      <c r="F310" s="3" t="s">
        <v>16</v>
      </c>
      <c r="G310" s="3" t="s">
        <v>41</v>
      </c>
      <c r="H310" s="3"/>
      <c r="I310" s="3"/>
      <c r="J310" s="3" t="s">
        <v>42</v>
      </c>
      <c r="K310" s="3"/>
      <c r="L310" s="3" t="s">
        <v>759</v>
      </c>
    </row>
    <row r="311" customFormat="false" ht="11.9" hidden="false" customHeight="true" outlineLevel="0" collapsed="false">
      <c r="A311" s="2" t="str">
        <f aca="false">HYPERLINK("https://www.fabsurplus.com/sdi_catalog/salesItemDetails.do?id=109852")</f>
        <v>https://www.fabsurplus.com/sdi_catalog/salesItemDetails.do?id=109852</v>
      </c>
      <c r="B311" s="2" t="s">
        <v>760</v>
      </c>
      <c r="C311" s="2" t="s">
        <v>320</v>
      </c>
      <c r="D311" s="2" t="s">
        <v>746</v>
      </c>
      <c r="E311" s="2" t="s">
        <v>47</v>
      </c>
      <c r="F311" s="2" t="s">
        <v>16</v>
      </c>
      <c r="G311" s="2" t="s">
        <v>41</v>
      </c>
      <c r="H311" s="2"/>
      <c r="I311" s="2"/>
      <c r="J311" s="2" t="s">
        <v>42</v>
      </c>
      <c r="K311" s="2"/>
      <c r="L311" s="2" t="s">
        <v>759</v>
      </c>
    </row>
    <row r="312" customFormat="false" ht="11.9" hidden="false" customHeight="true" outlineLevel="0" collapsed="false">
      <c r="A312" s="3" t="str">
        <f aca="false">HYPERLINK("https://www.fabsurplus.com/sdi_catalog/salesItemDetails.do?id=109851")</f>
        <v>https://www.fabsurplus.com/sdi_catalog/salesItemDetails.do?id=109851</v>
      </c>
      <c r="B312" s="3" t="s">
        <v>761</v>
      </c>
      <c r="C312" s="3" t="s">
        <v>320</v>
      </c>
      <c r="D312" s="3" t="s">
        <v>746</v>
      </c>
      <c r="E312" s="3" t="s">
        <v>47</v>
      </c>
      <c r="F312" s="3" t="s">
        <v>16</v>
      </c>
      <c r="G312" s="3" t="s">
        <v>41</v>
      </c>
      <c r="H312" s="3"/>
      <c r="I312" s="3"/>
      <c r="J312" s="3" t="s">
        <v>42</v>
      </c>
      <c r="K312" s="3"/>
      <c r="L312" s="3" t="s">
        <v>759</v>
      </c>
    </row>
    <row r="313" customFormat="false" ht="11.9" hidden="false" customHeight="true" outlineLevel="0" collapsed="false">
      <c r="A313" s="2" t="str">
        <f aca="false">HYPERLINK("https://www.fabsurplus.com/sdi_catalog/salesItemDetails.do?id=109850")</f>
        <v>https://www.fabsurplus.com/sdi_catalog/salesItemDetails.do?id=109850</v>
      </c>
      <c r="B313" s="2" t="s">
        <v>762</v>
      </c>
      <c r="C313" s="2" t="s">
        <v>320</v>
      </c>
      <c r="D313" s="2" t="s">
        <v>746</v>
      </c>
      <c r="E313" s="2" t="s">
        <v>47</v>
      </c>
      <c r="F313" s="2" t="s">
        <v>16</v>
      </c>
      <c r="G313" s="2" t="s">
        <v>41</v>
      </c>
      <c r="H313" s="2"/>
      <c r="I313" s="2"/>
      <c r="J313" s="2" t="s">
        <v>42</v>
      </c>
      <c r="K313" s="2"/>
      <c r="L313" s="2" t="s">
        <v>759</v>
      </c>
    </row>
    <row r="314" customFormat="false" ht="11.9" hidden="false" customHeight="true" outlineLevel="0" collapsed="false">
      <c r="A314" s="3" t="str">
        <f aca="false">HYPERLINK("https://www.fabsurplus.com/sdi_catalog/salesItemDetails.do?id=109849")</f>
        <v>https://www.fabsurplus.com/sdi_catalog/salesItemDetails.do?id=109849</v>
      </c>
      <c r="B314" s="3" t="s">
        <v>763</v>
      </c>
      <c r="C314" s="3" t="s">
        <v>320</v>
      </c>
      <c r="D314" s="3" t="s">
        <v>746</v>
      </c>
      <c r="E314" s="3" t="s">
        <v>47</v>
      </c>
      <c r="F314" s="3" t="s">
        <v>16</v>
      </c>
      <c r="G314" s="3" t="s">
        <v>41</v>
      </c>
      <c r="H314" s="3"/>
      <c r="I314" s="3"/>
      <c r="J314" s="3" t="s">
        <v>42</v>
      </c>
      <c r="K314" s="3"/>
      <c r="L314" s="3" t="s">
        <v>764</v>
      </c>
    </row>
    <row r="315" customFormat="false" ht="11.9" hidden="false" customHeight="true" outlineLevel="0" collapsed="false">
      <c r="A315" s="2" t="str">
        <f aca="false">HYPERLINK("https://www.fabsurplus.com/sdi_catalog/salesItemDetails.do?id=109848")</f>
        <v>https://www.fabsurplus.com/sdi_catalog/salesItemDetails.do?id=109848</v>
      </c>
      <c r="B315" s="2" t="s">
        <v>765</v>
      </c>
      <c r="C315" s="2" t="s">
        <v>320</v>
      </c>
      <c r="D315" s="2" t="s">
        <v>746</v>
      </c>
      <c r="E315" s="2" t="s">
        <v>47</v>
      </c>
      <c r="F315" s="2" t="s">
        <v>16</v>
      </c>
      <c r="G315" s="2" t="s">
        <v>41</v>
      </c>
      <c r="H315" s="2"/>
      <c r="I315" s="2"/>
      <c r="J315" s="2" t="s">
        <v>42</v>
      </c>
      <c r="K315" s="2"/>
      <c r="L315" s="2" t="s">
        <v>766</v>
      </c>
    </row>
    <row r="316" customFormat="false" ht="11.9" hidden="false" customHeight="true" outlineLevel="0" collapsed="false">
      <c r="A316" s="3" t="str">
        <f aca="false">HYPERLINK("https://www.fabsurplus.com/sdi_catalog/salesItemDetails.do?id=109873")</f>
        <v>https://www.fabsurplus.com/sdi_catalog/salesItemDetails.do?id=109873</v>
      </c>
      <c r="B316" s="3" t="s">
        <v>767</v>
      </c>
      <c r="C316" s="3" t="s">
        <v>320</v>
      </c>
      <c r="D316" s="3" t="s">
        <v>768</v>
      </c>
      <c r="E316" s="3" t="s">
        <v>47</v>
      </c>
      <c r="F316" s="3" t="s">
        <v>16</v>
      </c>
      <c r="G316" s="3" t="s">
        <v>41</v>
      </c>
      <c r="H316" s="3"/>
      <c r="I316" s="3"/>
      <c r="J316" s="3" t="s">
        <v>42</v>
      </c>
      <c r="K316" s="3"/>
      <c r="L316" s="3" t="s">
        <v>769</v>
      </c>
    </row>
    <row r="317" customFormat="false" ht="11.9" hidden="false" customHeight="true" outlineLevel="0" collapsed="false">
      <c r="A317" s="2" t="str">
        <f aca="false">HYPERLINK("https://www.fabsurplus.com/sdi_catalog/salesItemDetails.do?id=109872")</f>
        <v>https://www.fabsurplus.com/sdi_catalog/salesItemDetails.do?id=109872</v>
      </c>
      <c r="B317" s="2" t="s">
        <v>770</v>
      </c>
      <c r="C317" s="2" t="s">
        <v>320</v>
      </c>
      <c r="D317" s="2" t="s">
        <v>768</v>
      </c>
      <c r="E317" s="2" t="s">
        <v>47</v>
      </c>
      <c r="F317" s="2" t="s">
        <v>16</v>
      </c>
      <c r="G317" s="2" t="s">
        <v>41</v>
      </c>
      <c r="H317" s="2"/>
      <c r="I317" s="2"/>
      <c r="J317" s="2" t="s">
        <v>42</v>
      </c>
      <c r="K317" s="2"/>
      <c r="L317" s="2" t="s">
        <v>769</v>
      </c>
    </row>
    <row r="318" customFormat="false" ht="11.9" hidden="false" customHeight="true" outlineLevel="0" collapsed="false">
      <c r="A318" s="3" t="str">
        <f aca="false">HYPERLINK("https://www.fabsurplus.com/sdi_catalog/salesItemDetails.do?id=109871")</f>
        <v>https://www.fabsurplus.com/sdi_catalog/salesItemDetails.do?id=109871</v>
      </c>
      <c r="B318" s="3" t="s">
        <v>771</v>
      </c>
      <c r="C318" s="3" t="s">
        <v>320</v>
      </c>
      <c r="D318" s="3" t="s">
        <v>768</v>
      </c>
      <c r="E318" s="3" t="s">
        <v>47</v>
      </c>
      <c r="F318" s="3" t="s">
        <v>16</v>
      </c>
      <c r="G318" s="3" t="s">
        <v>41</v>
      </c>
      <c r="H318" s="3"/>
      <c r="I318" s="3"/>
      <c r="J318" s="3" t="s">
        <v>42</v>
      </c>
      <c r="K318" s="3"/>
      <c r="L318" s="3" t="s">
        <v>769</v>
      </c>
    </row>
    <row r="319" customFormat="false" ht="11.9" hidden="false" customHeight="true" outlineLevel="0" collapsed="false">
      <c r="A319" s="2" t="str">
        <f aca="false">HYPERLINK("https://www.fabsurplus.com/sdi_catalog/salesItemDetails.do?id=109870")</f>
        <v>https://www.fabsurplus.com/sdi_catalog/salesItemDetails.do?id=109870</v>
      </c>
      <c r="B319" s="2" t="s">
        <v>772</v>
      </c>
      <c r="C319" s="2" t="s">
        <v>320</v>
      </c>
      <c r="D319" s="2" t="s">
        <v>768</v>
      </c>
      <c r="E319" s="2" t="s">
        <v>47</v>
      </c>
      <c r="F319" s="2" t="s">
        <v>16</v>
      </c>
      <c r="G319" s="2" t="s">
        <v>41</v>
      </c>
      <c r="H319" s="2"/>
      <c r="I319" s="2"/>
      <c r="J319" s="2" t="s">
        <v>42</v>
      </c>
      <c r="K319" s="2"/>
      <c r="L319" s="2" t="s">
        <v>769</v>
      </c>
    </row>
    <row r="320" customFormat="false" ht="11.9" hidden="false" customHeight="true" outlineLevel="0" collapsed="false">
      <c r="A320" s="3" t="str">
        <f aca="false">HYPERLINK("https://www.fabsurplus.com/sdi_catalog/salesItemDetails.do?id=109869")</f>
        <v>https://www.fabsurplus.com/sdi_catalog/salesItemDetails.do?id=109869</v>
      </c>
      <c r="B320" s="3" t="s">
        <v>773</v>
      </c>
      <c r="C320" s="3" t="s">
        <v>320</v>
      </c>
      <c r="D320" s="3" t="s">
        <v>768</v>
      </c>
      <c r="E320" s="3" t="s">
        <v>47</v>
      </c>
      <c r="F320" s="3" t="s">
        <v>16</v>
      </c>
      <c r="G320" s="3" t="s">
        <v>41</v>
      </c>
      <c r="H320" s="3"/>
      <c r="I320" s="3"/>
      <c r="J320" s="3" t="s">
        <v>42</v>
      </c>
      <c r="K320" s="3"/>
      <c r="L320" s="3" t="s">
        <v>769</v>
      </c>
    </row>
    <row r="321" customFormat="false" ht="11.9" hidden="false" customHeight="true" outlineLevel="0" collapsed="false">
      <c r="A321" s="2" t="str">
        <f aca="false">HYPERLINK("https://www.fabsurplus.com/sdi_catalog/salesItemDetails.do?id=109868")</f>
        <v>https://www.fabsurplus.com/sdi_catalog/salesItemDetails.do?id=109868</v>
      </c>
      <c r="B321" s="2" t="s">
        <v>774</v>
      </c>
      <c r="C321" s="2" t="s">
        <v>320</v>
      </c>
      <c r="D321" s="2" t="s">
        <v>768</v>
      </c>
      <c r="E321" s="2" t="s">
        <v>47</v>
      </c>
      <c r="F321" s="2" t="s">
        <v>16</v>
      </c>
      <c r="G321" s="2" t="s">
        <v>41</v>
      </c>
      <c r="H321" s="2"/>
      <c r="I321" s="2"/>
      <c r="J321" s="2" t="s">
        <v>42</v>
      </c>
      <c r="K321" s="2"/>
      <c r="L321" s="2" t="s">
        <v>775</v>
      </c>
    </row>
    <row r="322" customFormat="false" ht="11.9" hidden="false" customHeight="true" outlineLevel="0" collapsed="false">
      <c r="A322" s="3" t="str">
        <f aca="false">HYPERLINK("https://www.fabsurplus.com/sdi_catalog/salesItemDetails.do?id=109867")</f>
        <v>https://www.fabsurplus.com/sdi_catalog/salesItemDetails.do?id=109867</v>
      </c>
      <c r="B322" s="3" t="s">
        <v>776</v>
      </c>
      <c r="C322" s="3" t="s">
        <v>320</v>
      </c>
      <c r="D322" s="3" t="s">
        <v>768</v>
      </c>
      <c r="E322" s="3" t="s">
        <v>47</v>
      </c>
      <c r="F322" s="3" t="s">
        <v>16</v>
      </c>
      <c r="G322" s="3" t="s">
        <v>41</v>
      </c>
      <c r="H322" s="3"/>
      <c r="I322" s="3"/>
      <c r="J322" s="3" t="s">
        <v>42</v>
      </c>
      <c r="K322" s="3"/>
      <c r="L322" s="3" t="s">
        <v>777</v>
      </c>
    </row>
    <row r="323" customFormat="false" ht="11.9" hidden="false" customHeight="true" outlineLevel="0" collapsed="false">
      <c r="A323" s="2" t="str">
        <f aca="false">HYPERLINK("https://www.fabsurplus.com/sdi_catalog/salesItemDetails.do?id=109866")</f>
        <v>https://www.fabsurplus.com/sdi_catalog/salesItemDetails.do?id=109866</v>
      </c>
      <c r="B323" s="2" t="s">
        <v>778</v>
      </c>
      <c r="C323" s="2" t="s">
        <v>320</v>
      </c>
      <c r="D323" s="2" t="s">
        <v>768</v>
      </c>
      <c r="E323" s="2" t="s">
        <v>47</v>
      </c>
      <c r="F323" s="2" t="s">
        <v>16</v>
      </c>
      <c r="G323" s="2" t="s">
        <v>41</v>
      </c>
      <c r="H323" s="2"/>
      <c r="I323" s="2"/>
      <c r="J323" s="2" t="s">
        <v>42</v>
      </c>
      <c r="K323" s="2"/>
      <c r="L323" s="2" t="s">
        <v>779</v>
      </c>
    </row>
    <row r="324" customFormat="false" ht="11.9" hidden="false" customHeight="true" outlineLevel="0" collapsed="false">
      <c r="A324" s="3" t="str">
        <f aca="false">HYPERLINK("https://www.fabsurplus.com/sdi_catalog/salesItemDetails.do?id=109865")</f>
        <v>https://www.fabsurplus.com/sdi_catalog/salesItemDetails.do?id=109865</v>
      </c>
      <c r="B324" s="3" t="s">
        <v>780</v>
      </c>
      <c r="C324" s="3" t="s">
        <v>320</v>
      </c>
      <c r="D324" s="3" t="s">
        <v>768</v>
      </c>
      <c r="E324" s="3" t="s">
        <v>47</v>
      </c>
      <c r="F324" s="3" t="s">
        <v>16</v>
      </c>
      <c r="G324" s="3" t="s">
        <v>41</v>
      </c>
      <c r="H324" s="3"/>
      <c r="I324" s="3"/>
      <c r="J324" s="3" t="s">
        <v>42</v>
      </c>
      <c r="K324" s="3"/>
      <c r="L324" s="3" t="s">
        <v>779</v>
      </c>
    </row>
    <row r="325" customFormat="false" ht="11.9" hidden="false" customHeight="true" outlineLevel="0" collapsed="false">
      <c r="A325" s="2" t="str">
        <f aca="false">HYPERLINK("https://www.fabsurplus.com/sdi_catalog/salesItemDetails.do?id=109864")</f>
        <v>https://www.fabsurplus.com/sdi_catalog/salesItemDetails.do?id=109864</v>
      </c>
      <c r="B325" s="2" t="s">
        <v>781</v>
      </c>
      <c r="C325" s="2" t="s">
        <v>320</v>
      </c>
      <c r="D325" s="2" t="s">
        <v>768</v>
      </c>
      <c r="E325" s="2" t="s">
        <v>47</v>
      </c>
      <c r="F325" s="2" t="s">
        <v>16</v>
      </c>
      <c r="G325" s="2" t="s">
        <v>41</v>
      </c>
      <c r="H325" s="2"/>
      <c r="I325" s="2"/>
      <c r="J325" s="2" t="s">
        <v>42</v>
      </c>
      <c r="K325" s="2"/>
      <c r="L325" s="2" t="s">
        <v>782</v>
      </c>
    </row>
    <row r="326" customFormat="false" ht="11.9" hidden="false" customHeight="true" outlineLevel="0" collapsed="false">
      <c r="A326" s="3" t="str">
        <f aca="false">HYPERLINK("https://www.fabsurplus.com/sdi_catalog/salesItemDetails.do?id=109863")</f>
        <v>https://www.fabsurplus.com/sdi_catalog/salesItemDetails.do?id=109863</v>
      </c>
      <c r="B326" s="3" t="s">
        <v>783</v>
      </c>
      <c r="C326" s="3" t="s">
        <v>320</v>
      </c>
      <c r="D326" s="3" t="s">
        <v>768</v>
      </c>
      <c r="E326" s="3" t="s">
        <v>47</v>
      </c>
      <c r="F326" s="3" t="s">
        <v>16</v>
      </c>
      <c r="G326" s="3" t="s">
        <v>41</v>
      </c>
      <c r="H326" s="3"/>
      <c r="I326" s="3"/>
      <c r="J326" s="3" t="s">
        <v>42</v>
      </c>
      <c r="K326" s="3"/>
      <c r="L326" s="3" t="s">
        <v>784</v>
      </c>
    </row>
    <row r="327" customFormat="false" ht="11.9" hidden="false" customHeight="true" outlineLevel="0" collapsed="false">
      <c r="A327" s="2" t="str">
        <f aca="false">HYPERLINK("https://www.fabsurplus.com/sdi_catalog/salesItemDetails.do?id=109862")</f>
        <v>https://www.fabsurplus.com/sdi_catalog/salesItemDetails.do?id=109862</v>
      </c>
      <c r="B327" s="2" t="s">
        <v>785</v>
      </c>
      <c r="C327" s="2" t="s">
        <v>320</v>
      </c>
      <c r="D327" s="2" t="s">
        <v>768</v>
      </c>
      <c r="E327" s="2" t="s">
        <v>47</v>
      </c>
      <c r="F327" s="2" t="s">
        <v>16</v>
      </c>
      <c r="G327" s="2" t="s">
        <v>41</v>
      </c>
      <c r="H327" s="2"/>
      <c r="I327" s="2"/>
      <c r="J327" s="2" t="s">
        <v>42</v>
      </c>
      <c r="K327" s="2"/>
      <c r="L327" s="2" t="s">
        <v>786</v>
      </c>
    </row>
    <row r="328" customFormat="false" ht="11.9" hidden="false" customHeight="true" outlineLevel="0" collapsed="false">
      <c r="A328" s="2" t="str">
        <f aca="false">HYPERLINK("https://www.fabsurplus.com/sdi_catalog/salesItemDetails.do?id=109874")</f>
        <v>https://www.fabsurplus.com/sdi_catalog/salesItemDetails.do?id=109874</v>
      </c>
      <c r="B328" s="2" t="s">
        <v>787</v>
      </c>
      <c r="C328" s="2" t="s">
        <v>320</v>
      </c>
      <c r="D328" s="2" t="s">
        <v>788</v>
      </c>
      <c r="E328" s="2" t="s">
        <v>47</v>
      </c>
      <c r="F328" s="2" t="s">
        <v>16</v>
      </c>
      <c r="G328" s="2" t="s">
        <v>41</v>
      </c>
      <c r="H328" s="2"/>
      <c r="I328" s="2"/>
      <c r="J328" s="2" t="s">
        <v>42</v>
      </c>
      <c r="K328" s="2"/>
      <c r="L328" s="2" t="s">
        <v>789</v>
      </c>
    </row>
    <row r="329" customFormat="false" ht="11.9" hidden="false" customHeight="true" outlineLevel="0" collapsed="false">
      <c r="A329" s="2" t="str">
        <f aca="false">HYPERLINK("https://www.fabsurplus.com/sdi_catalog/salesItemDetails.do?id=109879")</f>
        <v>https://www.fabsurplus.com/sdi_catalog/salesItemDetails.do?id=109879</v>
      </c>
      <c r="B329" s="2" t="s">
        <v>790</v>
      </c>
      <c r="C329" s="2" t="s">
        <v>320</v>
      </c>
      <c r="D329" s="2" t="s">
        <v>158</v>
      </c>
      <c r="E329" s="2" t="s">
        <v>47</v>
      </c>
      <c r="F329" s="2" t="s">
        <v>16</v>
      </c>
      <c r="G329" s="2" t="s">
        <v>41</v>
      </c>
      <c r="H329" s="2"/>
      <c r="I329" s="2"/>
      <c r="J329" s="2" t="s">
        <v>42</v>
      </c>
      <c r="K329" s="2"/>
      <c r="L329" s="2" t="s">
        <v>791</v>
      </c>
    </row>
    <row r="330" customFormat="false" ht="11.9" hidden="false" customHeight="true" outlineLevel="0" collapsed="false">
      <c r="A330" s="3" t="str">
        <f aca="false">HYPERLINK("https://www.fabsurplus.com/sdi_catalog/salesItemDetails.do?id=109878")</f>
        <v>https://www.fabsurplus.com/sdi_catalog/salesItemDetails.do?id=109878</v>
      </c>
      <c r="B330" s="3" t="s">
        <v>792</v>
      </c>
      <c r="C330" s="3" t="s">
        <v>320</v>
      </c>
      <c r="D330" s="3" t="s">
        <v>158</v>
      </c>
      <c r="E330" s="3" t="s">
        <v>47</v>
      </c>
      <c r="F330" s="3" t="s">
        <v>16</v>
      </c>
      <c r="G330" s="3" t="s">
        <v>41</v>
      </c>
      <c r="H330" s="3"/>
      <c r="I330" s="3"/>
      <c r="J330" s="3" t="s">
        <v>42</v>
      </c>
      <c r="K330" s="3"/>
      <c r="L330" s="3" t="s">
        <v>791</v>
      </c>
    </row>
    <row r="331" customFormat="false" ht="11.9" hidden="false" customHeight="true" outlineLevel="0" collapsed="false">
      <c r="A331" s="2" t="str">
        <f aca="false">HYPERLINK("https://www.fabsurplus.com/sdi_catalog/salesItemDetails.do?id=109877")</f>
        <v>https://www.fabsurplus.com/sdi_catalog/salesItemDetails.do?id=109877</v>
      </c>
      <c r="B331" s="2" t="s">
        <v>793</v>
      </c>
      <c r="C331" s="2" t="s">
        <v>320</v>
      </c>
      <c r="D331" s="2" t="s">
        <v>158</v>
      </c>
      <c r="E331" s="2" t="s">
        <v>47</v>
      </c>
      <c r="F331" s="2" t="s">
        <v>16</v>
      </c>
      <c r="G331" s="2" t="s">
        <v>41</v>
      </c>
      <c r="H331" s="2"/>
      <c r="I331" s="2"/>
      <c r="J331" s="2" t="s">
        <v>42</v>
      </c>
      <c r="K331" s="2"/>
      <c r="L331" s="2" t="s">
        <v>794</v>
      </c>
    </row>
    <row r="332" customFormat="false" ht="11.9" hidden="false" customHeight="true" outlineLevel="0" collapsed="false">
      <c r="A332" s="3" t="str">
        <f aca="false">HYPERLINK("https://www.fabsurplus.com/sdi_catalog/salesItemDetails.do?id=109875")</f>
        <v>https://www.fabsurplus.com/sdi_catalog/salesItemDetails.do?id=109875</v>
      </c>
      <c r="B332" s="3" t="s">
        <v>795</v>
      </c>
      <c r="C332" s="3" t="s">
        <v>320</v>
      </c>
      <c r="D332" s="3" t="s">
        <v>158</v>
      </c>
      <c r="E332" s="3" t="s">
        <v>47</v>
      </c>
      <c r="F332" s="3" t="s">
        <v>16</v>
      </c>
      <c r="G332" s="3" t="s">
        <v>41</v>
      </c>
      <c r="H332" s="3"/>
      <c r="I332" s="3"/>
      <c r="J332" s="3" t="s">
        <v>42</v>
      </c>
      <c r="K332" s="3"/>
      <c r="L332" s="3" t="s">
        <v>796</v>
      </c>
    </row>
    <row r="333" customFormat="false" ht="11.9" hidden="false" customHeight="true" outlineLevel="0" collapsed="false">
      <c r="A333" s="3" t="str">
        <f aca="false">HYPERLINK("https://www.fabsurplus.com/sdi_catalog/salesItemDetails.do?id=109880")</f>
        <v>https://www.fabsurplus.com/sdi_catalog/salesItemDetails.do?id=109880</v>
      </c>
      <c r="B333" s="3" t="s">
        <v>797</v>
      </c>
      <c r="C333" s="3" t="s">
        <v>320</v>
      </c>
      <c r="D333" s="3" t="s">
        <v>798</v>
      </c>
      <c r="E333" s="3" t="s">
        <v>40</v>
      </c>
      <c r="F333" s="3" t="s">
        <v>16</v>
      </c>
      <c r="G333" s="3" t="s">
        <v>41</v>
      </c>
      <c r="H333" s="3"/>
      <c r="I333" s="3"/>
      <c r="J333" s="3" t="s">
        <v>42</v>
      </c>
      <c r="K333" s="3"/>
      <c r="L333" s="3" t="s">
        <v>799</v>
      </c>
    </row>
    <row r="334" customFormat="false" ht="11.9" hidden="false" customHeight="true" outlineLevel="0" collapsed="false">
      <c r="A334" s="2" t="str">
        <f aca="false">HYPERLINK("https://www.fabsurplus.com/sdi_catalog/salesItemDetails.do?id=109881")</f>
        <v>https://www.fabsurplus.com/sdi_catalog/salesItemDetails.do?id=109881</v>
      </c>
      <c r="B334" s="2" t="s">
        <v>800</v>
      </c>
      <c r="C334" s="2" t="s">
        <v>320</v>
      </c>
      <c r="D334" s="2" t="s">
        <v>801</v>
      </c>
      <c r="E334" s="2" t="s">
        <v>802</v>
      </c>
      <c r="F334" s="2" t="s">
        <v>16</v>
      </c>
      <c r="G334" s="2" t="s">
        <v>41</v>
      </c>
      <c r="H334" s="2"/>
      <c r="I334" s="2"/>
      <c r="J334" s="2" t="s">
        <v>42</v>
      </c>
      <c r="K334" s="2"/>
      <c r="L334" s="2" t="s">
        <v>803</v>
      </c>
    </row>
    <row r="335" customFormat="false" ht="11.9" hidden="false" customHeight="true" outlineLevel="0" collapsed="false">
      <c r="A335" s="3" t="str">
        <f aca="false">HYPERLINK("https://www.fabsurplus.com/sdi_catalog/salesItemDetails.do?id=109882")</f>
        <v>https://www.fabsurplus.com/sdi_catalog/salesItemDetails.do?id=109882</v>
      </c>
      <c r="B335" s="3" t="s">
        <v>804</v>
      </c>
      <c r="C335" s="3" t="s">
        <v>320</v>
      </c>
      <c r="D335" s="3" t="s">
        <v>805</v>
      </c>
      <c r="E335" s="3" t="s">
        <v>47</v>
      </c>
      <c r="F335" s="3" t="s">
        <v>16</v>
      </c>
      <c r="G335" s="3" t="s">
        <v>41</v>
      </c>
      <c r="H335" s="3"/>
      <c r="I335" s="3"/>
      <c r="J335" s="3" t="s">
        <v>42</v>
      </c>
      <c r="K335" s="3"/>
      <c r="L335" s="3" t="s">
        <v>806</v>
      </c>
    </row>
    <row r="336" customFormat="false" ht="11.9" hidden="false" customHeight="true" outlineLevel="0" collapsed="false">
      <c r="A336" s="2" t="str">
        <f aca="false">HYPERLINK("https://www.fabsurplus.com/sdi_catalog/salesItemDetails.do?id=109883")</f>
        <v>https://www.fabsurplus.com/sdi_catalog/salesItemDetails.do?id=109883</v>
      </c>
      <c r="B336" s="2" t="s">
        <v>807</v>
      </c>
      <c r="C336" s="2" t="s">
        <v>320</v>
      </c>
      <c r="D336" s="2" t="s">
        <v>808</v>
      </c>
      <c r="E336" s="2" t="s">
        <v>47</v>
      </c>
      <c r="F336" s="2" t="s">
        <v>16</v>
      </c>
      <c r="G336" s="2" t="s">
        <v>41</v>
      </c>
      <c r="H336" s="2"/>
      <c r="I336" s="2"/>
      <c r="J336" s="2" t="s">
        <v>42</v>
      </c>
      <c r="K336" s="2"/>
      <c r="L336" s="2" t="s">
        <v>809</v>
      </c>
    </row>
    <row r="337" customFormat="false" ht="11.9" hidden="false" customHeight="true" outlineLevel="0" collapsed="false">
      <c r="A337" s="3" t="str">
        <f aca="false">HYPERLINK("https://www.fabsurplus.com/sdi_catalog/salesItemDetails.do?id=109884")</f>
        <v>https://www.fabsurplus.com/sdi_catalog/salesItemDetails.do?id=109884</v>
      </c>
      <c r="B337" s="3" t="s">
        <v>810</v>
      </c>
      <c r="C337" s="3" t="s">
        <v>320</v>
      </c>
      <c r="D337" s="3" t="s">
        <v>811</v>
      </c>
      <c r="E337" s="3" t="s">
        <v>47</v>
      </c>
      <c r="F337" s="3" t="s">
        <v>16</v>
      </c>
      <c r="G337" s="3" t="s">
        <v>41</v>
      </c>
      <c r="H337" s="3"/>
      <c r="I337" s="3"/>
      <c r="J337" s="3" t="s">
        <v>42</v>
      </c>
      <c r="K337" s="3"/>
      <c r="L337" s="3" t="s">
        <v>809</v>
      </c>
    </row>
    <row r="338" customFormat="false" ht="11.9" hidden="false" customHeight="true" outlineLevel="0" collapsed="false">
      <c r="A338" s="2" t="str">
        <f aca="false">HYPERLINK("https://www.fabsurplus.com/sdi_catalog/salesItemDetails.do?id=109885")</f>
        <v>https://www.fabsurplus.com/sdi_catalog/salesItemDetails.do?id=109885</v>
      </c>
      <c r="B338" s="2" t="s">
        <v>812</v>
      </c>
      <c r="C338" s="2" t="s">
        <v>320</v>
      </c>
      <c r="D338" s="2" t="s">
        <v>813</v>
      </c>
      <c r="E338" s="2" t="s">
        <v>40</v>
      </c>
      <c r="F338" s="2" t="s">
        <v>16</v>
      </c>
      <c r="G338" s="2" t="s">
        <v>41</v>
      </c>
      <c r="H338" s="2"/>
      <c r="I338" s="2"/>
      <c r="J338" s="2" t="s">
        <v>42</v>
      </c>
      <c r="K338" s="2"/>
      <c r="L338" s="6" t="s">
        <v>814</v>
      </c>
    </row>
    <row r="339" customFormat="false" ht="11.9" hidden="false" customHeight="true" outlineLevel="0" collapsed="false">
      <c r="A339" s="2" t="str">
        <f aca="false">HYPERLINK("https://www.fabsurplus.com/sdi_catalog/salesItemDetails.do?id=109888")</f>
        <v>https://www.fabsurplus.com/sdi_catalog/salesItemDetails.do?id=109888</v>
      </c>
      <c r="B339" s="2" t="s">
        <v>815</v>
      </c>
      <c r="C339" s="2" t="s">
        <v>320</v>
      </c>
      <c r="D339" s="2" t="s">
        <v>816</v>
      </c>
      <c r="E339" s="2" t="s">
        <v>47</v>
      </c>
      <c r="F339" s="2" t="s">
        <v>16</v>
      </c>
      <c r="G339" s="2" t="s">
        <v>41</v>
      </c>
      <c r="H339" s="2"/>
      <c r="I339" s="2"/>
      <c r="J339" s="2" t="s">
        <v>42</v>
      </c>
      <c r="K339" s="2"/>
      <c r="L339" s="6" t="s">
        <v>817</v>
      </c>
    </row>
    <row r="340" customFormat="false" ht="11.9" hidden="false" customHeight="true" outlineLevel="0" collapsed="false">
      <c r="A340" s="2" t="str">
        <f aca="false">HYPERLINK("https://www.fabsurplus.com/sdi_catalog/salesItemDetails.do?id=109887")</f>
        <v>https://www.fabsurplus.com/sdi_catalog/salesItemDetails.do?id=109887</v>
      </c>
      <c r="B340" s="2" t="s">
        <v>818</v>
      </c>
      <c r="C340" s="2" t="s">
        <v>320</v>
      </c>
      <c r="D340" s="2" t="s">
        <v>816</v>
      </c>
      <c r="E340" s="2" t="s">
        <v>47</v>
      </c>
      <c r="F340" s="2" t="s">
        <v>16</v>
      </c>
      <c r="G340" s="2" t="s">
        <v>41</v>
      </c>
      <c r="H340" s="2"/>
      <c r="I340" s="2"/>
      <c r="J340" s="2" t="s">
        <v>42</v>
      </c>
      <c r="K340" s="2"/>
      <c r="L340" s="6" t="s">
        <v>817</v>
      </c>
    </row>
    <row r="341" customFormat="false" ht="11.9" hidden="false" customHeight="true" outlineLevel="0" collapsed="false">
      <c r="A341" s="2" t="str">
        <f aca="false">HYPERLINK("https://www.fabsurplus.com/sdi_catalog/salesItemDetails.do?id=109886")</f>
        <v>https://www.fabsurplus.com/sdi_catalog/salesItemDetails.do?id=109886</v>
      </c>
      <c r="B341" s="2" t="s">
        <v>819</v>
      </c>
      <c r="C341" s="2" t="s">
        <v>320</v>
      </c>
      <c r="D341" s="2" t="s">
        <v>816</v>
      </c>
      <c r="E341" s="2" t="s">
        <v>47</v>
      </c>
      <c r="F341" s="2" t="s">
        <v>16</v>
      </c>
      <c r="G341" s="2" t="s">
        <v>41</v>
      </c>
      <c r="H341" s="2"/>
      <c r="I341" s="2"/>
      <c r="J341" s="2" t="s">
        <v>42</v>
      </c>
      <c r="K341" s="2"/>
      <c r="L341" s="6" t="s">
        <v>817</v>
      </c>
    </row>
    <row r="342" customFormat="false" ht="11.9" hidden="false" customHeight="true" outlineLevel="0" collapsed="false">
      <c r="A342" s="2" t="str">
        <f aca="false">HYPERLINK("https://www.fabsurplus.com/sdi_catalog/salesItemDetails.do?id=109891")</f>
        <v>https://www.fabsurplus.com/sdi_catalog/salesItemDetails.do?id=109891</v>
      </c>
      <c r="B342" s="2" t="s">
        <v>820</v>
      </c>
      <c r="C342" s="2" t="s">
        <v>320</v>
      </c>
      <c r="D342" s="2" t="s">
        <v>821</v>
      </c>
      <c r="E342" s="2" t="s">
        <v>47</v>
      </c>
      <c r="F342" s="2" t="s">
        <v>16</v>
      </c>
      <c r="G342" s="2" t="s">
        <v>41</v>
      </c>
      <c r="H342" s="2"/>
      <c r="I342" s="2"/>
      <c r="J342" s="2" t="s">
        <v>42</v>
      </c>
      <c r="K342" s="2"/>
      <c r="L342" s="2" t="s">
        <v>822</v>
      </c>
    </row>
    <row r="343" customFormat="false" ht="11.9" hidden="false" customHeight="true" outlineLevel="0" collapsed="false">
      <c r="A343" s="2" t="str">
        <f aca="false">HYPERLINK("https://www.fabsurplus.com/sdi_catalog/salesItemDetails.do?id=109890")</f>
        <v>https://www.fabsurplus.com/sdi_catalog/salesItemDetails.do?id=109890</v>
      </c>
      <c r="B343" s="2" t="s">
        <v>823</v>
      </c>
      <c r="C343" s="2" t="s">
        <v>320</v>
      </c>
      <c r="D343" s="2" t="s">
        <v>821</v>
      </c>
      <c r="E343" s="2" t="s">
        <v>47</v>
      </c>
      <c r="F343" s="2" t="s">
        <v>16</v>
      </c>
      <c r="G343" s="2" t="s">
        <v>41</v>
      </c>
      <c r="H343" s="2"/>
      <c r="I343" s="2"/>
      <c r="J343" s="2" t="s">
        <v>42</v>
      </c>
      <c r="K343" s="2"/>
      <c r="L343" s="2" t="s">
        <v>349</v>
      </c>
    </row>
    <row r="344" customFormat="false" ht="11.9" hidden="false" customHeight="true" outlineLevel="0" collapsed="false">
      <c r="A344" s="2" t="str">
        <f aca="false">HYPERLINK("https://www.fabsurplus.com/sdi_catalog/salesItemDetails.do?id=109889")</f>
        <v>https://www.fabsurplus.com/sdi_catalog/salesItemDetails.do?id=109889</v>
      </c>
      <c r="B344" s="2" t="s">
        <v>824</v>
      </c>
      <c r="C344" s="2" t="s">
        <v>320</v>
      </c>
      <c r="D344" s="2" t="s">
        <v>821</v>
      </c>
      <c r="E344" s="2" t="s">
        <v>47</v>
      </c>
      <c r="F344" s="2" t="s">
        <v>16</v>
      </c>
      <c r="G344" s="2" t="s">
        <v>41</v>
      </c>
      <c r="H344" s="2"/>
      <c r="I344" s="2"/>
      <c r="J344" s="2" t="s">
        <v>42</v>
      </c>
      <c r="K344" s="2"/>
      <c r="L344" s="2" t="s">
        <v>349</v>
      </c>
    </row>
    <row r="345" customFormat="false" ht="11.9" hidden="false" customHeight="true" outlineLevel="0" collapsed="false">
      <c r="A345" s="2" t="str">
        <f aca="false">HYPERLINK("https://www.fabsurplus.com/sdi_catalog/salesItemDetails.do?id=109892")</f>
        <v>https://www.fabsurplus.com/sdi_catalog/salesItemDetails.do?id=109892</v>
      </c>
      <c r="B345" s="2" t="s">
        <v>825</v>
      </c>
      <c r="C345" s="2" t="s">
        <v>320</v>
      </c>
      <c r="D345" s="2" t="s">
        <v>826</v>
      </c>
      <c r="E345" s="2" t="s">
        <v>133</v>
      </c>
      <c r="F345" s="2" t="s">
        <v>16</v>
      </c>
      <c r="G345" s="2" t="s">
        <v>41</v>
      </c>
      <c r="H345" s="2"/>
      <c r="I345" s="2"/>
      <c r="J345" s="2" t="s">
        <v>42</v>
      </c>
      <c r="K345" s="2"/>
      <c r="L345" s="2" t="s">
        <v>827</v>
      </c>
    </row>
    <row r="346" customFormat="false" ht="11.9" hidden="false" customHeight="true" outlineLevel="0" collapsed="false">
      <c r="A346" s="3" t="str">
        <f aca="false">HYPERLINK("https://www.fabsurplus.com/sdi_catalog/salesItemDetails.do?id=109893")</f>
        <v>https://www.fabsurplus.com/sdi_catalog/salesItemDetails.do?id=109893</v>
      </c>
      <c r="B346" s="3" t="s">
        <v>828</v>
      </c>
      <c r="C346" s="3" t="s">
        <v>320</v>
      </c>
      <c r="D346" s="3" t="s">
        <v>829</v>
      </c>
      <c r="E346" s="3" t="s">
        <v>40</v>
      </c>
      <c r="F346" s="3" t="s">
        <v>16</v>
      </c>
      <c r="G346" s="3" t="s">
        <v>41</v>
      </c>
      <c r="H346" s="3"/>
      <c r="I346" s="3"/>
      <c r="J346" s="3" t="s">
        <v>42</v>
      </c>
      <c r="K346" s="3"/>
      <c r="L346" s="3" t="s">
        <v>349</v>
      </c>
    </row>
    <row r="347" customFormat="false" ht="11.9" hidden="false" customHeight="true" outlineLevel="0" collapsed="false">
      <c r="A347" s="3" t="str">
        <f aca="false">HYPERLINK("https://www.fabsurplus.com/sdi_catalog/salesItemDetails.do?id=109751")</f>
        <v>https://www.fabsurplus.com/sdi_catalog/salesItemDetails.do?id=109751</v>
      </c>
      <c r="B347" s="3" t="s">
        <v>830</v>
      </c>
      <c r="C347" s="3" t="s">
        <v>831</v>
      </c>
      <c r="D347" s="3" t="s">
        <v>832</v>
      </c>
      <c r="E347" s="3" t="s">
        <v>47</v>
      </c>
      <c r="F347" s="3" t="s">
        <v>16</v>
      </c>
      <c r="G347" s="3" t="s">
        <v>41</v>
      </c>
      <c r="H347" s="3"/>
      <c r="I347" s="3"/>
      <c r="J347" s="3" t="s">
        <v>42</v>
      </c>
      <c r="K347" s="3"/>
      <c r="L347" s="5" t="s">
        <v>833</v>
      </c>
    </row>
    <row r="348" customFormat="false" ht="11.9" hidden="false" customHeight="true" outlineLevel="0" collapsed="false">
      <c r="A348" s="2" t="str">
        <f aca="false">HYPERLINK("https://www.fabsurplus.com/sdi_catalog/salesItemDetails.do?id=81826")</f>
        <v>https://www.fabsurplus.com/sdi_catalog/salesItemDetails.do?id=81826</v>
      </c>
      <c r="B348" s="2" t="s">
        <v>834</v>
      </c>
      <c r="C348" s="2" t="s">
        <v>835</v>
      </c>
      <c r="D348" s="2" t="s">
        <v>836</v>
      </c>
      <c r="E348" s="2" t="s">
        <v>837</v>
      </c>
      <c r="F348" s="2" t="s">
        <v>16</v>
      </c>
      <c r="G348" s="2" t="s">
        <v>26</v>
      </c>
      <c r="H348" s="2" t="s">
        <v>35</v>
      </c>
      <c r="I348" s="7" t="n">
        <v>38352.9583333333</v>
      </c>
      <c r="J348" s="2" t="s">
        <v>19</v>
      </c>
      <c r="K348" s="2" t="s">
        <v>20</v>
      </c>
      <c r="L348" s="6" t="s">
        <v>838</v>
      </c>
    </row>
    <row r="349" customFormat="false" ht="11.9" hidden="false" customHeight="true" outlineLevel="0" collapsed="false">
      <c r="A349" s="3" t="str">
        <f aca="false">HYPERLINK("https://www.fabsurplus.com/sdi_catalog/salesItemDetails.do?id=18870")</f>
        <v>https://www.fabsurplus.com/sdi_catalog/salesItemDetails.do?id=18870</v>
      </c>
      <c r="B349" s="3" t="s">
        <v>839</v>
      </c>
      <c r="C349" s="3" t="s">
        <v>840</v>
      </c>
      <c r="D349" s="3" t="s">
        <v>841</v>
      </c>
      <c r="E349" s="3" t="s">
        <v>842</v>
      </c>
      <c r="F349" s="3" t="s">
        <v>16</v>
      </c>
      <c r="G349" s="3"/>
      <c r="H349" s="3"/>
      <c r="I349" s="3"/>
      <c r="J349" s="3" t="s">
        <v>19</v>
      </c>
      <c r="K349" s="3"/>
      <c r="L349" s="3"/>
    </row>
    <row r="350" customFormat="false" ht="11.9" hidden="false" customHeight="true" outlineLevel="0" collapsed="false">
      <c r="A350" s="2" t="str">
        <f aca="false">HYPERLINK("https://www.fabsurplus.com/sdi_catalog/salesItemDetails.do?id=109896")</f>
        <v>https://www.fabsurplus.com/sdi_catalog/salesItemDetails.do?id=109896</v>
      </c>
      <c r="B350" s="2" t="s">
        <v>843</v>
      </c>
      <c r="C350" s="2" t="s">
        <v>844</v>
      </c>
      <c r="D350" s="2" t="s">
        <v>845</v>
      </c>
      <c r="E350" s="2" t="s">
        <v>40</v>
      </c>
      <c r="F350" s="2" t="s">
        <v>16</v>
      </c>
      <c r="G350" s="2" t="s">
        <v>41</v>
      </c>
      <c r="H350" s="2"/>
      <c r="I350" s="2"/>
      <c r="J350" s="2" t="s">
        <v>42</v>
      </c>
      <c r="K350" s="2"/>
      <c r="L350" s="2" t="s">
        <v>846</v>
      </c>
    </row>
    <row r="351" customFormat="false" ht="11.9" hidden="false" customHeight="true" outlineLevel="0" collapsed="false">
      <c r="A351" s="3" t="str">
        <f aca="false">HYPERLINK("https://www.fabsurplus.com/sdi_catalog/salesItemDetails.do?id=109895")</f>
        <v>https://www.fabsurplus.com/sdi_catalog/salesItemDetails.do?id=109895</v>
      </c>
      <c r="B351" s="3" t="s">
        <v>847</v>
      </c>
      <c r="C351" s="3" t="s">
        <v>844</v>
      </c>
      <c r="D351" s="3" t="s">
        <v>845</v>
      </c>
      <c r="E351" s="3" t="s">
        <v>40</v>
      </c>
      <c r="F351" s="3" t="s">
        <v>16</v>
      </c>
      <c r="G351" s="3" t="s">
        <v>41</v>
      </c>
      <c r="H351" s="3"/>
      <c r="I351" s="3"/>
      <c r="J351" s="3" t="s">
        <v>42</v>
      </c>
      <c r="K351" s="3"/>
      <c r="L351" s="3" t="s">
        <v>846</v>
      </c>
    </row>
    <row r="352" customFormat="false" ht="11.9" hidden="false" customHeight="true" outlineLevel="0" collapsed="false">
      <c r="A352" s="2" t="str">
        <f aca="false">HYPERLINK("https://www.fabsurplus.com/sdi_catalog/salesItemDetails.do?id=109894")</f>
        <v>https://www.fabsurplus.com/sdi_catalog/salesItemDetails.do?id=109894</v>
      </c>
      <c r="B352" s="2" t="s">
        <v>848</v>
      </c>
      <c r="C352" s="2" t="s">
        <v>844</v>
      </c>
      <c r="D352" s="2" t="s">
        <v>845</v>
      </c>
      <c r="E352" s="2" t="s">
        <v>40</v>
      </c>
      <c r="F352" s="2" t="s">
        <v>16</v>
      </c>
      <c r="G352" s="2" t="s">
        <v>41</v>
      </c>
      <c r="H352" s="2"/>
      <c r="I352" s="2"/>
      <c r="J352" s="2" t="s">
        <v>42</v>
      </c>
      <c r="K352" s="2"/>
      <c r="L352" s="2" t="s">
        <v>846</v>
      </c>
    </row>
    <row r="353" customFormat="false" ht="11.9" hidden="false" customHeight="true" outlineLevel="0" collapsed="false">
      <c r="A353" s="2" t="str">
        <f aca="false">HYPERLINK("https://www.fabsurplus.com/sdi_catalog/salesItemDetails.do?id=53031")</f>
        <v>https://www.fabsurplus.com/sdi_catalog/salesItemDetails.do?id=53031</v>
      </c>
      <c r="B353" s="2" t="s">
        <v>849</v>
      </c>
      <c r="C353" s="2" t="s">
        <v>850</v>
      </c>
      <c r="D353" s="2" t="s">
        <v>851</v>
      </c>
      <c r="E353" s="2" t="s">
        <v>851</v>
      </c>
      <c r="F353" s="2" t="s">
        <v>16</v>
      </c>
      <c r="G353" s="2" t="s">
        <v>17</v>
      </c>
      <c r="H353" s="2" t="s">
        <v>27</v>
      </c>
      <c r="I353" s="2"/>
      <c r="J353" s="2" t="s">
        <v>19</v>
      </c>
      <c r="K353" s="2" t="s">
        <v>20</v>
      </c>
      <c r="L353" s="2" t="s">
        <v>852</v>
      </c>
    </row>
    <row r="354" customFormat="false" ht="11.9" hidden="false" customHeight="true" outlineLevel="0" collapsed="false">
      <c r="A354" s="2" t="str">
        <f aca="false">HYPERLINK("https://www.fabsurplus.com/sdi_catalog/salesItemDetails.do?id=79588")</f>
        <v>https://www.fabsurplus.com/sdi_catalog/salesItemDetails.do?id=79588</v>
      </c>
      <c r="B354" s="2" t="s">
        <v>853</v>
      </c>
      <c r="C354" s="2" t="s">
        <v>854</v>
      </c>
      <c r="D354" s="2" t="s">
        <v>855</v>
      </c>
      <c r="E354" s="2" t="s">
        <v>856</v>
      </c>
      <c r="F354" s="2" t="s">
        <v>16</v>
      </c>
      <c r="G354" s="2" t="s">
        <v>857</v>
      </c>
      <c r="H354" s="2" t="s">
        <v>27</v>
      </c>
      <c r="I354" s="7" t="n">
        <v>39326</v>
      </c>
      <c r="J354" s="2" t="s">
        <v>19</v>
      </c>
      <c r="K354" s="2" t="s">
        <v>20</v>
      </c>
      <c r="L354" s="6" t="s">
        <v>858</v>
      </c>
    </row>
    <row r="355" customFormat="false" ht="11.9" hidden="false" customHeight="true" outlineLevel="0" collapsed="false">
      <c r="A355" s="3" t="str">
        <f aca="false">HYPERLINK("https://www.fabsurplus.com/sdi_catalog/salesItemDetails.do?id=79589")</f>
        <v>https://www.fabsurplus.com/sdi_catalog/salesItemDetails.do?id=79589</v>
      </c>
      <c r="B355" s="3" t="s">
        <v>859</v>
      </c>
      <c r="C355" s="3" t="s">
        <v>854</v>
      </c>
      <c r="D355" s="3" t="s">
        <v>855</v>
      </c>
      <c r="E355" s="3" t="s">
        <v>856</v>
      </c>
      <c r="F355" s="3" t="s">
        <v>16</v>
      </c>
      <c r="G355" s="3" t="s">
        <v>857</v>
      </c>
      <c r="H355" s="3" t="s">
        <v>27</v>
      </c>
      <c r="I355" s="4" t="n">
        <v>39692</v>
      </c>
      <c r="J355" s="3" t="s">
        <v>19</v>
      </c>
      <c r="K355" s="3" t="s">
        <v>20</v>
      </c>
      <c r="L355" s="5" t="s">
        <v>860</v>
      </c>
    </row>
    <row r="356" customFormat="false" ht="11.9" hidden="false" customHeight="true" outlineLevel="0" collapsed="false">
      <c r="A356" s="3" t="str">
        <f aca="false">HYPERLINK("https://www.fabsurplus.com/sdi_catalog/salesItemDetails.do?id=10544")</f>
        <v>https://www.fabsurplus.com/sdi_catalog/salesItemDetails.do?id=10544</v>
      </c>
      <c r="B356" s="3" t="s">
        <v>861</v>
      </c>
      <c r="C356" s="3" t="s">
        <v>854</v>
      </c>
      <c r="D356" s="3" t="s">
        <v>862</v>
      </c>
      <c r="E356" s="3" t="s">
        <v>863</v>
      </c>
      <c r="F356" s="3" t="s">
        <v>16</v>
      </c>
      <c r="G356" s="3" t="s">
        <v>298</v>
      </c>
      <c r="H356" s="3" t="s">
        <v>27</v>
      </c>
      <c r="I356" s="3"/>
      <c r="J356" s="3" t="s">
        <v>19</v>
      </c>
      <c r="K356" s="3" t="s">
        <v>20</v>
      </c>
      <c r="L356" s="5" t="s">
        <v>864</v>
      </c>
    </row>
    <row r="357" customFormat="false" ht="11.9" hidden="false" customHeight="true" outlineLevel="0" collapsed="false">
      <c r="A357" s="2" t="str">
        <f aca="false">HYPERLINK("https://www.fabsurplus.com/sdi_catalog/salesItemDetails.do?id=18868")</f>
        <v>https://www.fabsurplus.com/sdi_catalog/salesItemDetails.do?id=18868</v>
      </c>
      <c r="B357" s="2" t="s">
        <v>865</v>
      </c>
      <c r="C357" s="2" t="s">
        <v>854</v>
      </c>
      <c r="D357" s="2" t="s">
        <v>866</v>
      </c>
      <c r="E357" s="2" t="s">
        <v>867</v>
      </c>
      <c r="F357" s="2" t="s">
        <v>16</v>
      </c>
      <c r="G357" s="2" t="s">
        <v>868</v>
      </c>
      <c r="H357" s="2" t="s">
        <v>35</v>
      </c>
      <c r="I357" s="2"/>
      <c r="J357" s="2" t="s">
        <v>19</v>
      </c>
      <c r="K357" s="2" t="s">
        <v>20</v>
      </c>
      <c r="L357" s="6" t="s">
        <v>869</v>
      </c>
    </row>
    <row r="358" customFormat="false" ht="11.9" hidden="false" customHeight="true" outlineLevel="0" collapsed="false">
      <c r="A358" s="3" t="str">
        <f aca="false">HYPERLINK("https://www.fabsurplus.com/sdi_catalog/salesItemDetails.do?id=18869")</f>
        <v>https://www.fabsurplus.com/sdi_catalog/salesItemDetails.do?id=18869</v>
      </c>
      <c r="B358" s="3" t="s">
        <v>870</v>
      </c>
      <c r="C358" s="3" t="s">
        <v>854</v>
      </c>
      <c r="D358" s="3" t="s">
        <v>871</v>
      </c>
      <c r="E358" s="3" t="s">
        <v>872</v>
      </c>
      <c r="F358" s="3" t="s">
        <v>16</v>
      </c>
      <c r="G358" s="3" t="s">
        <v>868</v>
      </c>
      <c r="H358" s="3" t="s">
        <v>35</v>
      </c>
      <c r="I358" s="3"/>
      <c r="J358" s="3" t="s">
        <v>19</v>
      </c>
      <c r="K358" s="3" t="s">
        <v>20</v>
      </c>
      <c r="L358" s="3" t="s">
        <v>873</v>
      </c>
    </row>
    <row r="359" customFormat="false" ht="11.9" hidden="false" customHeight="true" outlineLevel="0" collapsed="false">
      <c r="A359" s="2" t="str">
        <f aca="false">HYPERLINK("https://www.fabsurplus.com/sdi_catalog/salesItemDetails.do?id=109897")</f>
        <v>https://www.fabsurplus.com/sdi_catalog/salesItemDetails.do?id=109897</v>
      </c>
      <c r="B359" s="2" t="s">
        <v>874</v>
      </c>
      <c r="C359" s="2" t="s">
        <v>875</v>
      </c>
      <c r="D359" s="2" t="s">
        <v>876</v>
      </c>
      <c r="E359" s="2" t="s">
        <v>47</v>
      </c>
      <c r="F359" s="2" t="s">
        <v>16</v>
      </c>
      <c r="G359" s="2" t="s">
        <v>41</v>
      </c>
      <c r="H359" s="2"/>
      <c r="I359" s="2"/>
      <c r="J359" s="2" t="s">
        <v>42</v>
      </c>
      <c r="K359" s="2"/>
      <c r="L359" s="2" t="s">
        <v>877</v>
      </c>
    </row>
    <row r="360" customFormat="false" ht="11.9" hidden="false" customHeight="true" outlineLevel="0" collapsed="false">
      <c r="A360" s="2" t="str">
        <f aca="false">HYPERLINK("https://www.fabsurplus.com/sdi_catalog/salesItemDetails.do?id=83904")</f>
        <v>https://www.fabsurplus.com/sdi_catalog/salesItemDetails.do?id=83904</v>
      </c>
      <c r="B360" s="2" t="s">
        <v>878</v>
      </c>
      <c r="C360" s="2" t="s">
        <v>879</v>
      </c>
      <c r="D360" s="2" t="s">
        <v>880</v>
      </c>
      <c r="E360" s="2" t="s">
        <v>881</v>
      </c>
      <c r="F360" s="2" t="s">
        <v>16</v>
      </c>
      <c r="G360" s="2" t="s">
        <v>882</v>
      </c>
      <c r="H360" s="2" t="s">
        <v>883</v>
      </c>
      <c r="I360" s="7" t="n">
        <v>32782</v>
      </c>
      <c r="J360" s="2" t="s">
        <v>19</v>
      </c>
      <c r="K360" s="2" t="s">
        <v>20</v>
      </c>
      <c r="L360" s="6" t="s">
        <v>884</v>
      </c>
    </row>
    <row r="361" customFormat="false" ht="11.9" hidden="false" customHeight="true" outlineLevel="0" collapsed="false">
      <c r="A361" s="2" t="str">
        <f aca="false">HYPERLINK("https://www.fabsurplus.com/sdi_catalog/salesItemDetails.do?id=80267")</f>
        <v>https://www.fabsurplus.com/sdi_catalog/salesItemDetails.do?id=80267</v>
      </c>
      <c r="B361" s="2" t="s">
        <v>885</v>
      </c>
      <c r="C361" s="2" t="s">
        <v>886</v>
      </c>
      <c r="D361" s="2" t="s">
        <v>887</v>
      </c>
      <c r="E361" s="2" t="s">
        <v>888</v>
      </c>
      <c r="F361" s="2" t="s">
        <v>889</v>
      </c>
      <c r="G361" s="2" t="s">
        <v>17</v>
      </c>
      <c r="H361" s="2" t="s">
        <v>27</v>
      </c>
      <c r="I361" s="2"/>
      <c r="J361" s="2" t="s">
        <v>19</v>
      </c>
      <c r="K361" s="2" t="s">
        <v>20</v>
      </c>
      <c r="L361" s="6" t="s">
        <v>890</v>
      </c>
    </row>
    <row r="362" customFormat="false" ht="11.9" hidden="false" customHeight="true" outlineLevel="0" collapsed="false">
      <c r="A362" s="3" t="str">
        <f aca="false">HYPERLINK("https://www.fabsurplus.com/sdi_catalog/salesItemDetails.do?id=80268")</f>
        <v>https://www.fabsurplus.com/sdi_catalog/salesItemDetails.do?id=80268</v>
      </c>
      <c r="B362" s="3" t="s">
        <v>891</v>
      </c>
      <c r="C362" s="3" t="s">
        <v>879</v>
      </c>
      <c r="D362" s="3" t="s">
        <v>892</v>
      </c>
      <c r="E362" s="3" t="s">
        <v>893</v>
      </c>
      <c r="F362" s="3" t="s">
        <v>77</v>
      </c>
      <c r="G362" s="3" t="s">
        <v>894</v>
      </c>
      <c r="H362" s="3" t="s">
        <v>27</v>
      </c>
      <c r="I362" s="4" t="n">
        <v>34089.9166666667</v>
      </c>
      <c r="J362" s="3" t="s">
        <v>19</v>
      </c>
      <c r="K362" s="3" t="s">
        <v>20</v>
      </c>
      <c r="L362" s="3"/>
    </row>
    <row r="363" customFormat="false" ht="11.9" hidden="false" customHeight="true" outlineLevel="0" collapsed="false">
      <c r="A363" s="3" t="str">
        <f aca="false">HYPERLINK("https://www.fabsurplus.com/sdi_catalog/salesItemDetails.do?id=77087")</f>
        <v>https://www.fabsurplus.com/sdi_catalog/salesItemDetails.do?id=77087</v>
      </c>
      <c r="B363" s="3" t="s">
        <v>895</v>
      </c>
      <c r="C363" s="3" t="s">
        <v>896</v>
      </c>
      <c r="D363" s="3" t="s">
        <v>897</v>
      </c>
      <c r="E363" s="3" t="s">
        <v>898</v>
      </c>
      <c r="F363" s="3" t="s">
        <v>16</v>
      </c>
      <c r="G363" s="3"/>
      <c r="H363" s="3"/>
      <c r="I363" s="3"/>
      <c r="J363" s="3" t="s">
        <v>19</v>
      </c>
      <c r="K363" s="3"/>
      <c r="L363" s="3"/>
    </row>
    <row r="364" customFormat="false" ht="11.9" hidden="false" customHeight="true" outlineLevel="0" collapsed="false">
      <c r="A364" s="2" t="str">
        <f aca="false">HYPERLINK("https://www.fabsurplus.com/sdi_catalog/salesItemDetails.do?id=77093")</f>
        <v>https://www.fabsurplus.com/sdi_catalog/salesItemDetails.do?id=77093</v>
      </c>
      <c r="B364" s="2" t="s">
        <v>899</v>
      </c>
      <c r="C364" s="2" t="s">
        <v>900</v>
      </c>
      <c r="D364" s="2" t="s">
        <v>901</v>
      </c>
      <c r="E364" s="2" t="s">
        <v>902</v>
      </c>
      <c r="F364" s="2" t="s">
        <v>16</v>
      </c>
      <c r="G364" s="2"/>
      <c r="H364" s="2"/>
      <c r="I364" s="2"/>
      <c r="J364" s="2" t="s">
        <v>19</v>
      </c>
      <c r="K364" s="2"/>
      <c r="L364" s="2"/>
    </row>
    <row r="365" customFormat="false" ht="11.9" hidden="false" customHeight="true" outlineLevel="0" collapsed="false">
      <c r="A365" s="3" t="str">
        <f aca="false">HYPERLINK("https://www.fabsurplus.com/sdi_catalog/salesItemDetails.do?id=83595")</f>
        <v>https://www.fabsurplus.com/sdi_catalog/salesItemDetails.do?id=83595</v>
      </c>
      <c r="B365" s="3" t="s">
        <v>903</v>
      </c>
      <c r="C365" s="3" t="s">
        <v>900</v>
      </c>
      <c r="D365" s="3" t="s">
        <v>904</v>
      </c>
      <c r="E365" s="3" t="s">
        <v>905</v>
      </c>
      <c r="F365" s="3" t="s">
        <v>16</v>
      </c>
      <c r="G365" s="3"/>
      <c r="H365" s="3" t="s">
        <v>27</v>
      </c>
      <c r="I365" s="3"/>
      <c r="J365" s="3" t="s">
        <v>19</v>
      </c>
      <c r="K365" s="3" t="s">
        <v>20</v>
      </c>
      <c r="L365" s="3" t="s">
        <v>906</v>
      </c>
    </row>
    <row r="366" customFormat="false" ht="11.9" hidden="false" customHeight="true" outlineLevel="0" collapsed="false">
      <c r="A366" s="2" t="str">
        <f aca="false">HYPERLINK("https://www.fabsurplus.com/sdi_catalog/salesItemDetails.do?id=83593")</f>
        <v>https://www.fabsurplus.com/sdi_catalog/salesItemDetails.do?id=83593</v>
      </c>
      <c r="B366" s="2" t="s">
        <v>907</v>
      </c>
      <c r="C366" s="2" t="s">
        <v>900</v>
      </c>
      <c r="D366" s="2" t="s">
        <v>908</v>
      </c>
      <c r="E366" s="2" t="s">
        <v>909</v>
      </c>
      <c r="F366" s="2" t="s">
        <v>16</v>
      </c>
      <c r="G366" s="2"/>
      <c r="H366" s="2" t="s">
        <v>27</v>
      </c>
      <c r="I366" s="2"/>
      <c r="J366" s="2" t="s">
        <v>19</v>
      </c>
      <c r="K366" s="2" t="s">
        <v>20</v>
      </c>
      <c r="L366" s="2" t="s">
        <v>910</v>
      </c>
    </row>
    <row r="367" customFormat="false" ht="11.9" hidden="false" customHeight="true" outlineLevel="0" collapsed="false">
      <c r="A367" s="3" t="str">
        <f aca="false">HYPERLINK("https://www.fabsurplus.com/sdi_catalog/salesItemDetails.do?id=83564")</f>
        <v>https://www.fabsurplus.com/sdi_catalog/salesItemDetails.do?id=83564</v>
      </c>
      <c r="B367" s="3" t="s">
        <v>911</v>
      </c>
      <c r="C367" s="3" t="s">
        <v>900</v>
      </c>
      <c r="D367" s="3" t="s">
        <v>912</v>
      </c>
      <c r="E367" s="3" t="s">
        <v>913</v>
      </c>
      <c r="F367" s="3" t="s">
        <v>16</v>
      </c>
      <c r="G367" s="3"/>
      <c r="H367" s="3" t="s">
        <v>35</v>
      </c>
      <c r="I367" s="3"/>
      <c r="J367" s="3" t="s">
        <v>19</v>
      </c>
      <c r="K367" s="3" t="s">
        <v>20</v>
      </c>
      <c r="L367" s="3" t="s">
        <v>914</v>
      </c>
    </row>
    <row r="368" customFormat="false" ht="11.9" hidden="false" customHeight="true" outlineLevel="0" collapsed="false">
      <c r="A368" s="3" t="str">
        <f aca="false">HYPERLINK("https://www.fabsurplus.com/sdi_catalog/salesItemDetails.do?id=109907")</f>
        <v>https://www.fabsurplus.com/sdi_catalog/salesItemDetails.do?id=109907</v>
      </c>
      <c r="B368" s="3" t="s">
        <v>915</v>
      </c>
      <c r="C368" s="3" t="s">
        <v>916</v>
      </c>
      <c r="D368" s="3" t="s">
        <v>917</v>
      </c>
      <c r="E368" s="3" t="s">
        <v>40</v>
      </c>
      <c r="F368" s="3" t="s">
        <v>16</v>
      </c>
      <c r="G368" s="3" t="s">
        <v>41</v>
      </c>
      <c r="H368" s="3"/>
      <c r="I368" s="3"/>
      <c r="J368" s="3" t="s">
        <v>42</v>
      </c>
      <c r="K368" s="3"/>
      <c r="L368" s="3" t="s">
        <v>918</v>
      </c>
    </row>
    <row r="369" customFormat="false" ht="11.9" hidden="false" customHeight="true" outlineLevel="0" collapsed="false">
      <c r="A369" s="2" t="str">
        <f aca="false">HYPERLINK("https://www.fabsurplus.com/sdi_catalog/salesItemDetails.do?id=109906")</f>
        <v>https://www.fabsurplus.com/sdi_catalog/salesItemDetails.do?id=109906</v>
      </c>
      <c r="B369" s="2" t="s">
        <v>919</v>
      </c>
      <c r="C369" s="2" t="s">
        <v>916</v>
      </c>
      <c r="D369" s="2" t="s">
        <v>917</v>
      </c>
      <c r="E369" s="2" t="s">
        <v>40</v>
      </c>
      <c r="F369" s="2" t="s">
        <v>16</v>
      </c>
      <c r="G369" s="2" t="s">
        <v>41</v>
      </c>
      <c r="H369" s="2"/>
      <c r="I369" s="2"/>
      <c r="J369" s="2" t="s">
        <v>42</v>
      </c>
      <c r="K369" s="2"/>
      <c r="L369" s="2" t="s">
        <v>918</v>
      </c>
    </row>
    <row r="370" customFormat="false" ht="11.9" hidden="false" customHeight="true" outlineLevel="0" collapsed="false">
      <c r="A370" s="3" t="str">
        <f aca="false">HYPERLINK("https://www.fabsurplus.com/sdi_catalog/salesItemDetails.do?id=109905")</f>
        <v>https://www.fabsurplus.com/sdi_catalog/salesItemDetails.do?id=109905</v>
      </c>
      <c r="B370" s="3" t="s">
        <v>920</v>
      </c>
      <c r="C370" s="3" t="s">
        <v>916</v>
      </c>
      <c r="D370" s="3" t="s">
        <v>917</v>
      </c>
      <c r="E370" s="3" t="s">
        <v>40</v>
      </c>
      <c r="F370" s="3" t="s">
        <v>16</v>
      </c>
      <c r="G370" s="3" t="s">
        <v>41</v>
      </c>
      <c r="H370" s="3"/>
      <c r="I370" s="3"/>
      <c r="J370" s="3" t="s">
        <v>42</v>
      </c>
      <c r="K370" s="3"/>
      <c r="L370" s="3" t="s">
        <v>918</v>
      </c>
    </row>
    <row r="371" customFormat="false" ht="11.9" hidden="false" customHeight="true" outlineLevel="0" collapsed="false">
      <c r="A371" s="2" t="str">
        <f aca="false">HYPERLINK("https://www.fabsurplus.com/sdi_catalog/salesItemDetails.do?id=109904")</f>
        <v>https://www.fabsurplus.com/sdi_catalog/salesItemDetails.do?id=109904</v>
      </c>
      <c r="B371" s="2" t="s">
        <v>921</v>
      </c>
      <c r="C371" s="2" t="s">
        <v>916</v>
      </c>
      <c r="D371" s="2" t="s">
        <v>917</v>
      </c>
      <c r="E371" s="2" t="s">
        <v>40</v>
      </c>
      <c r="F371" s="2" t="s">
        <v>16</v>
      </c>
      <c r="G371" s="2" t="s">
        <v>41</v>
      </c>
      <c r="H371" s="2"/>
      <c r="I371" s="2"/>
      <c r="J371" s="2" t="s">
        <v>42</v>
      </c>
      <c r="K371" s="2"/>
      <c r="L371" s="2" t="s">
        <v>918</v>
      </c>
    </row>
    <row r="372" customFormat="false" ht="11.9" hidden="false" customHeight="true" outlineLevel="0" collapsed="false">
      <c r="A372" s="3" t="str">
        <f aca="false">HYPERLINK("https://www.fabsurplus.com/sdi_catalog/salesItemDetails.do?id=109903")</f>
        <v>https://www.fabsurplus.com/sdi_catalog/salesItemDetails.do?id=109903</v>
      </c>
      <c r="B372" s="3" t="s">
        <v>922</v>
      </c>
      <c r="C372" s="3" t="s">
        <v>916</v>
      </c>
      <c r="D372" s="3" t="s">
        <v>917</v>
      </c>
      <c r="E372" s="3" t="s">
        <v>40</v>
      </c>
      <c r="F372" s="3" t="s">
        <v>16</v>
      </c>
      <c r="G372" s="3" t="s">
        <v>41</v>
      </c>
      <c r="H372" s="3"/>
      <c r="I372" s="3"/>
      <c r="J372" s="3" t="s">
        <v>42</v>
      </c>
      <c r="K372" s="3"/>
      <c r="L372" s="3" t="s">
        <v>918</v>
      </c>
    </row>
    <row r="373" customFormat="false" ht="11.9" hidden="false" customHeight="true" outlineLevel="0" collapsed="false">
      <c r="A373" s="2" t="str">
        <f aca="false">HYPERLINK("https://www.fabsurplus.com/sdi_catalog/salesItemDetails.do?id=109902")</f>
        <v>https://www.fabsurplus.com/sdi_catalog/salesItemDetails.do?id=109902</v>
      </c>
      <c r="B373" s="2" t="s">
        <v>923</v>
      </c>
      <c r="C373" s="2" t="s">
        <v>916</v>
      </c>
      <c r="D373" s="2" t="s">
        <v>917</v>
      </c>
      <c r="E373" s="2" t="s">
        <v>40</v>
      </c>
      <c r="F373" s="2" t="s">
        <v>16</v>
      </c>
      <c r="G373" s="2" t="s">
        <v>41</v>
      </c>
      <c r="H373" s="2"/>
      <c r="I373" s="2"/>
      <c r="J373" s="2" t="s">
        <v>42</v>
      </c>
      <c r="K373" s="2"/>
      <c r="L373" s="2" t="s">
        <v>918</v>
      </c>
    </row>
    <row r="374" customFormat="false" ht="11.9" hidden="false" customHeight="true" outlineLevel="0" collapsed="false">
      <c r="A374" s="3" t="str">
        <f aca="false">HYPERLINK("https://www.fabsurplus.com/sdi_catalog/salesItemDetails.do?id=109901")</f>
        <v>https://www.fabsurplus.com/sdi_catalog/salesItemDetails.do?id=109901</v>
      </c>
      <c r="B374" s="3" t="s">
        <v>924</v>
      </c>
      <c r="C374" s="3" t="s">
        <v>916</v>
      </c>
      <c r="D374" s="3" t="s">
        <v>917</v>
      </c>
      <c r="E374" s="3" t="s">
        <v>40</v>
      </c>
      <c r="F374" s="3" t="s">
        <v>16</v>
      </c>
      <c r="G374" s="3" t="s">
        <v>41</v>
      </c>
      <c r="H374" s="3"/>
      <c r="I374" s="3"/>
      <c r="J374" s="3" t="s">
        <v>42</v>
      </c>
      <c r="K374" s="3"/>
      <c r="L374" s="3" t="s">
        <v>918</v>
      </c>
    </row>
    <row r="375" customFormat="false" ht="11.9" hidden="false" customHeight="true" outlineLevel="0" collapsed="false">
      <c r="A375" s="2" t="str">
        <f aca="false">HYPERLINK("https://www.fabsurplus.com/sdi_catalog/salesItemDetails.do?id=109900")</f>
        <v>https://www.fabsurplus.com/sdi_catalog/salesItemDetails.do?id=109900</v>
      </c>
      <c r="B375" s="2" t="s">
        <v>925</v>
      </c>
      <c r="C375" s="2" t="s">
        <v>916</v>
      </c>
      <c r="D375" s="2" t="s">
        <v>917</v>
      </c>
      <c r="E375" s="2" t="s">
        <v>40</v>
      </c>
      <c r="F375" s="2" t="s">
        <v>16</v>
      </c>
      <c r="G375" s="2" t="s">
        <v>41</v>
      </c>
      <c r="H375" s="2"/>
      <c r="I375" s="2"/>
      <c r="J375" s="2" t="s">
        <v>42</v>
      </c>
      <c r="K375" s="2"/>
      <c r="L375" s="2" t="s">
        <v>918</v>
      </c>
    </row>
    <row r="376" customFormat="false" ht="11.9" hidden="false" customHeight="true" outlineLevel="0" collapsed="false">
      <c r="A376" s="3" t="str">
        <f aca="false">HYPERLINK("https://www.fabsurplus.com/sdi_catalog/salesItemDetails.do?id=109899")</f>
        <v>https://www.fabsurplus.com/sdi_catalog/salesItemDetails.do?id=109899</v>
      </c>
      <c r="B376" s="3" t="s">
        <v>926</v>
      </c>
      <c r="C376" s="3" t="s">
        <v>916</v>
      </c>
      <c r="D376" s="3" t="s">
        <v>917</v>
      </c>
      <c r="E376" s="3" t="s">
        <v>40</v>
      </c>
      <c r="F376" s="3" t="s">
        <v>16</v>
      </c>
      <c r="G376" s="3" t="s">
        <v>41</v>
      </c>
      <c r="H376" s="3"/>
      <c r="I376" s="3"/>
      <c r="J376" s="3" t="s">
        <v>42</v>
      </c>
      <c r="K376" s="3"/>
      <c r="L376" s="3" t="s">
        <v>918</v>
      </c>
    </row>
    <row r="377" customFormat="false" ht="11.9" hidden="false" customHeight="true" outlineLevel="0" collapsed="false">
      <c r="A377" s="2" t="str">
        <f aca="false">HYPERLINK("https://www.fabsurplus.com/sdi_catalog/salesItemDetails.do?id=109898")</f>
        <v>https://www.fabsurplus.com/sdi_catalog/salesItemDetails.do?id=109898</v>
      </c>
      <c r="B377" s="2" t="s">
        <v>927</v>
      </c>
      <c r="C377" s="2" t="s">
        <v>916</v>
      </c>
      <c r="D377" s="2" t="s">
        <v>917</v>
      </c>
      <c r="E377" s="2" t="s">
        <v>40</v>
      </c>
      <c r="F377" s="2" t="s">
        <v>16</v>
      </c>
      <c r="G377" s="2" t="s">
        <v>41</v>
      </c>
      <c r="H377" s="2"/>
      <c r="I377" s="2"/>
      <c r="J377" s="2" t="s">
        <v>42</v>
      </c>
      <c r="K377" s="2"/>
      <c r="L377" s="2" t="s">
        <v>928</v>
      </c>
    </row>
    <row r="378" customFormat="false" ht="11.9" hidden="false" customHeight="true" outlineLevel="0" collapsed="false">
      <c r="A378" s="2" t="str">
        <f aca="false">HYPERLINK("https://www.fabsurplus.com/sdi_catalog/salesItemDetails.do?id=109908")</f>
        <v>https://www.fabsurplus.com/sdi_catalog/salesItemDetails.do?id=109908</v>
      </c>
      <c r="B378" s="2" t="s">
        <v>929</v>
      </c>
      <c r="C378" s="2" t="s">
        <v>930</v>
      </c>
      <c r="D378" s="2" t="s">
        <v>931</v>
      </c>
      <c r="E378" s="2" t="s">
        <v>133</v>
      </c>
      <c r="F378" s="2" t="s">
        <v>16</v>
      </c>
      <c r="G378" s="2" t="s">
        <v>41</v>
      </c>
      <c r="H378" s="2"/>
      <c r="I378" s="2"/>
      <c r="J378" s="2" t="s">
        <v>42</v>
      </c>
      <c r="K378" s="2"/>
      <c r="L378" s="2" t="s">
        <v>932</v>
      </c>
    </row>
    <row r="379" customFormat="false" ht="11.9" hidden="false" customHeight="true" outlineLevel="0" collapsed="false">
      <c r="A379" s="3" t="str">
        <f aca="false">HYPERLINK("https://www.fabsurplus.com/sdi_catalog/salesItemDetails.do?id=86305")</f>
        <v>https://www.fabsurplus.com/sdi_catalog/salesItemDetails.do?id=86305</v>
      </c>
      <c r="B379" s="3" t="s">
        <v>933</v>
      </c>
      <c r="C379" s="3" t="s">
        <v>930</v>
      </c>
      <c r="D379" s="3" t="s">
        <v>934</v>
      </c>
      <c r="E379" s="3" t="s">
        <v>935</v>
      </c>
      <c r="F379" s="3" t="s">
        <v>16</v>
      </c>
      <c r="G379" s="3"/>
      <c r="H379" s="3" t="s">
        <v>27</v>
      </c>
      <c r="I379" s="3"/>
      <c r="J379" s="3" t="s">
        <v>19</v>
      </c>
      <c r="K379" s="3" t="s">
        <v>20</v>
      </c>
      <c r="L379" s="5" t="s">
        <v>936</v>
      </c>
    </row>
    <row r="380" customFormat="false" ht="11.9" hidden="false" customHeight="true" outlineLevel="0" collapsed="false">
      <c r="A380" s="2" t="str">
        <f aca="false">HYPERLINK("https://www.fabsurplus.com/sdi_catalog/salesItemDetails.do?id=83588")</f>
        <v>https://www.fabsurplus.com/sdi_catalog/salesItemDetails.do?id=83588</v>
      </c>
      <c r="B380" s="2" t="s">
        <v>937</v>
      </c>
      <c r="C380" s="2" t="s">
        <v>930</v>
      </c>
      <c r="D380" s="2" t="s">
        <v>938</v>
      </c>
      <c r="E380" s="2" t="s">
        <v>939</v>
      </c>
      <c r="F380" s="2" t="s">
        <v>16</v>
      </c>
      <c r="G380" s="2" t="s">
        <v>26</v>
      </c>
      <c r="H380" s="2" t="s">
        <v>35</v>
      </c>
      <c r="I380" s="2"/>
      <c r="J380" s="2" t="s">
        <v>19</v>
      </c>
      <c r="K380" s="2" t="s">
        <v>20</v>
      </c>
      <c r="L380" s="6" t="s">
        <v>940</v>
      </c>
    </row>
    <row r="381" customFormat="false" ht="11.9" hidden="false" customHeight="true" outlineLevel="0" collapsed="false">
      <c r="A381" s="2" t="str">
        <f aca="false">HYPERLINK("https://www.fabsurplus.com/sdi_catalog/salesItemDetails.do?id=84551")</f>
        <v>https://www.fabsurplus.com/sdi_catalog/salesItemDetails.do?id=84551</v>
      </c>
      <c r="B381" s="2" t="s">
        <v>941</v>
      </c>
      <c r="C381" s="2" t="s">
        <v>930</v>
      </c>
      <c r="D381" s="2" t="s">
        <v>942</v>
      </c>
      <c r="E381" s="2" t="s">
        <v>943</v>
      </c>
      <c r="F381" s="2" t="s">
        <v>16</v>
      </c>
      <c r="G381" s="2"/>
      <c r="H381" s="2" t="s">
        <v>944</v>
      </c>
      <c r="I381" s="2"/>
      <c r="J381" s="2" t="s">
        <v>19</v>
      </c>
      <c r="K381" s="2" t="s">
        <v>20</v>
      </c>
      <c r="L381" s="6" t="s">
        <v>945</v>
      </c>
    </row>
    <row r="382" customFormat="false" ht="11.9" hidden="false" customHeight="true" outlineLevel="0" collapsed="false">
      <c r="A382" s="3" t="str">
        <f aca="false">HYPERLINK("https://www.fabsurplus.com/sdi_catalog/salesItemDetails.do?id=83669")</f>
        <v>https://www.fabsurplus.com/sdi_catalog/salesItemDetails.do?id=83669</v>
      </c>
      <c r="B382" s="3" t="s">
        <v>946</v>
      </c>
      <c r="C382" s="3" t="s">
        <v>930</v>
      </c>
      <c r="D382" s="3" t="s">
        <v>947</v>
      </c>
      <c r="E382" s="3" t="s">
        <v>948</v>
      </c>
      <c r="F382" s="3" t="s">
        <v>69</v>
      </c>
      <c r="G382" s="3"/>
      <c r="H382" s="3" t="s">
        <v>35</v>
      </c>
      <c r="I382" s="3"/>
      <c r="J382" s="3" t="s">
        <v>19</v>
      </c>
      <c r="K382" s="3" t="s">
        <v>20</v>
      </c>
      <c r="L382" s="5" t="s">
        <v>949</v>
      </c>
    </row>
    <row r="383" customFormat="false" ht="11.9" hidden="false" customHeight="true" outlineLevel="0" collapsed="false">
      <c r="A383" s="2" t="str">
        <f aca="false">HYPERLINK("https://www.fabsurplus.com/sdi_catalog/salesItemDetails.do?id=109910")</f>
        <v>https://www.fabsurplus.com/sdi_catalog/salesItemDetails.do?id=109910</v>
      </c>
      <c r="B383" s="2" t="s">
        <v>950</v>
      </c>
      <c r="C383" s="2" t="s">
        <v>930</v>
      </c>
      <c r="D383" s="2" t="s">
        <v>951</v>
      </c>
      <c r="E383" s="2" t="s">
        <v>133</v>
      </c>
      <c r="F383" s="2" t="s">
        <v>16</v>
      </c>
      <c r="G383" s="2" t="s">
        <v>41</v>
      </c>
      <c r="H383" s="2"/>
      <c r="I383" s="2"/>
      <c r="J383" s="2" t="s">
        <v>42</v>
      </c>
      <c r="K383" s="2"/>
      <c r="L383" s="2" t="s">
        <v>952</v>
      </c>
    </row>
    <row r="384" customFormat="false" ht="11.9" hidden="false" customHeight="true" outlineLevel="0" collapsed="false">
      <c r="A384" s="3" t="str">
        <f aca="false">HYPERLINK("https://www.fabsurplus.com/sdi_catalog/salesItemDetails.do?id=109909")</f>
        <v>https://www.fabsurplus.com/sdi_catalog/salesItemDetails.do?id=109909</v>
      </c>
      <c r="B384" s="3" t="s">
        <v>953</v>
      </c>
      <c r="C384" s="3" t="s">
        <v>930</v>
      </c>
      <c r="D384" s="3" t="s">
        <v>951</v>
      </c>
      <c r="E384" s="3" t="s">
        <v>133</v>
      </c>
      <c r="F384" s="3" t="s">
        <v>16</v>
      </c>
      <c r="G384" s="3" t="s">
        <v>41</v>
      </c>
      <c r="H384" s="3"/>
      <c r="I384" s="3"/>
      <c r="J384" s="3" t="s">
        <v>42</v>
      </c>
      <c r="K384" s="3"/>
      <c r="L384" s="3" t="s">
        <v>952</v>
      </c>
    </row>
    <row r="385" customFormat="false" ht="11.9" hidden="false" customHeight="true" outlineLevel="0" collapsed="false">
      <c r="A385" s="3" t="str">
        <f aca="false">HYPERLINK("https://www.fabsurplus.com/sdi_catalog/salesItemDetails.do?id=109911")</f>
        <v>https://www.fabsurplus.com/sdi_catalog/salesItemDetails.do?id=109911</v>
      </c>
      <c r="B385" s="3" t="s">
        <v>954</v>
      </c>
      <c r="C385" s="3" t="s">
        <v>930</v>
      </c>
      <c r="D385" s="3" t="s">
        <v>955</v>
      </c>
      <c r="E385" s="3" t="s">
        <v>133</v>
      </c>
      <c r="F385" s="3" t="s">
        <v>16</v>
      </c>
      <c r="G385" s="3" t="s">
        <v>41</v>
      </c>
      <c r="H385" s="3"/>
      <c r="I385" s="3"/>
      <c r="J385" s="3" t="s">
        <v>42</v>
      </c>
      <c r="K385" s="3"/>
      <c r="L385" s="3" t="s">
        <v>956</v>
      </c>
    </row>
    <row r="386" customFormat="false" ht="11.9" hidden="false" customHeight="true" outlineLevel="0" collapsed="false">
      <c r="A386" s="2" t="str">
        <f aca="false">HYPERLINK("https://www.fabsurplus.com/sdi_catalog/salesItemDetails.do?id=109912")</f>
        <v>https://www.fabsurplus.com/sdi_catalog/salesItemDetails.do?id=109912</v>
      </c>
      <c r="B386" s="2" t="s">
        <v>957</v>
      </c>
      <c r="C386" s="2" t="s">
        <v>930</v>
      </c>
      <c r="D386" s="2" t="s">
        <v>958</v>
      </c>
      <c r="E386" s="2" t="s">
        <v>802</v>
      </c>
      <c r="F386" s="2" t="s">
        <v>16</v>
      </c>
      <c r="G386" s="2" t="s">
        <v>41</v>
      </c>
      <c r="H386" s="2"/>
      <c r="I386" s="2"/>
      <c r="J386" s="2" t="s">
        <v>42</v>
      </c>
      <c r="K386" s="2"/>
      <c r="L386" s="2" t="s">
        <v>959</v>
      </c>
    </row>
    <row r="387" customFormat="false" ht="11.9" hidden="false" customHeight="true" outlineLevel="0" collapsed="false">
      <c r="A387" s="3" t="str">
        <f aca="false">HYPERLINK("https://www.fabsurplus.com/sdi_catalog/salesItemDetails.do?id=109915")</f>
        <v>https://www.fabsurplus.com/sdi_catalog/salesItemDetails.do?id=109915</v>
      </c>
      <c r="B387" s="3" t="s">
        <v>960</v>
      </c>
      <c r="C387" s="3" t="s">
        <v>930</v>
      </c>
      <c r="D387" s="3" t="s">
        <v>961</v>
      </c>
      <c r="E387" s="3" t="s">
        <v>40</v>
      </c>
      <c r="F387" s="3" t="s">
        <v>16</v>
      </c>
      <c r="G387" s="3" t="s">
        <v>41</v>
      </c>
      <c r="H387" s="3"/>
      <c r="I387" s="3"/>
      <c r="J387" s="3" t="s">
        <v>42</v>
      </c>
      <c r="K387" s="3"/>
      <c r="L387" s="3" t="s">
        <v>962</v>
      </c>
    </row>
    <row r="388" customFormat="false" ht="11.9" hidden="false" customHeight="true" outlineLevel="0" collapsed="false">
      <c r="A388" s="2" t="str">
        <f aca="false">HYPERLINK("https://www.fabsurplus.com/sdi_catalog/salesItemDetails.do?id=109914")</f>
        <v>https://www.fabsurplus.com/sdi_catalog/salesItemDetails.do?id=109914</v>
      </c>
      <c r="B388" s="2" t="s">
        <v>963</v>
      </c>
      <c r="C388" s="2" t="s">
        <v>930</v>
      </c>
      <c r="D388" s="2" t="s">
        <v>961</v>
      </c>
      <c r="E388" s="2" t="s">
        <v>40</v>
      </c>
      <c r="F388" s="2" t="s">
        <v>16</v>
      </c>
      <c r="G388" s="2" t="s">
        <v>41</v>
      </c>
      <c r="H388" s="2"/>
      <c r="I388" s="2"/>
      <c r="J388" s="2" t="s">
        <v>42</v>
      </c>
      <c r="K388" s="2"/>
      <c r="L388" s="2" t="s">
        <v>962</v>
      </c>
    </row>
    <row r="389" customFormat="false" ht="11.9" hidden="false" customHeight="true" outlineLevel="0" collapsed="false">
      <c r="A389" s="3" t="str">
        <f aca="false">HYPERLINK("https://www.fabsurplus.com/sdi_catalog/salesItemDetails.do?id=109913")</f>
        <v>https://www.fabsurplus.com/sdi_catalog/salesItemDetails.do?id=109913</v>
      </c>
      <c r="B389" s="3" t="s">
        <v>964</v>
      </c>
      <c r="C389" s="3" t="s">
        <v>930</v>
      </c>
      <c r="D389" s="3" t="s">
        <v>961</v>
      </c>
      <c r="E389" s="3" t="s">
        <v>40</v>
      </c>
      <c r="F389" s="3" t="s">
        <v>16</v>
      </c>
      <c r="G389" s="3" t="s">
        <v>41</v>
      </c>
      <c r="H389" s="3"/>
      <c r="I389" s="3"/>
      <c r="J389" s="3" t="s">
        <v>42</v>
      </c>
      <c r="K389" s="3"/>
      <c r="L389" s="5" t="s">
        <v>965</v>
      </c>
    </row>
    <row r="390" customFormat="false" ht="11.9" hidden="false" customHeight="true" outlineLevel="0" collapsed="false">
      <c r="A390" s="2" t="str">
        <f aca="false">HYPERLINK("https://www.fabsurplus.com/sdi_catalog/salesItemDetails.do?id=109916")</f>
        <v>https://www.fabsurplus.com/sdi_catalog/salesItemDetails.do?id=109916</v>
      </c>
      <c r="B390" s="2" t="s">
        <v>966</v>
      </c>
      <c r="C390" s="2" t="s">
        <v>930</v>
      </c>
      <c r="D390" s="2" t="s">
        <v>967</v>
      </c>
      <c r="E390" s="2" t="s">
        <v>133</v>
      </c>
      <c r="F390" s="2" t="s">
        <v>16</v>
      </c>
      <c r="G390" s="2" t="s">
        <v>41</v>
      </c>
      <c r="H390" s="2"/>
      <c r="I390" s="2"/>
      <c r="J390" s="2" t="s">
        <v>42</v>
      </c>
      <c r="K390" s="2"/>
      <c r="L390" s="2" t="s">
        <v>968</v>
      </c>
    </row>
    <row r="391" customFormat="false" ht="11.9" hidden="false" customHeight="true" outlineLevel="0" collapsed="false">
      <c r="A391" s="3" t="str">
        <f aca="false">HYPERLINK("https://www.fabsurplus.com/sdi_catalog/salesItemDetails.do?id=109927")</f>
        <v>https://www.fabsurplus.com/sdi_catalog/salesItemDetails.do?id=109927</v>
      </c>
      <c r="B391" s="3" t="s">
        <v>969</v>
      </c>
      <c r="C391" s="3" t="s">
        <v>930</v>
      </c>
      <c r="D391" s="3" t="s">
        <v>970</v>
      </c>
      <c r="E391" s="3" t="s">
        <v>133</v>
      </c>
      <c r="F391" s="3" t="s">
        <v>16</v>
      </c>
      <c r="G391" s="3" t="s">
        <v>41</v>
      </c>
      <c r="H391" s="3"/>
      <c r="I391" s="3"/>
      <c r="J391" s="3" t="s">
        <v>42</v>
      </c>
      <c r="K391" s="3"/>
      <c r="L391" s="3" t="s">
        <v>971</v>
      </c>
    </row>
    <row r="392" customFormat="false" ht="11.9" hidden="false" customHeight="true" outlineLevel="0" collapsed="false">
      <c r="A392" s="2" t="str">
        <f aca="false">HYPERLINK("https://www.fabsurplus.com/sdi_catalog/salesItemDetails.do?id=109926")</f>
        <v>https://www.fabsurplus.com/sdi_catalog/salesItemDetails.do?id=109926</v>
      </c>
      <c r="B392" s="2" t="s">
        <v>972</v>
      </c>
      <c r="C392" s="2" t="s">
        <v>930</v>
      </c>
      <c r="D392" s="2" t="s">
        <v>970</v>
      </c>
      <c r="E392" s="2" t="s">
        <v>133</v>
      </c>
      <c r="F392" s="2" t="s">
        <v>16</v>
      </c>
      <c r="G392" s="2" t="s">
        <v>41</v>
      </c>
      <c r="H392" s="2"/>
      <c r="I392" s="2"/>
      <c r="J392" s="2" t="s">
        <v>42</v>
      </c>
      <c r="K392" s="2"/>
      <c r="L392" s="2" t="s">
        <v>973</v>
      </c>
    </row>
    <row r="393" customFormat="false" ht="11.9" hidden="false" customHeight="true" outlineLevel="0" collapsed="false">
      <c r="A393" s="3" t="str">
        <f aca="false">HYPERLINK("https://www.fabsurplus.com/sdi_catalog/salesItemDetails.do?id=109925")</f>
        <v>https://www.fabsurplus.com/sdi_catalog/salesItemDetails.do?id=109925</v>
      </c>
      <c r="B393" s="3" t="s">
        <v>974</v>
      </c>
      <c r="C393" s="3" t="s">
        <v>930</v>
      </c>
      <c r="D393" s="3" t="s">
        <v>970</v>
      </c>
      <c r="E393" s="3" t="s">
        <v>133</v>
      </c>
      <c r="F393" s="3" t="s">
        <v>16</v>
      </c>
      <c r="G393" s="3" t="s">
        <v>41</v>
      </c>
      <c r="H393" s="3"/>
      <c r="I393" s="3"/>
      <c r="J393" s="3" t="s">
        <v>42</v>
      </c>
      <c r="K393" s="3"/>
      <c r="L393" s="3" t="s">
        <v>975</v>
      </c>
    </row>
    <row r="394" customFormat="false" ht="11.9" hidden="false" customHeight="true" outlineLevel="0" collapsed="false">
      <c r="A394" s="2" t="str">
        <f aca="false">HYPERLINK("https://www.fabsurplus.com/sdi_catalog/salesItemDetails.do?id=109924")</f>
        <v>https://www.fabsurplus.com/sdi_catalog/salesItemDetails.do?id=109924</v>
      </c>
      <c r="B394" s="2" t="s">
        <v>976</v>
      </c>
      <c r="C394" s="2" t="s">
        <v>930</v>
      </c>
      <c r="D394" s="2" t="s">
        <v>970</v>
      </c>
      <c r="E394" s="2" t="s">
        <v>133</v>
      </c>
      <c r="F394" s="2" t="s">
        <v>16</v>
      </c>
      <c r="G394" s="2" t="s">
        <v>41</v>
      </c>
      <c r="H394" s="2"/>
      <c r="I394" s="2"/>
      <c r="J394" s="2" t="s">
        <v>42</v>
      </c>
      <c r="K394" s="2"/>
      <c r="L394" s="2" t="s">
        <v>975</v>
      </c>
    </row>
    <row r="395" customFormat="false" ht="11.9" hidden="false" customHeight="true" outlineLevel="0" collapsed="false">
      <c r="A395" s="3" t="str">
        <f aca="false">HYPERLINK("https://www.fabsurplus.com/sdi_catalog/salesItemDetails.do?id=109923")</f>
        <v>https://www.fabsurplus.com/sdi_catalog/salesItemDetails.do?id=109923</v>
      </c>
      <c r="B395" s="3" t="s">
        <v>977</v>
      </c>
      <c r="C395" s="3" t="s">
        <v>930</v>
      </c>
      <c r="D395" s="3" t="s">
        <v>970</v>
      </c>
      <c r="E395" s="3" t="s">
        <v>133</v>
      </c>
      <c r="F395" s="3" t="s">
        <v>16</v>
      </c>
      <c r="G395" s="3" t="s">
        <v>41</v>
      </c>
      <c r="H395" s="3"/>
      <c r="I395" s="3"/>
      <c r="J395" s="3" t="s">
        <v>42</v>
      </c>
      <c r="K395" s="3"/>
      <c r="L395" s="3" t="s">
        <v>975</v>
      </c>
    </row>
    <row r="396" customFormat="false" ht="11.9" hidden="false" customHeight="true" outlineLevel="0" collapsed="false">
      <c r="A396" s="2" t="str">
        <f aca="false">HYPERLINK("https://www.fabsurplus.com/sdi_catalog/salesItemDetails.do?id=109922")</f>
        <v>https://www.fabsurplus.com/sdi_catalog/salesItemDetails.do?id=109922</v>
      </c>
      <c r="B396" s="2" t="s">
        <v>978</v>
      </c>
      <c r="C396" s="2" t="s">
        <v>930</v>
      </c>
      <c r="D396" s="2" t="s">
        <v>970</v>
      </c>
      <c r="E396" s="2" t="s">
        <v>133</v>
      </c>
      <c r="F396" s="2" t="s">
        <v>16</v>
      </c>
      <c r="G396" s="2" t="s">
        <v>41</v>
      </c>
      <c r="H396" s="2"/>
      <c r="I396" s="2"/>
      <c r="J396" s="2" t="s">
        <v>42</v>
      </c>
      <c r="K396" s="2"/>
      <c r="L396" s="2" t="s">
        <v>979</v>
      </c>
    </row>
    <row r="397" customFormat="false" ht="11.9" hidden="false" customHeight="true" outlineLevel="0" collapsed="false">
      <c r="A397" s="3" t="str">
        <f aca="false">HYPERLINK("https://www.fabsurplus.com/sdi_catalog/salesItemDetails.do?id=109921")</f>
        <v>https://www.fabsurplus.com/sdi_catalog/salesItemDetails.do?id=109921</v>
      </c>
      <c r="B397" s="3" t="s">
        <v>980</v>
      </c>
      <c r="C397" s="3" t="s">
        <v>930</v>
      </c>
      <c r="D397" s="3" t="s">
        <v>970</v>
      </c>
      <c r="E397" s="3" t="s">
        <v>133</v>
      </c>
      <c r="F397" s="3" t="s">
        <v>16</v>
      </c>
      <c r="G397" s="3" t="s">
        <v>41</v>
      </c>
      <c r="H397" s="3"/>
      <c r="I397" s="3"/>
      <c r="J397" s="3" t="s">
        <v>42</v>
      </c>
      <c r="K397" s="3"/>
      <c r="L397" s="3" t="s">
        <v>979</v>
      </c>
    </row>
    <row r="398" customFormat="false" ht="11.9" hidden="false" customHeight="true" outlineLevel="0" collapsed="false">
      <c r="A398" s="2" t="str">
        <f aca="false">HYPERLINK("https://www.fabsurplus.com/sdi_catalog/salesItemDetails.do?id=109920")</f>
        <v>https://www.fabsurplus.com/sdi_catalog/salesItemDetails.do?id=109920</v>
      </c>
      <c r="B398" s="2" t="s">
        <v>981</v>
      </c>
      <c r="C398" s="2" t="s">
        <v>930</v>
      </c>
      <c r="D398" s="2" t="s">
        <v>970</v>
      </c>
      <c r="E398" s="2" t="s">
        <v>133</v>
      </c>
      <c r="F398" s="2" t="s">
        <v>16</v>
      </c>
      <c r="G398" s="2" t="s">
        <v>41</v>
      </c>
      <c r="H398" s="2"/>
      <c r="I398" s="2"/>
      <c r="J398" s="2" t="s">
        <v>42</v>
      </c>
      <c r="K398" s="2"/>
      <c r="L398" s="2" t="s">
        <v>982</v>
      </c>
    </row>
    <row r="399" customFormat="false" ht="11.9" hidden="false" customHeight="true" outlineLevel="0" collapsed="false">
      <c r="A399" s="3" t="str">
        <f aca="false">HYPERLINK("https://www.fabsurplus.com/sdi_catalog/salesItemDetails.do?id=109919")</f>
        <v>https://www.fabsurplus.com/sdi_catalog/salesItemDetails.do?id=109919</v>
      </c>
      <c r="B399" s="3" t="s">
        <v>983</v>
      </c>
      <c r="C399" s="3" t="s">
        <v>930</v>
      </c>
      <c r="D399" s="3" t="s">
        <v>970</v>
      </c>
      <c r="E399" s="3" t="s">
        <v>133</v>
      </c>
      <c r="F399" s="3" t="s">
        <v>16</v>
      </c>
      <c r="G399" s="3" t="s">
        <v>41</v>
      </c>
      <c r="H399" s="3"/>
      <c r="I399" s="3"/>
      <c r="J399" s="3" t="s">
        <v>42</v>
      </c>
      <c r="K399" s="3"/>
      <c r="L399" s="3" t="s">
        <v>982</v>
      </c>
    </row>
    <row r="400" customFormat="false" ht="11.9" hidden="false" customHeight="true" outlineLevel="0" collapsed="false">
      <c r="A400" s="2" t="str">
        <f aca="false">HYPERLINK("https://www.fabsurplus.com/sdi_catalog/salesItemDetails.do?id=109918")</f>
        <v>https://www.fabsurplus.com/sdi_catalog/salesItemDetails.do?id=109918</v>
      </c>
      <c r="B400" s="2" t="s">
        <v>984</v>
      </c>
      <c r="C400" s="2" t="s">
        <v>930</v>
      </c>
      <c r="D400" s="2" t="s">
        <v>970</v>
      </c>
      <c r="E400" s="2" t="s">
        <v>133</v>
      </c>
      <c r="F400" s="2" t="s">
        <v>16</v>
      </c>
      <c r="G400" s="2" t="s">
        <v>41</v>
      </c>
      <c r="H400" s="2"/>
      <c r="I400" s="2"/>
      <c r="J400" s="2" t="s">
        <v>42</v>
      </c>
      <c r="K400" s="2"/>
      <c r="L400" s="2" t="s">
        <v>985</v>
      </c>
    </row>
    <row r="401" customFormat="false" ht="11.9" hidden="false" customHeight="true" outlineLevel="0" collapsed="false">
      <c r="A401" s="3" t="str">
        <f aca="false">HYPERLINK("https://www.fabsurplus.com/sdi_catalog/salesItemDetails.do?id=109917")</f>
        <v>https://www.fabsurplus.com/sdi_catalog/salesItemDetails.do?id=109917</v>
      </c>
      <c r="B401" s="3" t="s">
        <v>986</v>
      </c>
      <c r="C401" s="3" t="s">
        <v>930</v>
      </c>
      <c r="D401" s="3" t="s">
        <v>970</v>
      </c>
      <c r="E401" s="3" t="s">
        <v>133</v>
      </c>
      <c r="F401" s="3" t="s">
        <v>16</v>
      </c>
      <c r="G401" s="3" t="s">
        <v>41</v>
      </c>
      <c r="H401" s="3"/>
      <c r="I401" s="3"/>
      <c r="J401" s="3" t="s">
        <v>42</v>
      </c>
      <c r="K401" s="3"/>
      <c r="L401" s="3" t="s">
        <v>349</v>
      </c>
    </row>
    <row r="402" customFormat="false" ht="11.9" hidden="false" customHeight="true" outlineLevel="0" collapsed="false">
      <c r="A402" s="2" t="str">
        <f aca="false">HYPERLINK("https://www.fabsurplus.com/sdi_catalog/salesItemDetails.do?id=109930")</f>
        <v>https://www.fabsurplus.com/sdi_catalog/salesItemDetails.do?id=109930</v>
      </c>
      <c r="B402" s="2" t="s">
        <v>987</v>
      </c>
      <c r="C402" s="2" t="s">
        <v>930</v>
      </c>
      <c r="D402" s="2" t="s">
        <v>988</v>
      </c>
      <c r="E402" s="2" t="s">
        <v>40</v>
      </c>
      <c r="F402" s="2" t="s">
        <v>16</v>
      </c>
      <c r="G402" s="2" t="s">
        <v>41</v>
      </c>
      <c r="H402" s="2"/>
      <c r="I402" s="2"/>
      <c r="J402" s="2" t="s">
        <v>42</v>
      </c>
      <c r="K402" s="2"/>
      <c r="L402" s="2" t="s">
        <v>989</v>
      </c>
    </row>
    <row r="403" customFormat="false" ht="11.9" hidden="false" customHeight="true" outlineLevel="0" collapsed="false">
      <c r="A403" s="3" t="str">
        <f aca="false">HYPERLINK("https://www.fabsurplus.com/sdi_catalog/salesItemDetails.do?id=109929")</f>
        <v>https://www.fabsurplus.com/sdi_catalog/salesItemDetails.do?id=109929</v>
      </c>
      <c r="B403" s="3" t="s">
        <v>990</v>
      </c>
      <c r="C403" s="3" t="s">
        <v>930</v>
      </c>
      <c r="D403" s="3" t="s">
        <v>988</v>
      </c>
      <c r="E403" s="3" t="s">
        <v>40</v>
      </c>
      <c r="F403" s="3" t="s">
        <v>16</v>
      </c>
      <c r="G403" s="3" t="s">
        <v>41</v>
      </c>
      <c r="H403" s="3"/>
      <c r="I403" s="3"/>
      <c r="J403" s="3" t="s">
        <v>42</v>
      </c>
      <c r="K403" s="3"/>
      <c r="L403" s="3" t="s">
        <v>989</v>
      </c>
    </row>
    <row r="404" customFormat="false" ht="11.9" hidden="false" customHeight="true" outlineLevel="0" collapsed="false">
      <c r="A404" s="2" t="str">
        <f aca="false">HYPERLINK("https://www.fabsurplus.com/sdi_catalog/salesItemDetails.do?id=109928")</f>
        <v>https://www.fabsurplus.com/sdi_catalog/salesItemDetails.do?id=109928</v>
      </c>
      <c r="B404" s="2" t="s">
        <v>991</v>
      </c>
      <c r="C404" s="2" t="s">
        <v>930</v>
      </c>
      <c r="D404" s="2" t="s">
        <v>988</v>
      </c>
      <c r="E404" s="2" t="s">
        <v>40</v>
      </c>
      <c r="F404" s="2" t="s">
        <v>16</v>
      </c>
      <c r="G404" s="2" t="s">
        <v>41</v>
      </c>
      <c r="H404" s="2"/>
      <c r="I404" s="2"/>
      <c r="J404" s="2" t="s">
        <v>42</v>
      </c>
      <c r="K404" s="2"/>
      <c r="L404" s="2" t="s">
        <v>349</v>
      </c>
    </row>
    <row r="405" customFormat="false" ht="11.9" hidden="false" customHeight="true" outlineLevel="0" collapsed="false">
      <c r="A405" s="3" t="str">
        <f aca="false">HYPERLINK("https://www.fabsurplus.com/sdi_catalog/salesItemDetails.do?id=109933")</f>
        <v>https://www.fabsurplus.com/sdi_catalog/salesItemDetails.do?id=109933</v>
      </c>
      <c r="B405" s="3" t="s">
        <v>992</v>
      </c>
      <c r="C405" s="3" t="s">
        <v>930</v>
      </c>
      <c r="D405" s="3" t="s">
        <v>993</v>
      </c>
      <c r="E405" s="3" t="s">
        <v>40</v>
      </c>
      <c r="F405" s="3" t="s">
        <v>16</v>
      </c>
      <c r="G405" s="3" t="s">
        <v>41</v>
      </c>
      <c r="H405" s="3"/>
      <c r="I405" s="3"/>
      <c r="J405" s="3" t="s">
        <v>42</v>
      </c>
      <c r="K405" s="3"/>
      <c r="L405" s="3" t="s">
        <v>994</v>
      </c>
    </row>
    <row r="406" customFormat="false" ht="11.9" hidden="false" customHeight="true" outlineLevel="0" collapsed="false">
      <c r="A406" s="3" t="str">
        <f aca="false">HYPERLINK("https://www.fabsurplus.com/sdi_catalog/salesItemDetails.do?id=109931")</f>
        <v>https://www.fabsurplus.com/sdi_catalog/salesItemDetails.do?id=109931</v>
      </c>
      <c r="B406" s="3" t="s">
        <v>995</v>
      </c>
      <c r="C406" s="3" t="s">
        <v>930</v>
      </c>
      <c r="D406" s="3" t="s">
        <v>993</v>
      </c>
      <c r="E406" s="3" t="s">
        <v>40</v>
      </c>
      <c r="F406" s="3" t="s">
        <v>16</v>
      </c>
      <c r="G406" s="3" t="s">
        <v>41</v>
      </c>
      <c r="H406" s="3"/>
      <c r="I406" s="3"/>
      <c r="J406" s="3" t="s">
        <v>42</v>
      </c>
      <c r="K406" s="3"/>
      <c r="L406" s="3" t="s">
        <v>996</v>
      </c>
    </row>
    <row r="407" customFormat="false" ht="11.9" hidden="false" customHeight="true" outlineLevel="0" collapsed="false">
      <c r="A407" s="2" t="str">
        <f aca="false">HYPERLINK("https://www.fabsurplus.com/sdi_catalog/salesItemDetails.do?id=109932")</f>
        <v>https://www.fabsurplus.com/sdi_catalog/salesItemDetails.do?id=109932</v>
      </c>
      <c r="B407" s="2" t="s">
        <v>997</v>
      </c>
      <c r="C407" s="2" t="s">
        <v>930</v>
      </c>
      <c r="D407" s="2" t="s">
        <v>998</v>
      </c>
      <c r="E407" s="2" t="s">
        <v>40</v>
      </c>
      <c r="F407" s="2" t="s">
        <v>16</v>
      </c>
      <c r="G407" s="2" t="s">
        <v>41</v>
      </c>
      <c r="H407" s="2"/>
      <c r="I407" s="2"/>
      <c r="J407" s="2" t="s">
        <v>42</v>
      </c>
      <c r="K407" s="2"/>
      <c r="L407" s="2" t="s">
        <v>999</v>
      </c>
    </row>
    <row r="408" customFormat="false" ht="11.9" hidden="false" customHeight="true" outlineLevel="0" collapsed="false">
      <c r="A408" s="2" t="str">
        <f aca="false">HYPERLINK("https://www.fabsurplus.com/sdi_catalog/salesItemDetails.do?id=109934")</f>
        <v>https://www.fabsurplus.com/sdi_catalog/salesItemDetails.do?id=109934</v>
      </c>
      <c r="B408" s="2" t="s">
        <v>1000</v>
      </c>
      <c r="C408" s="2" t="s">
        <v>930</v>
      </c>
      <c r="D408" s="2" t="s">
        <v>1001</v>
      </c>
      <c r="E408" s="2" t="s">
        <v>133</v>
      </c>
      <c r="F408" s="2" t="s">
        <v>16</v>
      </c>
      <c r="G408" s="2" t="s">
        <v>41</v>
      </c>
      <c r="H408" s="2"/>
      <c r="I408" s="2"/>
      <c r="J408" s="2" t="s">
        <v>42</v>
      </c>
      <c r="K408" s="2"/>
      <c r="L408" s="2" t="s">
        <v>1002</v>
      </c>
    </row>
    <row r="409" customFormat="false" ht="11.9" hidden="false" customHeight="true" outlineLevel="0" collapsed="false">
      <c r="A409" s="3" t="str">
        <f aca="false">HYPERLINK("https://www.fabsurplus.com/sdi_catalog/salesItemDetails.do?id=109939")</f>
        <v>https://www.fabsurplus.com/sdi_catalog/salesItemDetails.do?id=109939</v>
      </c>
      <c r="B409" s="3" t="s">
        <v>1003</v>
      </c>
      <c r="C409" s="3" t="s">
        <v>930</v>
      </c>
      <c r="D409" s="3" t="s">
        <v>1004</v>
      </c>
      <c r="E409" s="3" t="s">
        <v>40</v>
      </c>
      <c r="F409" s="3" t="s">
        <v>16</v>
      </c>
      <c r="G409" s="3" t="s">
        <v>41</v>
      </c>
      <c r="H409" s="3"/>
      <c r="I409" s="3"/>
      <c r="J409" s="3" t="s">
        <v>42</v>
      </c>
      <c r="K409" s="3"/>
      <c r="L409" s="3" t="s">
        <v>1005</v>
      </c>
    </row>
    <row r="410" customFormat="false" ht="11.9" hidden="false" customHeight="true" outlineLevel="0" collapsed="false">
      <c r="A410" s="2" t="str">
        <f aca="false">HYPERLINK("https://www.fabsurplus.com/sdi_catalog/salesItemDetails.do?id=109938")</f>
        <v>https://www.fabsurplus.com/sdi_catalog/salesItemDetails.do?id=109938</v>
      </c>
      <c r="B410" s="2" t="s">
        <v>1006</v>
      </c>
      <c r="C410" s="2" t="s">
        <v>930</v>
      </c>
      <c r="D410" s="2" t="s">
        <v>1004</v>
      </c>
      <c r="E410" s="2" t="s">
        <v>40</v>
      </c>
      <c r="F410" s="2" t="s">
        <v>16</v>
      </c>
      <c r="G410" s="2" t="s">
        <v>41</v>
      </c>
      <c r="H410" s="2"/>
      <c r="I410" s="2"/>
      <c r="J410" s="2" t="s">
        <v>42</v>
      </c>
      <c r="K410" s="2"/>
      <c r="L410" s="2" t="s">
        <v>1005</v>
      </c>
    </row>
    <row r="411" customFormat="false" ht="11.9" hidden="false" customHeight="true" outlineLevel="0" collapsed="false">
      <c r="A411" s="3" t="str">
        <f aca="false">HYPERLINK("https://www.fabsurplus.com/sdi_catalog/salesItemDetails.do?id=109937")</f>
        <v>https://www.fabsurplus.com/sdi_catalog/salesItemDetails.do?id=109937</v>
      </c>
      <c r="B411" s="3" t="s">
        <v>1007</v>
      </c>
      <c r="C411" s="3" t="s">
        <v>930</v>
      </c>
      <c r="D411" s="3" t="s">
        <v>1004</v>
      </c>
      <c r="E411" s="3" t="s">
        <v>40</v>
      </c>
      <c r="F411" s="3" t="s">
        <v>16</v>
      </c>
      <c r="G411" s="3" t="s">
        <v>41</v>
      </c>
      <c r="H411" s="3"/>
      <c r="I411" s="3"/>
      <c r="J411" s="3" t="s">
        <v>42</v>
      </c>
      <c r="K411" s="3"/>
      <c r="L411" s="3" t="s">
        <v>1005</v>
      </c>
    </row>
    <row r="412" customFormat="false" ht="11.9" hidden="false" customHeight="true" outlineLevel="0" collapsed="false">
      <c r="A412" s="2" t="str">
        <f aca="false">HYPERLINK("https://www.fabsurplus.com/sdi_catalog/salesItemDetails.do?id=109936")</f>
        <v>https://www.fabsurplus.com/sdi_catalog/salesItemDetails.do?id=109936</v>
      </c>
      <c r="B412" s="2" t="s">
        <v>1008</v>
      </c>
      <c r="C412" s="2" t="s">
        <v>930</v>
      </c>
      <c r="D412" s="2" t="s">
        <v>1004</v>
      </c>
      <c r="E412" s="2" t="s">
        <v>40</v>
      </c>
      <c r="F412" s="2" t="s">
        <v>16</v>
      </c>
      <c r="G412" s="2" t="s">
        <v>41</v>
      </c>
      <c r="H412" s="2"/>
      <c r="I412" s="2"/>
      <c r="J412" s="2" t="s">
        <v>42</v>
      </c>
      <c r="K412" s="2"/>
      <c r="L412" s="2" t="s">
        <v>1005</v>
      </c>
    </row>
    <row r="413" customFormat="false" ht="11.9" hidden="false" customHeight="true" outlineLevel="0" collapsed="false">
      <c r="A413" s="3" t="str">
        <f aca="false">HYPERLINK("https://www.fabsurplus.com/sdi_catalog/salesItemDetails.do?id=109935")</f>
        <v>https://www.fabsurplus.com/sdi_catalog/salesItemDetails.do?id=109935</v>
      </c>
      <c r="B413" s="3" t="s">
        <v>1009</v>
      </c>
      <c r="C413" s="3" t="s">
        <v>930</v>
      </c>
      <c r="D413" s="3" t="s">
        <v>1004</v>
      </c>
      <c r="E413" s="3" t="s">
        <v>40</v>
      </c>
      <c r="F413" s="3" t="s">
        <v>16</v>
      </c>
      <c r="G413" s="3" t="s">
        <v>41</v>
      </c>
      <c r="H413" s="3"/>
      <c r="I413" s="3"/>
      <c r="J413" s="3" t="s">
        <v>42</v>
      </c>
      <c r="K413" s="3"/>
      <c r="L413" s="3" t="s">
        <v>1005</v>
      </c>
    </row>
    <row r="414" customFormat="false" ht="11.9" hidden="false" customHeight="true" outlineLevel="0" collapsed="false">
      <c r="A414" s="2" t="str">
        <f aca="false">HYPERLINK("https://www.fabsurplus.com/sdi_catalog/salesItemDetails.do?id=109940")</f>
        <v>https://www.fabsurplus.com/sdi_catalog/salesItemDetails.do?id=109940</v>
      </c>
      <c r="B414" s="2" t="s">
        <v>1010</v>
      </c>
      <c r="C414" s="2" t="s">
        <v>930</v>
      </c>
      <c r="D414" s="2" t="s">
        <v>1011</v>
      </c>
      <c r="E414" s="2" t="s">
        <v>133</v>
      </c>
      <c r="F414" s="2" t="s">
        <v>16</v>
      </c>
      <c r="G414" s="2" t="s">
        <v>41</v>
      </c>
      <c r="H414" s="2"/>
      <c r="I414" s="2"/>
      <c r="J414" s="2" t="s">
        <v>42</v>
      </c>
      <c r="K414" s="2"/>
      <c r="L414" s="2" t="s">
        <v>1012</v>
      </c>
    </row>
    <row r="415" customFormat="false" ht="11.9" hidden="false" customHeight="true" outlineLevel="0" collapsed="false">
      <c r="A415" s="3" t="str">
        <f aca="false">HYPERLINK("https://www.fabsurplus.com/sdi_catalog/salesItemDetails.do?id=109941")</f>
        <v>https://www.fabsurplus.com/sdi_catalog/salesItemDetails.do?id=109941</v>
      </c>
      <c r="B415" s="3" t="s">
        <v>1013</v>
      </c>
      <c r="C415" s="3" t="s">
        <v>930</v>
      </c>
      <c r="D415" s="3" t="s">
        <v>1014</v>
      </c>
      <c r="E415" s="3" t="s">
        <v>133</v>
      </c>
      <c r="F415" s="3" t="s">
        <v>16</v>
      </c>
      <c r="G415" s="3" t="s">
        <v>41</v>
      </c>
      <c r="H415" s="3"/>
      <c r="I415" s="3"/>
      <c r="J415" s="3" t="s">
        <v>42</v>
      </c>
      <c r="K415" s="3"/>
      <c r="L415" s="3" t="s">
        <v>1015</v>
      </c>
    </row>
    <row r="416" customFormat="false" ht="11.9" hidden="false" customHeight="true" outlineLevel="0" collapsed="false">
      <c r="A416" s="3" t="str">
        <f aca="false">HYPERLINK("https://www.fabsurplus.com/sdi_catalog/salesItemDetails.do?id=77153")</f>
        <v>https://www.fabsurplus.com/sdi_catalog/salesItemDetails.do?id=77153</v>
      </c>
      <c r="B416" s="3" t="s">
        <v>1016</v>
      </c>
      <c r="C416" s="3" t="s">
        <v>1017</v>
      </c>
      <c r="D416" s="3" t="s">
        <v>1018</v>
      </c>
      <c r="E416" s="3" t="s">
        <v>1019</v>
      </c>
      <c r="F416" s="3" t="s">
        <v>16</v>
      </c>
      <c r="G416" s="3" t="s">
        <v>1020</v>
      </c>
      <c r="H416" s="3" t="s">
        <v>944</v>
      </c>
      <c r="I416" s="3"/>
      <c r="J416" s="3" t="s">
        <v>19</v>
      </c>
      <c r="K416" s="3" t="s">
        <v>20</v>
      </c>
      <c r="L416" s="5" t="s">
        <v>1021</v>
      </c>
    </row>
    <row r="417" customFormat="false" ht="11.9" hidden="false" customHeight="true" outlineLevel="0" collapsed="false">
      <c r="A417" s="2" t="str">
        <f aca="false">HYPERLINK("https://www.fabsurplus.com/sdi_catalog/salesItemDetails.do?id=77090")</f>
        <v>https://www.fabsurplus.com/sdi_catalog/salesItemDetails.do?id=77090</v>
      </c>
      <c r="B417" s="2" t="s">
        <v>1022</v>
      </c>
      <c r="C417" s="2" t="s">
        <v>1017</v>
      </c>
      <c r="D417" s="2" t="s">
        <v>1023</v>
      </c>
      <c r="E417" s="2" t="s">
        <v>1024</v>
      </c>
      <c r="F417" s="2" t="s">
        <v>16</v>
      </c>
      <c r="G417" s="2"/>
      <c r="H417" s="2"/>
      <c r="I417" s="2"/>
      <c r="J417" s="2" t="s">
        <v>19</v>
      </c>
      <c r="K417" s="2"/>
      <c r="L417" s="2"/>
    </row>
    <row r="418" customFormat="false" ht="11.9" hidden="false" customHeight="true" outlineLevel="0" collapsed="false">
      <c r="A418" s="2" t="str">
        <f aca="false">HYPERLINK("https://www.fabsurplus.com/sdi_catalog/salesItemDetails.do?id=77188")</f>
        <v>https://www.fabsurplus.com/sdi_catalog/salesItemDetails.do?id=77188</v>
      </c>
      <c r="B418" s="2" t="s">
        <v>1025</v>
      </c>
      <c r="C418" s="2" t="s">
        <v>1026</v>
      </c>
      <c r="D418" s="2" t="s">
        <v>1027</v>
      </c>
      <c r="E418" s="2" t="s">
        <v>1028</v>
      </c>
      <c r="F418" s="2" t="s">
        <v>16</v>
      </c>
      <c r="G418" s="2" t="s">
        <v>1029</v>
      </c>
      <c r="H418" s="2" t="s">
        <v>35</v>
      </c>
      <c r="I418" s="2"/>
      <c r="J418" s="2" t="s">
        <v>19</v>
      </c>
      <c r="K418" s="2" t="s">
        <v>20</v>
      </c>
      <c r="L418" s="6" t="s">
        <v>1030</v>
      </c>
    </row>
    <row r="419" customFormat="false" ht="11.9" hidden="false" customHeight="true" outlineLevel="0" collapsed="false">
      <c r="A419" s="3" t="str">
        <f aca="false">HYPERLINK("https://www.fabsurplus.com/sdi_catalog/salesItemDetails.do?id=77162")</f>
        <v>https://www.fabsurplus.com/sdi_catalog/salesItemDetails.do?id=77162</v>
      </c>
      <c r="B419" s="3" t="s">
        <v>1031</v>
      </c>
      <c r="C419" s="3" t="s">
        <v>1032</v>
      </c>
      <c r="D419" s="3" t="s">
        <v>1033</v>
      </c>
      <c r="E419" s="3" t="s">
        <v>1034</v>
      </c>
      <c r="F419" s="3" t="s">
        <v>16</v>
      </c>
      <c r="G419" s="3" t="s">
        <v>26</v>
      </c>
      <c r="H419" s="3" t="s">
        <v>944</v>
      </c>
      <c r="I419" s="3"/>
      <c r="J419" s="3" t="s">
        <v>19</v>
      </c>
      <c r="K419" s="3" t="s">
        <v>20</v>
      </c>
      <c r="L419" s="5" t="s">
        <v>1035</v>
      </c>
    </row>
    <row r="420" customFormat="false" ht="11.9" hidden="false" customHeight="true" outlineLevel="0" collapsed="false">
      <c r="A420" s="2" t="str">
        <f aca="false">HYPERLINK("https://www.fabsurplus.com/sdi_catalog/salesItemDetails.do?id=84241")</f>
        <v>https://www.fabsurplus.com/sdi_catalog/salesItemDetails.do?id=84241</v>
      </c>
      <c r="B420" s="2" t="s">
        <v>1036</v>
      </c>
      <c r="C420" s="2" t="s">
        <v>1032</v>
      </c>
      <c r="D420" s="2" t="s">
        <v>1037</v>
      </c>
      <c r="E420" s="2" t="s">
        <v>1038</v>
      </c>
      <c r="F420" s="2" t="s">
        <v>16</v>
      </c>
      <c r="G420" s="2" t="s">
        <v>26</v>
      </c>
      <c r="H420" s="2" t="s">
        <v>35</v>
      </c>
      <c r="I420" s="2"/>
      <c r="J420" s="2" t="s">
        <v>19</v>
      </c>
      <c r="K420" s="2" t="s">
        <v>20</v>
      </c>
      <c r="L420" s="6" t="s">
        <v>1039</v>
      </c>
    </row>
    <row r="421" customFormat="false" ht="11.9" hidden="false" customHeight="true" outlineLevel="0" collapsed="false">
      <c r="A421" s="3" t="str">
        <f aca="false">HYPERLINK("https://www.fabsurplus.com/sdi_catalog/salesItemDetails.do?id=84221")</f>
        <v>https://www.fabsurplus.com/sdi_catalog/salesItemDetails.do?id=84221</v>
      </c>
      <c r="B421" s="3" t="s">
        <v>1040</v>
      </c>
      <c r="C421" s="3" t="s">
        <v>1041</v>
      </c>
      <c r="D421" s="3" t="s">
        <v>1042</v>
      </c>
      <c r="E421" s="3" t="s">
        <v>1043</v>
      </c>
      <c r="F421" s="3" t="s">
        <v>16</v>
      </c>
      <c r="G421" s="3" t="s">
        <v>26</v>
      </c>
      <c r="H421" s="3" t="s">
        <v>27</v>
      </c>
      <c r="I421" s="3"/>
      <c r="J421" s="3" t="s">
        <v>19</v>
      </c>
      <c r="K421" s="3" t="s">
        <v>20</v>
      </c>
      <c r="L421" s="5" t="s">
        <v>1044</v>
      </c>
    </row>
    <row r="422" customFormat="false" ht="11.9" hidden="false" customHeight="true" outlineLevel="0" collapsed="false">
      <c r="A422" s="3" t="str">
        <f aca="false">HYPERLINK("https://www.fabsurplus.com/sdi_catalog/salesItemDetails.do?id=115380")</f>
        <v>https://www.fabsurplus.com/sdi_catalog/salesItemDetails.do?id=115380</v>
      </c>
      <c r="B422" s="3" t="s">
        <v>1045</v>
      </c>
      <c r="C422" s="3" t="s">
        <v>1046</v>
      </c>
      <c r="D422" s="3" t="s">
        <v>1047</v>
      </c>
      <c r="E422" s="3" t="s">
        <v>1048</v>
      </c>
      <c r="F422" s="3" t="s">
        <v>16</v>
      </c>
      <c r="G422" s="3" t="s">
        <v>26</v>
      </c>
      <c r="H422" s="3"/>
      <c r="I422" s="3"/>
      <c r="J422" s="3" t="s">
        <v>19</v>
      </c>
      <c r="K422" s="3"/>
      <c r="L422" s="3" t="s">
        <v>63</v>
      </c>
    </row>
    <row r="423" customFormat="false" ht="11.9" hidden="false" customHeight="true" outlineLevel="0" collapsed="false">
      <c r="A423" s="2" t="str">
        <f aca="false">HYPERLINK("https://www.fabsurplus.com/sdi_catalog/salesItemDetails.do?id=115192")</f>
        <v>https://www.fabsurplus.com/sdi_catalog/salesItemDetails.do?id=115192</v>
      </c>
      <c r="B423" s="2" t="s">
        <v>1049</v>
      </c>
      <c r="C423" s="2" t="s">
        <v>1050</v>
      </c>
      <c r="D423" s="2" t="s">
        <v>1051</v>
      </c>
      <c r="E423" s="2" t="s">
        <v>1052</v>
      </c>
      <c r="F423" s="2" t="s">
        <v>16</v>
      </c>
      <c r="G423" s="2" t="s">
        <v>26</v>
      </c>
      <c r="H423" s="2"/>
      <c r="I423" s="2"/>
      <c r="J423" s="2" t="s">
        <v>19</v>
      </c>
      <c r="K423" s="2"/>
      <c r="L423" s="2" t="s">
        <v>63</v>
      </c>
    </row>
    <row r="424" customFormat="false" ht="11.9" hidden="false" customHeight="true" outlineLevel="0" collapsed="false">
      <c r="A424" s="3" t="str">
        <f aca="false">HYPERLINK("https://www.fabsurplus.com/sdi_catalog/salesItemDetails.do?id=114969")</f>
        <v>https://www.fabsurplus.com/sdi_catalog/salesItemDetails.do?id=114969</v>
      </c>
      <c r="B424" s="3" t="s">
        <v>1053</v>
      </c>
      <c r="C424" s="3" t="s">
        <v>1050</v>
      </c>
      <c r="D424" s="3" t="s">
        <v>1054</v>
      </c>
      <c r="E424" s="3" t="s">
        <v>1055</v>
      </c>
      <c r="F424" s="3" t="s">
        <v>16</v>
      </c>
      <c r="G424" s="3" t="s">
        <v>26</v>
      </c>
      <c r="H424" s="3"/>
      <c r="I424" s="3"/>
      <c r="J424" s="3" t="s">
        <v>19</v>
      </c>
      <c r="K424" s="3"/>
      <c r="L424" s="3" t="s">
        <v>63</v>
      </c>
    </row>
    <row r="425" customFormat="false" ht="11.9" hidden="false" customHeight="true" outlineLevel="0" collapsed="false">
      <c r="A425" s="3" t="str">
        <f aca="false">HYPERLINK("https://www.fabsurplus.com/sdi_catalog/salesItemDetails.do?id=114794")</f>
        <v>https://www.fabsurplus.com/sdi_catalog/salesItemDetails.do?id=114794</v>
      </c>
      <c r="B425" s="3" t="s">
        <v>1056</v>
      </c>
      <c r="C425" s="3" t="s">
        <v>1050</v>
      </c>
      <c r="D425" s="3" t="s">
        <v>1057</v>
      </c>
      <c r="E425" s="3" t="s">
        <v>1058</v>
      </c>
      <c r="F425" s="3" t="s">
        <v>16</v>
      </c>
      <c r="G425" s="3" t="s">
        <v>26</v>
      </c>
      <c r="H425" s="3"/>
      <c r="I425" s="3"/>
      <c r="J425" s="3" t="s">
        <v>19</v>
      </c>
      <c r="K425" s="3"/>
      <c r="L425" s="3" t="s">
        <v>63</v>
      </c>
    </row>
    <row r="426" customFormat="false" ht="11.9" hidden="false" customHeight="true" outlineLevel="0" collapsed="false">
      <c r="A426" s="3" t="str">
        <f aca="false">HYPERLINK("https://www.fabsurplus.com/sdi_catalog/salesItemDetails.do?id=101768")</f>
        <v>https://www.fabsurplus.com/sdi_catalog/salesItemDetails.do?id=101768</v>
      </c>
      <c r="B426" s="3" t="s">
        <v>1059</v>
      </c>
      <c r="C426" s="3" t="s">
        <v>1050</v>
      </c>
      <c r="D426" s="3" t="s">
        <v>1060</v>
      </c>
      <c r="E426" s="3" t="s">
        <v>1061</v>
      </c>
      <c r="F426" s="3" t="s">
        <v>16</v>
      </c>
      <c r="G426" s="3" t="s">
        <v>1062</v>
      </c>
      <c r="H426" s="3" t="s">
        <v>27</v>
      </c>
      <c r="I426" s="4" t="n">
        <v>32386.9166666667</v>
      </c>
      <c r="J426" s="3" t="s">
        <v>19</v>
      </c>
      <c r="K426" s="3" t="s">
        <v>20</v>
      </c>
      <c r="L426" s="5" t="s">
        <v>1063</v>
      </c>
    </row>
    <row r="427" customFormat="false" ht="11.9" hidden="false" customHeight="true" outlineLevel="0" collapsed="false">
      <c r="A427" s="3" t="str">
        <f aca="false">HYPERLINK("https://www.fabsurplus.com/sdi_catalog/salesItemDetails.do?id=114715")</f>
        <v>https://www.fabsurplus.com/sdi_catalog/salesItemDetails.do?id=114715</v>
      </c>
      <c r="B427" s="3" t="s">
        <v>1064</v>
      </c>
      <c r="C427" s="3" t="s">
        <v>1050</v>
      </c>
      <c r="D427" s="3" t="s">
        <v>1065</v>
      </c>
      <c r="E427" s="3" t="s">
        <v>1066</v>
      </c>
      <c r="F427" s="3" t="s">
        <v>77</v>
      </c>
      <c r="G427" s="3" t="s">
        <v>26</v>
      </c>
      <c r="H427" s="3"/>
      <c r="I427" s="3"/>
      <c r="J427" s="3" t="s">
        <v>19</v>
      </c>
      <c r="K427" s="3"/>
      <c r="L427" s="3" t="s">
        <v>63</v>
      </c>
    </row>
    <row r="428" customFormat="false" ht="11.9" hidden="false" customHeight="true" outlineLevel="0" collapsed="false">
      <c r="A428" s="3" t="str">
        <f aca="false">HYPERLINK("https://www.fabsurplus.com/sdi_catalog/salesItemDetails.do?id=114873")</f>
        <v>https://www.fabsurplus.com/sdi_catalog/salesItemDetails.do?id=114873</v>
      </c>
      <c r="B428" s="3" t="s">
        <v>1067</v>
      </c>
      <c r="C428" s="3" t="s">
        <v>1050</v>
      </c>
      <c r="D428" s="3" t="s">
        <v>1065</v>
      </c>
      <c r="E428" s="3" t="s">
        <v>1068</v>
      </c>
      <c r="F428" s="3" t="s">
        <v>101</v>
      </c>
      <c r="G428" s="3" t="s">
        <v>26</v>
      </c>
      <c r="H428" s="3"/>
      <c r="I428" s="3"/>
      <c r="J428" s="3" t="s">
        <v>19</v>
      </c>
      <c r="K428" s="3"/>
      <c r="L428" s="3" t="s">
        <v>63</v>
      </c>
    </row>
    <row r="429" customFormat="false" ht="11.9" hidden="false" customHeight="true" outlineLevel="0" collapsed="false">
      <c r="A429" s="2" t="str">
        <f aca="false">HYPERLINK("https://www.fabsurplus.com/sdi_catalog/salesItemDetails.do?id=114874")</f>
        <v>https://www.fabsurplus.com/sdi_catalog/salesItemDetails.do?id=114874</v>
      </c>
      <c r="B429" s="2" t="s">
        <v>1069</v>
      </c>
      <c r="C429" s="2" t="s">
        <v>1050</v>
      </c>
      <c r="D429" s="2" t="s">
        <v>1065</v>
      </c>
      <c r="E429" s="2" t="s">
        <v>1070</v>
      </c>
      <c r="F429" s="2" t="s">
        <v>16</v>
      </c>
      <c r="G429" s="2" t="s">
        <v>26</v>
      </c>
      <c r="H429" s="2"/>
      <c r="I429" s="2"/>
      <c r="J429" s="2" t="s">
        <v>19</v>
      </c>
      <c r="K429" s="2"/>
      <c r="L429" s="2" t="s">
        <v>63</v>
      </c>
    </row>
    <row r="430" customFormat="false" ht="11.9" hidden="false" customHeight="true" outlineLevel="0" collapsed="false">
      <c r="A430" s="3" t="str">
        <f aca="false">HYPERLINK("https://www.fabsurplus.com/sdi_catalog/salesItemDetails.do?id=114875")</f>
        <v>https://www.fabsurplus.com/sdi_catalog/salesItemDetails.do?id=114875</v>
      </c>
      <c r="B430" s="3" t="s">
        <v>1071</v>
      </c>
      <c r="C430" s="3" t="s">
        <v>1050</v>
      </c>
      <c r="D430" s="3" t="s">
        <v>1065</v>
      </c>
      <c r="E430" s="3" t="s">
        <v>1072</v>
      </c>
      <c r="F430" s="3" t="s">
        <v>16</v>
      </c>
      <c r="G430" s="3" t="s">
        <v>26</v>
      </c>
      <c r="H430" s="3"/>
      <c r="I430" s="3"/>
      <c r="J430" s="3" t="s">
        <v>19</v>
      </c>
      <c r="K430" s="3"/>
      <c r="L430" s="3" t="s">
        <v>63</v>
      </c>
    </row>
    <row r="431" customFormat="false" ht="11.9" hidden="false" customHeight="true" outlineLevel="0" collapsed="false">
      <c r="A431" s="2" t="str">
        <f aca="false">HYPERLINK("https://www.fabsurplus.com/sdi_catalog/salesItemDetails.do?id=114876")</f>
        <v>https://www.fabsurplus.com/sdi_catalog/salesItemDetails.do?id=114876</v>
      </c>
      <c r="B431" s="2" t="s">
        <v>1073</v>
      </c>
      <c r="C431" s="2" t="s">
        <v>1050</v>
      </c>
      <c r="D431" s="2" t="s">
        <v>1065</v>
      </c>
      <c r="E431" s="2" t="s">
        <v>1074</v>
      </c>
      <c r="F431" s="2" t="s">
        <v>16</v>
      </c>
      <c r="G431" s="2" t="s">
        <v>26</v>
      </c>
      <c r="H431" s="2"/>
      <c r="I431" s="2"/>
      <c r="J431" s="2" t="s">
        <v>19</v>
      </c>
      <c r="K431" s="2"/>
      <c r="L431" s="2" t="s">
        <v>63</v>
      </c>
    </row>
    <row r="432" customFormat="false" ht="11.9" hidden="false" customHeight="true" outlineLevel="0" collapsed="false">
      <c r="A432" s="2" t="str">
        <f aca="false">HYPERLINK("https://www.fabsurplus.com/sdi_catalog/salesItemDetails.do?id=114877")</f>
        <v>https://www.fabsurplus.com/sdi_catalog/salesItemDetails.do?id=114877</v>
      </c>
      <c r="B432" s="2" t="s">
        <v>1075</v>
      </c>
      <c r="C432" s="2" t="s">
        <v>1050</v>
      </c>
      <c r="D432" s="2" t="s">
        <v>1065</v>
      </c>
      <c r="E432" s="2" t="s">
        <v>1076</v>
      </c>
      <c r="F432" s="2" t="s">
        <v>16</v>
      </c>
      <c r="G432" s="2" t="s">
        <v>26</v>
      </c>
      <c r="H432" s="2"/>
      <c r="I432" s="2"/>
      <c r="J432" s="2" t="s">
        <v>19</v>
      </c>
      <c r="K432" s="2"/>
      <c r="L432" s="2" t="s">
        <v>63</v>
      </c>
    </row>
    <row r="433" customFormat="false" ht="11.9" hidden="false" customHeight="true" outlineLevel="0" collapsed="false">
      <c r="A433" s="3" t="str">
        <f aca="false">HYPERLINK("https://www.fabsurplus.com/sdi_catalog/salesItemDetails.do?id=114773")</f>
        <v>https://www.fabsurplus.com/sdi_catalog/salesItemDetails.do?id=114773</v>
      </c>
      <c r="B433" s="3" t="s">
        <v>1077</v>
      </c>
      <c r="C433" s="3" t="s">
        <v>1050</v>
      </c>
      <c r="D433" s="3" t="s">
        <v>1078</v>
      </c>
      <c r="E433" s="3" t="s">
        <v>1079</v>
      </c>
      <c r="F433" s="3" t="s">
        <v>77</v>
      </c>
      <c r="G433" s="3" t="s">
        <v>26</v>
      </c>
      <c r="H433" s="3"/>
      <c r="I433" s="3"/>
      <c r="J433" s="3" t="s">
        <v>19</v>
      </c>
      <c r="K433" s="3"/>
      <c r="L433" s="3" t="s">
        <v>63</v>
      </c>
    </row>
    <row r="434" customFormat="false" ht="11.9" hidden="false" customHeight="true" outlineLevel="0" collapsed="false">
      <c r="A434" s="2" t="str">
        <f aca="false">HYPERLINK("https://www.fabsurplus.com/sdi_catalog/salesItemDetails.do?id=114804")</f>
        <v>https://www.fabsurplus.com/sdi_catalog/salesItemDetails.do?id=114804</v>
      </c>
      <c r="B434" s="2" t="s">
        <v>1080</v>
      </c>
      <c r="C434" s="2" t="s">
        <v>1050</v>
      </c>
      <c r="D434" s="2" t="s">
        <v>1078</v>
      </c>
      <c r="E434" s="2" t="s">
        <v>1081</v>
      </c>
      <c r="F434" s="2" t="s">
        <v>16</v>
      </c>
      <c r="G434" s="2" t="s">
        <v>26</v>
      </c>
      <c r="H434" s="2"/>
      <c r="I434" s="2"/>
      <c r="J434" s="2" t="s">
        <v>19</v>
      </c>
      <c r="K434" s="2"/>
      <c r="L434" s="2" t="s">
        <v>63</v>
      </c>
    </row>
    <row r="435" customFormat="false" ht="11.9" hidden="false" customHeight="true" outlineLevel="0" collapsed="false">
      <c r="A435" s="3" t="str">
        <f aca="false">HYPERLINK("https://www.fabsurplus.com/sdi_catalog/salesItemDetails.do?id=114664")</f>
        <v>https://www.fabsurplus.com/sdi_catalog/salesItemDetails.do?id=114664</v>
      </c>
      <c r="B435" s="3" t="s">
        <v>1082</v>
      </c>
      <c r="C435" s="3" t="s">
        <v>1050</v>
      </c>
      <c r="D435" s="3" t="s">
        <v>1083</v>
      </c>
      <c r="E435" s="3" t="s">
        <v>1084</v>
      </c>
      <c r="F435" s="3" t="s">
        <v>69</v>
      </c>
      <c r="G435" s="3" t="s">
        <v>26</v>
      </c>
      <c r="H435" s="3"/>
      <c r="I435" s="3"/>
      <c r="J435" s="3" t="s">
        <v>19</v>
      </c>
      <c r="K435" s="3"/>
      <c r="L435" s="3" t="s">
        <v>63</v>
      </c>
    </row>
    <row r="436" customFormat="false" ht="11.9" hidden="false" customHeight="true" outlineLevel="0" collapsed="false">
      <c r="A436" s="2" t="str">
        <f aca="false">HYPERLINK("https://www.fabsurplus.com/sdi_catalog/salesItemDetails.do?id=114663")</f>
        <v>https://www.fabsurplus.com/sdi_catalog/salesItemDetails.do?id=114663</v>
      </c>
      <c r="B436" s="2" t="s">
        <v>1085</v>
      </c>
      <c r="C436" s="2" t="s">
        <v>1050</v>
      </c>
      <c r="D436" s="2" t="s">
        <v>1083</v>
      </c>
      <c r="E436" s="2" t="s">
        <v>1084</v>
      </c>
      <c r="F436" s="2" t="s">
        <v>77</v>
      </c>
      <c r="G436" s="2" t="s">
        <v>26</v>
      </c>
      <c r="H436" s="2"/>
      <c r="I436" s="2"/>
      <c r="J436" s="2" t="s">
        <v>19</v>
      </c>
      <c r="K436" s="2"/>
      <c r="L436" s="2" t="s">
        <v>63</v>
      </c>
    </row>
    <row r="437" customFormat="false" ht="11.9" hidden="false" customHeight="true" outlineLevel="0" collapsed="false">
      <c r="A437" s="2" t="str">
        <f aca="false">HYPERLINK("https://www.fabsurplus.com/sdi_catalog/salesItemDetails.do?id=114805")</f>
        <v>https://www.fabsurplus.com/sdi_catalog/salesItemDetails.do?id=114805</v>
      </c>
      <c r="B437" s="2" t="s">
        <v>1086</v>
      </c>
      <c r="C437" s="2" t="s">
        <v>1050</v>
      </c>
      <c r="D437" s="2" t="s">
        <v>1087</v>
      </c>
      <c r="E437" s="2" t="s">
        <v>1088</v>
      </c>
      <c r="F437" s="2" t="s">
        <v>16</v>
      </c>
      <c r="G437" s="2" t="s">
        <v>26</v>
      </c>
      <c r="H437" s="2"/>
      <c r="I437" s="2"/>
      <c r="J437" s="2" t="s">
        <v>19</v>
      </c>
      <c r="K437" s="2"/>
      <c r="L437" s="2" t="s">
        <v>63</v>
      </c>
    </row>
    <row r="438" customFormat="false" ht="11.9" hidden="false" customHeight="true" outlineLevel="0" collapsed="false">
      <c r="A438" s="3" t="str">
        <f aca="false">HYPERLINK("https://www.fabsurplus.com/sdi_catalog/salesItemDetails.do?id=115114")</f>
        <v>https://www.fabsurplus.com/sdi_catalog/salesItemDetails.do?id=115114</v>
      </c>
      <c r="B438" s="3" t="s">
        <v>1089</v>
      </c>
      <c r="C438" s="3" t="s">
        <v>1050</v>
      </c>
      <c r="D438" s="3" t="s">
        <v>1090</v>
      </c>
      <c r="E438" s="3" t="s">
        <v>1091</v>
      </c>
      <c r="F438" s="3" t="s">
        <v>16</v>
      </c>
      <c r="G438" s="3" t="s">
        <v>26</v>
      </c>
      <c r="H438" s="3"/>
      <c r="I438" s="3"/>
      <c r="J438" s="3" t="s">
        <v>19</v>
      </c>
      <c r="K438" s="3"/>
      <c r="L438" s="3" t="s">
        <v>63</v>
      </c>
    </row>
    <row r="439" customFormat="false" ht="11.9" hidden="false" customHeight="true" outlineLevel="0" collapsed="false">
      <c r="A439" s="2" t="str">
        <f aca="false">HYPERLINK("https://www.fabsurplus.com/sdi_catalog/salesItemDetails.do?id=114714")</f>
        <v>https://www.fabsurplus.com/sdi_catalog/salesItemDetails.do?id=114714</v>
      </c>
      <c r="B439" s="2" t="s">
        <v>1092</v>
      </c>
      <c r="C439" s="2" t="s">
        <v>1050</v>
      </c>
      <c r="D439" s="2" t="s">
        <v>1093</v>
      </c>
      <c r="E439" s="2" t="s">
        <v>1094</v>
      </c>
      <c r="F439" s="2" t="s">
        <v>16</v>
      </c>
      <c r="G439" s="2" t="s">
        <v>26</v>
      </c>
      <c r="H439" s="2"/>
      <c r="I439" s="2"/>
      <c r="J439" s="2" t="s">
        <v>19</v>
      </c>
      <c r="K439" s="2"/>
      <c r="L439" s="2" t="s">
        <v>63</v>
      </c>
    </row>
    <row r="440" customFormat="false" ht="11.9" hidden="false" customHeight="true" outlineLevel="0" collapsed="false">
      <c r="A440" s="3" t="str">
        <f aca="false">HYPERLINK("https://www.fabsurplus.com/sdi_catalog/salesItemDetails.do?id=114634")</f>
        <v>https://www.fabsurplus.com/sdi_catalog/salesItemDetails.do?id=114634</v>
      </c>
      <c r="B440" s="3" t="s">
        <v>1095</v>
      </c>
      <c r="C440" s="3" t="s">
        <v>1050</v>
      </c>
      <c r="D440" s="3" t="s">
        <v>1096</v>
      </c>
      <c r="E440" s="3" t="s">
        <v>1097</v>
      </c>
      <c r="F440" s="3" t="s">
        <v>16</v>
      </c>
      <c r="G440" s="3" t="s">
        <v>26</v>
      </c>
      <c r="H440" s="3"/>
      <c r="I440" s="3"/>
      <c r="J440" s="3" t="s">
        <v>19</v>
      </c>
      <c r="K440" s="3"/>
      <c r="L440" s="3" t="s">
        <v>63</v>
      </c>
    </row>
    <row r="441" customFormat="false" ht="11.9" hidden="false" customHeight="true" outlineLevel="0" collapsed="false">
      <c r="A441" s="2" t="str">
        <f aca="false">HYPERLINK("https://www.fabsurplus.com/sdi_catalog/salesItemDetails.do?id=115193")</f>
        <v>https://www.fabsurplus.com/sdi_catalog/salesItemDetails.do?id=115193</v>
      </c>
      <c r="B441" s="2" t="s">
        <v>1098</v>
      </c>
      <c r="C441" s="2" t="s">
        <v>1050</v>
      </c>
      <c r="D441" s="2" t="s">
        <v>1099</v>
      </c>
      <c r="E441" s="2" t="s">
        <v>1100</v>
      </c>
      <c r="F441" s="2" t="s">
        <v>199</v>
      </c>
      <c r="G441" s="2" t="s">
        <v>26</v>
      </c>
      <c r="H441" s="2"/>
      <c r="I441" s="2"/>
      <c r="J441" s="2" t="s">
        <v>19</v>
      </c>
      <c r="K441" s="2"/>
      <c r="L441" s="2" t="s">
        <v>63</v>
      </c>
    </row>
    <row r="442" customFormat="false" ht="11.9" hidden="false" customHeight="true" outlineLevel="0" collapsed="false">
      <c r="A442" s="2" t="str">
        <f aca="false">HYPERLINK("https://www.fabsurplus.com/sdi_catalog/salesItemDetails.do?id=115194")</f>
        <v>https://www.fabsurplus.com/sdi_catalog/salesItemDetails.do?id=115194</v>
      </c>
      <c r="B442" s="2" t="s">
        <v>1101</v>
      </c>
      <c r="C442" s="2" t="s">
        <v>1050</v>
      </c>
      <c r="D442" s="2" t="s">
        <v>1102</v>
      </c>
      <c r="E442" s="2" t="s">
        <v>1103</v>
      </c>
      <c r="F442" s="2" t="s">
        <v>104</v>
      </c>
      <c r="G442" s="2" t="s">
        <v>26</v>
      </c>
      <c r="H442" s="2"/>
      <c r="I442" s="2"/>
      <c r="J442" s="2" t="s">
        <v>19</v>
      </c>
      <c r="K442" s="2"/>
      <c r="L442" s="2" t="s">
        <v>63</v>
      </c>
    </row>
    <row r="443" customFormat="false" ht="11.9" hidden="false" customHeight="true" outlineLevel="0" collapsed="false">
      <c r="A443" s="3" t="str">
        <f aca="false">HYPERLINK("https://www.fabsurplus.com/sdi_catalog/salesItemDetails.do?id=114976")</f>
        <v>https://www.fabsurplus.com/sdi_catalog/salesItemDetails.do?id=114976</v>
      </c>
      <c r="B443" s="3" t="s">
        <v>1104</v>
      </c>
      <c r="C443" s="3" t="s">
        <v>1050</v>
      </c>
      <c r="D443" s="3" t="s">
        <v>1105</v>
      </c>
      <c r="E443" s="3" t="s">
        <v>1106</v>
      </c>
      <c r="F443" s="3" t="s">
        <v>16</v>
      </c>
      <c r="G443" s="3" t="s">
        <v>26</v>
      </c>
      <c r="H443" s="3"/>
      <c r="I443" s="3"/>
      <c r="J443" s="3" t="s">
        <v>19</v>
      </c>
      <c r="K443" s="3"/>
      <c r="L443" s="3" t="s">
        <v>63</v>
      </c>
    </row>
    <row r="444" customFormat="false" ht="11.9" hidden="false" customHeight="true" outlineLevel="0" collapsed="false">
      <c r="A444" s="3" t="str">
        <f aca="false">HYPERLINK("https://www.fabsurplus.com/sdi_catalog/salesItemDetails.do?id=114665")</f>
        <v>https://www.fabsurplus.com/sdi_catalog/salesItemDetails.do?id=114665</v>
      </c>
      <c r="B444" s="3" t="s">
        <v>1107</v>
      </c>
      <c r="C444" s="3" t="s">
        <v>1050</v>
      </c>
      <c r="D444" s="3" t="s">
        <v>1108</v>
      </c>
      <c r="E444" s="3" t="s">
        <v>1109</v>
      </c>
      <c r="F444" s="3" t="s">
        <v>16</v>
      </c>
      <c r="G444" s="3" t="s">
        <v>26</v>
      </c>
      <c r="H444" s="3"/>
      <c r="I444" s="3"/>
      <c r="J444" s="3" t="s">
        <v>19</v>
      </c>
      <c r="K444" s="3"/>
      <c r="L444" s="3" t="s">
        <v>63</v>
      </c>
    </row>
    <row r="445" customFormat="false" ht="11.9" hidden="false" customHeight="true" outlineLevel="0" collapsed="false">
      <c r="A445" s="3" t="str">
        <f aca="false">HYPERLINK("https://www.fabsurplus.com/sdi_catalog/salesItemDetails.do?id=114774")</f>
        <v>https://www.fabsurplus.com/sdi_catalog/salesItemDetails.do?id=114774</v>
      </c>
      <c r="B445" s="3" t="s">
        <v>1110</v>
      </c>
      <c r="C445" s="3" t="s">
        <v>1050</v>
      </c>
      <c r="D445" s="3" t="s">
        <v>1111</v>
      </c>
      <c r="E445" s="3" t="s">
        <v>1112</v>
      </c>
      <c r="F445" s="3" t="s">
        <v>16</v>
      </c>
      <c r="G445" s="3" t="s">
        <v>26</v>
      </c>
      <c r="H445" s="3"/>
      <c r="I445" s="3"/>
      <c r="J445" s="3" t="s">
        <v>19</v>
      </c>
      <c r="K445" s="3"/>
      <c r="L445" s="3" t="s">
        <v>63</v>
      </c>
    </row>
    <row r="446" customFormat="false" ht="11.9" hidden="false" customHeight="true" outlineLevel="0" collapsed="false">
      <c r="A446" s="3" t="str">
        <f aca="false">HYPERLINK("https://www.fabsurplus.com/sdi_catalog/salesItemDetails.do?id=114806")</f>
        <v>https://www.fabsurplus.com/sdi_catalog/salesItemDetails.do?id=114806</v>
      </c>
      <c r="B446" s="3" t="s">
        <v>1113</v>
      </c>
      <c r="C446" s="3" t="s">
        <v>1050</v>
      </c>
      <c r="D446" s="3" t="s">
        <v>1114</v>
      </c>
      <c r="E446" s="3" t="s">
        <v>1115</v>
      </c>
      <c r="F446" s="3" t="s">
        <v>101</v>
      </c>
      <c r="G446" s="3" t="s">
        <v>26</v>
      </c>
      <c r="H446" s="3"/>
      <c r="I446" s="3"/>
      <c r="J446" s="3" t="s">
        <v>19</v>
      </c>
      <c r="K446" s="3"/>
      <c r="L446" s="3" t="s">
        <v>63</v>
      </c>
    </row>
    <row r="447" customFormat="false" ht="11.9" hidden="false" customHeight="true" outlineLevel="0" collapsed="false">
      <c r="A447" s="2" t="str">
        <f aca="false">HYPERLINK("https://www.fabsurplus.com/sdi_catalog/salesItemDetails.do?id=114593")</f>
        <v>https://www.fabsurplus.com/sdi_catalog/salesItemDetails.do?id=114593</v>
      </c>
      <c r="B447" s="2" t="s">
        <v>1116</v>
      </c>
      <c r="C447" s="2" t="s">
        <v>1050</v>
      </c>
      <c r="D447" s="2" t="s">
        <v>1117</v>
      </c>
      <c r="E447" s="2" t="s">
        <v>1118</v>
      </c>
      <c r="F447" s="2" t="s">
        <v>77</v>
      </c>
      <c r="G447" s="2" t="s">
        <v>26</v>
      </c>
      <c r="H447" s="2"/>
      <c r="I447" s="2"/>
      <c r="J447" s="2" t="s">
        <v>19</v>
      </c>
      <c r="K447" s="2"/>
      <c r="L447" s="2" t="s">
        <v>63</v>
      </c>
    </row>
    <row r="448" customFormat="false" ht="11.9" hidden="false" customHeight="true" outlineLevel="0" collapsed="false">
      <c r="A448" s="2" t="str">
        <f aca="false">HYPERLINK("https://www.fabsurplus.com/sdi_catalog/salesItemDetails.do?id=114635")</f>
        <v>https://www.fabsurplus.com/sdi_catalog/salesItemDetails.do?id=114635</v>
      </c>
      <c r="B448" s="2" t="s">
        <v>1119</v>
      </c>
      <c r="C448" s="2" t="s">
        <v>1050</v>
      </c>
      <c r="D448" s="2" t="s">
        <v>1120</v>
      </c>
      <c r="E448" s="2" t="s">
        <v>1121</v>
      </c>
      <c r="F448" s="2" t="s">
        <v>16</v>
      </c>
      <c r="G448" s="2" t="s">
        <v>26</v>
      </c>
      <c r="H448" s="2"/>
      <c r="I448" s="2"/>
      <c r="J448" s="2" t="s">
        <v>19</v>
      </c>
      <c r="K448" s="2"/>
      <c r="L448" s="2" t="s">
        <v>63</v>
      </c>
    </row>
    <row r="449" customFormat="false" ht="11.9" hidden="false" customHeight="true" outlineLevel="0" collapsed="false">
      <c r="A449" s="3" t="str">
        <f aca="false">HYPERLINK("https://www.fabsurplus.com/sdi_catalog/salesItemDetails.do?id=114594")</f>
        <v>https://www.fabsurplus.com/sdi_catalog/salesItemDetails.do?id=114594</v>
      </c>
      <c r="B449" s="3" t="s">
        <v>1122</v>
      </c>
      <c r="C449" s="3" t="s">
        <v>1050</v>
      </c>
      <c r="D449" s="3" t="s">
        <v>1123</v>
      </c>
      <c r="E449" s="3" t="s">
        <v>1124</v>
      </c>
      <c r="F449" s="3" t="s">
        <v>16</v>
      </c>
      <c r="G449" s="3" t="s">
        <v>26</v>
      </c>
      <c r="H449" s="3"/>
      <c r="I449" s="3"/>
      <c r="J449" s="3" t="s">
        <v>19</v>
      </c>
      <c r="K449" s="3"/>
      <c r="L449" s="3" t="s">
        <v>63</v>
      </c>
    </row>
    <row r="450" customFormat="false" ht="11.9" hidden="false" customHeight="true" outlineLevel="0" collapsed="false">
      <c r="A450" s="2" t="str">
        <f aca="false">HYPERLINK("https://www.fabsurplus.com/sdi_catalog/salesItemDetails.do?id=114637")</f>
        <v>https://www.fabsurplus.com/sdi_catalog/salesItemDetails.do?id=114637</v>
      </c>
      <c r="B450" s="2" t="s">
        <v>1125</v>
      </c>
      <c r="C450" s="2" t="s">
        <v>1050</v>
      </c>
      <c r="D450" s="2" t="s">
        <v>1126</v>
      </c>
      <c r="E450" s="2" t="s">
        <v>1127</v>
      </c>
      <c r="F450" s="2" t="s">
        <v>77</v>
      </c>
      <c r="G450" s="2" t="s">
        <v>26</v>
      </c>
      <c r="H450" s="2"/>
      <c r="I450" s="2"/>
      <c r="J450" s="2" t="s">
        <v>19</v>
      </c>
      <c r="K450" s="2"/>
      <c r="L450" s="2" t="s">
        <v>63</v>
      </c>
    </row>
    <row r="451" customFormat="false" ht="11.9" hidden="false" customHeight="true" outlineLevel="0" collapsed="false">
      <c r="A451" s="3" t="str">
        <f aca="false">HYPERLINK("https://www.fabsurplus.com/sdi_catalog/salesItemDetails.do?id=114636")</f>
        <v>https://www.fabsurplus.com/sdi_catalog/salesItemDetails.do?id=114636</v>
      </c>
      <c r="B451" s="3" t="s">
        <v>1128</v>
      </c>
      <c r="C451" s="3" t="s">
        <v>1050</v>
      </c>
      <c r="D451" s="3" t="s">
        <v>1126</v>
      </c>
      <c r="E451" s="3" t="s">
        <v>1127</v>
      </c>
      <c r="F451" s="3" t="s">
        <v>69</v>
      </c>
      <c r="G451" s="3" t="s">
        <v>26</v>
      </c>
      <c r="H451" s="3"/>
      <c r="I451" s="3"/>
      <c r="J451" s="3" t="s">
        <v>19</v>
      </c>
      <c r="K451" s="3"/>
      <c r="L451" s="3" t="s">
        <v>63</v>
      </c>
    </row>
    <row r="452" customFormat="false" ht="11.9" hidden="false" customHeight="true" outlineLevel="0" collapsed="false">
      <c r="A452" s="2" t="str">
        <f aca="false">HYPERLINK("https://www.fabsurplus.com/sdi_catalog/salesItemDetails.do?id=114775")</f>
        <v>https://www.fabsurplus.com/sdi_catalog/salesItemDetails.do?id=114775</v>
      </c>
      <c r="B452" s="2" t="s">
        <v>1129</v>
      </c>
      <c r="C452" s="2" t="s">
        <v>1050</v>
      </c>
      <c r="D452" s="2" t="s">
        <v>1130</v>
      </c>
      <c r="E452" s="2" t="s">
        <v>1131</v>
      </c>
      <c r="F452" s="2" t="s">
        <v>16</v>
      </c>
      <c r="G452" s="2" t="s">
        <v>26</v>
      </c>
      <c r="H452" s="2"/>
      <c r="I452" s="2"/>
      <c r="J452" s="2" t="s">
        <v>19</v>
      </c>
      <c r="K452" s="2"/>
      <c r="L452" s="2" t="s">
        <v>63</v>
      </c>
    </row>
    <row r="453" customFormat="false" ht="11.9" hidden="false" customHeight="true" outlineLevel="0" collapsed="false">
      <c r="A453" s="3" t="str">
        <f aca="false">HYPERLINK("https://www.fabsurplus.com/sdi_catalog/salesItemDetails.do?id=114716")</f>
        <v>https://www.fabsurplus.com/sdi_catalog/salesItemDetails.do?id=114716</v>
      </c>
      <c r="B453" s="3" t="s">
        <v>1132</v>
      </c>
      <c r="C453" s="3" t="s">
        <v>1050</v>
      </c>
      <c r="D453" s="3" t="s">
        <v>1133</v>
      </c>
      <c r="E453" s="3" t="s">
        <v>1134</v>
      </c>
      <c r="F453" s="3" t="s">
        <v>16</v>
      </c>
      <c r="G453" s="3" t="s">
        <v>26</v>
      </c>
      <c r="H453" s="3"/>
      <c r="I453" s="3"/>
      <c r="J453" s="3" t="s">
        <v>19</v>
      </c>
      <c r="K453" s="3"/>
      <c r="L453" s="3" t="s">
        <v>63</v>
      </c>
    </row>
    <row r="454" customFormat="false" ht="11.9" hidden="false" customHeight="true" outlineLevel="0" collapsed="false">
      <c r="A454" s="2" t="str">
        <f aca="false">HYPERLINK("https://www.fabsurplus.com/sdi_catalog/salesItemDetails.do?id=115171")</f>
        <v>https://www.fabsurplus.com/sdi_catalog/salesItemDetails.do?id=115171</v>
      </c>
      <c r="B454" s="2" t="s">
        <v>1135</v>
      </c>
      <c r="C454" s="2" t="s">
        <v>1050</v>
      </c>
      <c r="D454" s="2" t="s">
        <v>1136</v>
      </c>
      <c r="E454" s="2" t="s">
        <v>1137</v>
      </c>
      <c r="F454" s="2" t="s">
        <v>101</v>
      </c>
      <c r="G454" s="2" t="s">
        <v>26</v>
      </c>
      <c r="H454" s="2"/>
      <c r="I454" s="2"/>
      <c r="J454" s="2" t="s">
        <v>19</v>
      </c>
      <c r="K454" s="2"/>
      <c r="L454" s="2" t="s">
        <v>63</v>
      </c>
    </row>
    <row r="455" customFormat="false" ht="11.9" hidden="false" customHeight="true" outlineLevel="0" collapsed="false">
      <c r="A455" s="3" t="str">
        <f aca="false">HYPERLINK("https://www.fabsurplus.com/sdi_catalog/salesItemDetails.do?id=114717")</f>
        <v>https://www.fabsurplus.com/sdi_catalog/salesItemDetails.do?id=114717</v>
      </c>
      <c r="B455" s="3" t="s">
        <v>1138</v>
      </c>
      <c r="C455" s="3" t="s">
        <v>1050</v>
      </c>
      <c r="D455" s="3" t="s">
        <v>1139</v>
      </c>
      <c r="E455" s="3" t="s">
        <v>1140</v>
      </c>
      <c r="F455" s="3" t="s">
        <v>16</v>
      </c>
      <c r="G455" s="3" t="s">
        <v>26</v>
      </c>
      <c r="H455" s="3"/>
      <c r="I455" s="3"/>
      <c r="J455" s="3" t="s">
        <v>19</v>
      </c>
      <c r="K455" s="3"/>
      <c r="L455" s="3" t="s">
        <v>63</v>
      </c>
    </row>
    <row r="456" customFormat="false" ht="11.9" hidden="false" customHeight="true" outlineLevel="0" collapsed="false">
      <c r="A456" s="3" t="str">
        <f aca="false">HYPERLINK("https://www.fabsurplus.com/sdi_catalog/salesItemDetails.do?id=114776")</f>
        <v>https://www.fabsurplus.com/sdi_catalog/salesItemDetails.do?id=114776</v>
      </c>
      <c r="B456" s="3" t="s">
        <v>1141</v>
      </c>
      <c r="C456" s="3" t="s">
        <v>1050</v>
      </c>
      <c r="D456" s="3" t="s">
        <v>1142</v>
      </c>
      <c r="E456" s="3" t="s">
        <v>1143</v>
      </c>
      <c r="F456" s="3" t="s">
        <v>16</v>
      </c>
      <c r="G456" s="3" t="s">
        <v>26</v>
      </c>
      <c r="H456" s="3"/>
      <c r="I456" s="3"/>
      <c r="J456" s="3" t="s">
        <v>19</v>
      </c>
      <c r="K456" s="3"/>
      <c r="L456" s="3" t="s">
        <v>63</v>
      </c>
    </row>
    <row r="457" customFormat="false" ht="11.9" hidden="false" customHeight="true" outlineLevel="0" collapsed="false">
      <c r="A457" s="2" t="str">
        <f aca="false">HYPERLINK("https://www.fabsurplus.com/sdi_catalog/salesItemDetails.do?id=114756")</f>
        <v>https://www.fabsurplus.com/sdi_catalog/salesItemDetails.do?id=114756</v>
      </c>
      <c r="B457" s="2" t="s">
        <v>1144</v>
      </c>
      <c r="C457" s="2" t="s">
        <v>1050</v>
      </c>
      <c r="D457" s="2" t="s">
        <v>1145</v>
      </c>
      <c r="E457" s="2" t="s">
        <v>1146</v>
      </c>
      <c r="F457" s="2" t="s">
        <v>16</v>
      </c>
      <c r="G457" s="2" t="s">
        <v>26</v>
      </c>
      <c r="H457" s="2"/>
      <c r="I457" s="2"/>
      <c r="J457" s="2" t="s">
        <v>19</v>
      </c>
      <c r="K457" s="2"/>
      <c r="L457" s="2" t="s">
        <v>63</v>
      </c>
    </row>
    <row r="458" customFormat="false" ht="11.9" hidden="false" customHeight="true" outlineLevel="0" collapsed="false">
      <c r="A458" s="2" t="str">
        <f aca="false">HYPERLINK("https://www.fabsurplus.com/sdi_catalog/salesItemDetails.do?id=114807")</f>
        <v>https://www.fabsurplus.com/sdi_catalog/salesItemDetails.do?id=114807</v>
      </c>
      <c r="B458" s="2" t="s">
        <v>1147</v>
      </c>
      <c r="C458" s="2" t="s">
        <v>1050</v>
      </c>
      <c r="D458" s="2" t="s">
        <v>1145</v>
      </c>
      <c r="E458" s="2" t="s">
        <v>1148</v>
      </c>
      <c r="F458" s="2" t="s">
        <v>16</v>
      </c>
      <c r="G458" s="2" t="s">
        <v>26</v>
      </c>
      <c r="H458" s="2"/>
      <c r="I458" s="2"/>
      <c r="J458" s="2" t="s">
        <v>19</v>
      </c>
      <c r="K458" s="2"/>
      <c r="L458" s="2" t="s">
        <v>63</v>
      </c>
    </row>
    <row r="459" customFormat="false" ht="11.9" hidden="false" customHeight="true" outlineLevel="0" collapsed="false">
      <c r="A459" s="3" t="str">
        <f aca="false">HYPERLINK("https://www.fabsurplus.com/sdi_catalog/salesItemDetails.do?id=114746")</f>
        <v>https://www.fabsurplus.com/sdi_catalog/salesItemDetails.do?id=114746</v>
      </c>
      <c r="B459" s="3" t="s">
        <v>1149</v>
      </c>
      <c r="C459" s="3" t="s">
        <v>1050</v>
      </c>
      <c r="D459" s="3" t="s">
        <v>1150</v>
      </c>
      <c r="E459" s="3" t="s">
        <v>1151</v>
      </c>
      <c r="F459" s="3" t="s">
        <v>16</v>
      </c>
      <c r="G459" s="3" t="s">
        <v>26</v>
      </c>
      <c r="H459" s="3"/>
      <c r="I459" s="3"/>
      <c r="J459" s="3" t="s">
        <v>19</v>
      </c>
      <c r="K459" s="3"/>
      <c r="L459" s="3" t="s">
        <v>63</v>
      </c>
    </row>
    <row r="460" customFormat="false" ht="11.9" hidden="false" customHeight="true" outlineLevel="0" collapsed="false">
      <c r="A460" s="3" t="str">
        <f aca="false">HYPERLINK("https://www.fabsurplus.com/sdi_catalog/salesItemDetails.do?id=114747")</f>
        <v>https://www.fabsurplus.com/sdi_catalog/salesItemDetails.do?id=114747</v>
      </c>
      <c r="B460" s="3" t="s">
        <v>1152</v>
      </c>
      <c r="C460" s="3" t="s">
        <v>1050</v>
      </c>
      <c r="D460" s="3" t="s">
        <v>1150</v>
      </c>
      <c r="E460" s="3" t="s">
        <v>1153</v>
      </c>
      <c r="F460" s="3" t="s">
        <v>16</v>
      </c>
      <c r="G460" s="3" t="s">
        <v>26</v>
      </c>
      <c r="H460" s="3"/>
      <c r="I460" s="3"/>
      <c r="J460" s="3" t="s">
        <v>19</v>
      </c>
      <c r="K460" s="3"/>
      <c r="L460" s="3" t="s">
        <v>63</v>
      </c>
    </row>
    <row r="461" customFormat="false" ht="11.9" hidden="false" customHeight="true" outlineLevel="0" collapsed="false">
      <c r="A461" s="2" t="str">
        <f aca="false">HYPERLINK("https://www.fabsurplus.com/sdi_catalog/salesItemDetails.do?id=114692")</f>
        <v>https://www.fabsurplus.com/sdi_catalog/salesItemDetails.do?id=114692</v>
      </c>
      <c r="B461" s="2" t="s">
        <v>1154</v>
      </c>
      <c r="C461" s="2" t="s">
        <v>1050</v>
      </c>
      <c r="D461" s="2" t="s">
        <v>1155</v>
      </c>
      <c r="E461" s="2" t="s">
        <v>1156</v>
      </c>
      <c r="F461" s="2" t="s">
        <v>16</v>
      </c>
      <c r="G461" s="2" t="s">
        <v>26</v>
      </c>
      <c r="H461" s="2"/>
      <c r="I461" s="2"/>
      <c r="J461" s="2" t="s">
        <v>19</v>
      </c>
      <c r="K461" s="2"/>
      <c r="L461" s="2" t="s">
        <v>63</v>
      </c>
    </row>
    <row r="462" customFormat="false" ht="11.9" hidden="false" customHeight="true" outlineLevel="0" collapsed="false">
      <c r="A462" s="2" t="str">
        <f aca="false">HYPERLINK("https://www.fabsurplus.com/sdi_catalog/salesItemDetails.do?id=114718")</f>
        <v>https://www.fabsurplus.com/sdi_catalog/salesItemDetails.do?id=114718</v>
      </c>
      <c r="B462" s="2" t="s">
        <v>1157</v>
      </c>
      <c r="C462" s="2" t="s">
        <v>1050</v>
      </c>
      <c r="D462" s="2" t="s">
        <v>1158</v>
      </c>
      <c r="E462" s="2" t="s">
        <v>1159</v>
      </c>
      <c r="F462" s="2" t="s">
        <v>16</v>
      </c>
      <c r="G462" s="2" t="s">
        <v>26</v>
      </c>
      <c r="H462" s="2"/>
      <c r="I462" s="2"/>
      <c r="J462" s="2" t="s">
        <v>19</v>
      </c>
      <c r="K462" s="2"/>
      <c r="L462" s="2" t="s">
        <v>63</v>
      </c>
    </row>
    <row r="463" customFormat="false" ht="11.9" hidden="false" customHeight="true" outlineLevel="0" collapsed="false">
      <c r="A463" s="2" t="str">
        <f aca="false">HYPERLINK("https://www.fabsurplus.com/sdi_catalog/salesItemDetails.do?id=114719")</f>
        <v>https://www.fabsurplus.com/sdi_catalog/salesItemDetails.do?id=114719</v>
      </c>
      <c r="B463" s="2" t="s">
        <v>1160</v>
      </c>
      <c r="C463" s="2" t="s">
        <v>1050</v>
      </c>
      <c r="D463" s="2" t="s">
        <v>1158</v>
      </c>
      <c r="E463" s="2" t="s">
        <v>1161</v>
      </c>
      <c r="F463" s="2" t="s">
        <v>16</v>
      </c>
      <c r="G463" s="2" t="s">
        <v>26</v>
      </c>
      <c r="H463" s="2"/>
      <c r="I463" s="2"/>
      <c r="J463" s="2" t="s">
        <v>19</v>
      </c>
      <c r="K463" s="2"/>
      <c r="L463" s="2" t="s">
        <v>63</v>
      </c>
    </row>
    <row r="464" customFormat="false" ht="11.9" hidden="false" customHeight="true" outlineLevel="0" collapsed="false">
      <c r="A464" s="2" t="str">
        <f aca="false">HYPERLINK("https://www.fabsurplus.com/sdi_catalog/salesItemDetails.do?id=114693")</f>
        <v>https://www.fabsurplus.com/sdi_catalog/salesItemDetails.do?id=114693</v>
      </c>
      <c r="B464" s="2" t="s">
        <v>1162</v>
      </c>
      <c r="C464" s="2" t="s">
        <v>1050</v>
      </c>
      <c r="D464" s="2" t="s">
        <v>1163</v>
      </c>
      <c r="E464" s="2" t="s">
        <v>1164</v>
      </c>
      <c r="F464" s="2" t="s">
        <v>16</v>
      </c>
      <c r="G464" s="2" t="s">
        <v>26</v>
      </c>
      <c r="H464" s="2"/>
      <c r="I464" s="2"/>
      <c r="J464" s="2" t="s">
        <v>19</v>
      </c>
      <c r="K464" s="2"/>
      <c r="L464" s="2" t="s">
        <v>63</v>
      </c>
    </row>
    <row r="465" customFormat="false" ht="11.9" hidden="false" customHeight="true" outlineLevel="0" collapsed="false">
      <c r="A465" s="2" t="str">
        <f aca="false">HYPERLINK("https://www.fabsurplus.com/sdi_catalog/salesItemDetails.do?id=114694")</f>
        <v>https://www.fabsurplus.com/sdi_catalog/salesItemDetails.do?id=114694</v>
      </c>
      <c r="B465" s="2" t="s">
        <v>1165</v>
      </c>
      <c r="C465" s="2" t="s">
        <v>1050</v>
      </c>
      <c r="D465" s="2" t="s">
        <v>1163</v>
      </c>
      <c r="E465" s="2" t="s">
        <v>1166</v>
      </c>
      <c r="F465" s="2" t="s">
        <v>16</v>
      </c>
      <c r="G465" s="2" t="s">
        <v>26</v>
      </c>
      <c r="H465" s="2"/>
      <c r="I465" s="2"/>
      <c r="J465" s="2" t="s">
        <v>19</v>
      </c>
      <c r="K465" s="2"/>
      <c r="L465" s="2" t="s">
        <v>63</v>
      </c>
    </row>
    <row r="466" customFormat="false" ht="11.9" hidden="false" customHeight="true" outlineLevel="0" collapsed="false">
      <c r="A466" s="2" t="str">
        <f aca="false">HYPERLINK("https://www.fabsurplus.com/sdi_catalog/salesItemDetails.do?id=114638")</f>
        <v>https://www.fabsurplus.com/sdi_catalog/salesItemDetails.do?id=114638</v>
      </c>
      <c r="B466" s="2" t="s">
        <v>1167</v>
      </c>
      <c r="C466" s="2" t="s">
        <v>1050</v>
      </c>
      <c r="D466" s="2" t="s">
        <v>1163</v>
      </c>
      <c r="E466" s="2" t="s">
        <v>1168</v>
      </c>
      <c r="F466" s="2" t="s">
        <v>16</v>
      </c>
      <c r="G466" s="2" t="s">
        <v>26</v>
      </c>
      <c r="H466" s="2"/>
      <c r="I466" s="2"/>
      <c r="J466" s="2" t="s">
        <v>19</v>
      </c>
      <c r="K466" s="2"/>
      <c r="L466" s="2" t="s">
        <v>63</v>
      </c>
    </row>
    <row r="467" customFormat="false" ht="11.9" hidden="false" customHeight="true" outlineLevel="0" collapsed="false">
      <c r="A467" s="3" t="str">
        <f aca="false">HYPERLINK("https://www.fabsurplus.com/sdi_catalog/salesItemDetails.do?id=115195")</f>
        <v>https://www.fabsurplus.com/sdi_catalog/salesItemDetails.do?id=115195</v>
      </c>
      <c r="B467" s="3" t="s">
        <v>1169</v>
      </c>
      <c r="C467" s="3" t="s">
        <v>1050</v>
      </c>
      <c r="D467" s="3" t="s">
        <v>1170</v>
      </c>
      <c r="E467" s="3" t="s">
        <v>1171</v>
      </c>
      <c r="F467" s="3" t="s">
        <v>16</v>
      </c>
      <c r="G467" s="3" t="s">
        <v>26</v>
      </c>
      <c r="H467" s="3"/>
      <c r="I467" s="3"/>
      <c r="J467" s="3" t="s">
        <v>19</v>
      </c>
      <c r="K467" s="3"/>
      <c r="L467" s="3" t="s">
        <v>63</v>
      </c>
    </row>
    <row r="468" customFormat="false" ht="11.9" hidden="false" customHeight="true" outlineLevel="0" collapsed="false">
      <c r="A468" s="3" t="str">
        <f aca="false">HYPERLINK("https://www.fabsurplus.com/sdi_catalog/salesItemDetails.do?id=115027")</f>
        <v>https://www.fabsurplus.com/sdi_catalog/salesItemDetails.do?id=115027</v>
      </c>
      <c r="B468" s="3" t="s">
        <v>1172</v>
      </c>
      <c r="C468" s="3" t="s">
        <v>1050</v>
      </c>
      <c r="D468" s="3" t="s">
        <v>1173</v>
      </c>
      <c r="E468" s="3" t="s">
        <v>1174</v>
      </c>
      <c r="F468" s="3" t="s">
        <v>16</v>
      </c>
      <c r="G468" s="3" t="s">
        <v>26</v>
      </c>
      <c r="H468" s="3"/>
      <c r="I468" s="3"/>
      <c r="J468" s="3" t="s">
        <v>19</v>
      </c>
      <c r="K468" s="3"/>
      <c r="L468" s="3" t="s">
        <v>63</v>
      </c>
    </row>
    <row r="469" customFormat="false" ht="11.9" hidden="false" customHeight="true" outlineLevel="0" collapsed="false">
      <c r="A469" s="3" t="str">
        <f aca="false">HYPERLINK("https://www.fabsurplus.com/sdi_catalog/salesItemDetails.do?id=115133")</f>
        <v>https://www.fabsurplus.com/sdi_catalog/salesItemDetails.do?id=115133</v>
      </c>
      <c r="B469" s="3" t="s">
        <v>1175</v>
      </c>
      <c r="C469" s="3" t="s">
        <v>1050</v>
      </c>
      <c r="D469" s="3" t="s">
        <v>1176</v>
      </c>
      <c r="E469" s="3" t="s">
        <v>1177</v>
      </c>
      <c r="F469" s="3" t="s">
        <v>16</v>
      </c>
      <c r="G469" s="3" t="s">
        <v>26</v>
      </c>
      <c r="H469" s="3"/>
      <c r="I469" s="3"/>
      <c r="J469" s="3" t="s">
        <v>19</v>
      </c>
      <c r="K469" s="3"/>
      <c r="L469" s="3" t="s">
        <v>63</v>
      </c>
    </row>
    <row r="470" customFormat="false" ht="11.9" hidden="false" customHeight="true" outlineLevel="0" collapsed="false">
      <c r="A470" s="2" t="str">
        <f aca="false">HYPERLINK("https://www.fabsurplus.com/sdi_catalog/salesItemDetails.do?id=114808")</f>
        <v>https://www.fabsurplus.com/sdi_catalog/salesItemDetails.do?id=114808</v>
      </c>
      <c r="B470" s="2" t="s">
        <v>1178</v>
      </c>
      <c r="C470" s="2" t="s">
        <v>1050</v>
      </c>
      <c r="D470" s="2" t="s">
        <v>1179</v>
      </c>
      <c r="E470" s="2" t="s">
        <v>1180</v>
      </c>
      <c r="F470" s="2" t="s">
        <v>16</v>
      </c>
      <c r="G470" s="2" t="s">
        <v>26</v>
      </c>
      <c r="H470" s="2"/>
      <c r="I470" s="2"/>
      <c r="J470" s="2" t="s">
        <v>19</v>
      </c>
      <c r="K470" s="2"/>
      <c r="L470" s="2" t="s">
        <v>63</v>
      </c>
    </row>
    <row r="471" customFormat="false" ht="11.9" hidden="false" customHeight="true" outlineLevel="0" collapsed="false">
      <c r="A471" s="2" t="str">
        <f aca="false">HYPERLINK("https://www.fabsurplus.com/sdi_catalog/salesItemDetails.do?id=114777")</f>
        <v>https://www.fabsurplus.com/sdi_catalog/salesItemDetails.do?id=114777</v>
      </c>
      <c r="B471" s="2" t="s">
        <v>1181</v>
      </c>
      <c r="C471" s="2" t="s">
        <v>1050</v>
      </c>
      <c r="D471" s="2" t="s">
        <v>1182</v>
      </c>
      <c r="E471" s="2" t="s">
        <v>1183</v>
      </c>
      <c r="F471" s="2" t="s">
        <v>16</v>
      </c>
      <c r="G471" s="2" t="s">
        <v>26</v>
      </c>
      <c r="H471" s="2"/>
      <c r="I471" s="2"/>
      <c r="J471" s="2" t="s">
        <v>19</v>
      </c>
      <c r="K471" s="2"/>
      <c r="L471" s="2" t="s">
        <v>63</v>
      </c>
    </row>
    <row r="472" customFormat="false" ht="11.9" hidden="false" customHeight="true" outlineLevel="0" collapsed="false">
      <c r="A472" s="3" t="str">
        <f aca="false">HYPERLINK("https://www.fabsurplus.com/sdi_catalog/salesItemDetails.do?id=114809")</f>
        <v>https://www.fabsurplus.com/sdi_catalog/salesItemDetails.do?id=114809</v>
      </c>
      <c r="B472" s="3" t="s">
        <v>1184</v>
      </c>
      <c r="C472" s="3" t="s">
        <v>1050</v>
      </c>
      <c r="D472" s="3" t="s">
        <v>1182</v>
      </c>
      <c r="E472" s="3" t="s">
        <v>1185</v>
      </c>
      <c r="F472" s="3" t="s">
        <v>16</v>
      </c>
      <c r="G472" s="3" t="s">
        <v>26</v>
      </c>
      <c r="H472" s="3"/>
      <c r="I472" s="3"/>
      <c r="J472" s="3" t="s">
        <v>19</v>
      </c>
      <c r="K472" s="3"/>
      <c r="L472" s="3" t="s">
        <v>63</v>
      </c>
    </row>
    <row r="473" customFormat="false" ht="11.9" hidden="false" customHeight="true" outlineLevel="0" collapsed="false">
      <c r="A473" s="2" t="str">
        <f aca="false">HYPERLINK("https://www.fabsurplus.com/sdi_catalog/salesItemDetails.do?id=114810")</f>
        <v>https://www.fabsurplus.com/sdi_catalog/salesItemDetails.do?id=114810</v>
      </c>
      <c r="B473" s="2" t="s">
        <v>1186</v>
      </c>
      <c r="C473" s="2" t="s">
        <v>1050</v>
      </c>
      <c r="D473" s="2" t="s">
        <v>1182</v>
      </c>
      <c r="E473" s="2" t="s">
        <v>1187</v>
      </c>
      <c r="F473" s="2" t="s">
        <v>16</v>
      </c>
      <c r="G473" s="2" t="s">
        <v>26</v>
      </c>
      <c r="H473" s="2"/>
      <c r="I473" s="2"/>
      <c r="J473" s="2" t="s">
        <v>19</v>
      </c>
      <c r="K473" s="2"/>
      <c r="L473" s="2" t="s">
        <v>63</v>
      </c>
    </row>
    <row r="474" customFormat="false" ht="11.9" hidden="false" customHeight="true" outlineLevel="0" collapsed="false">
      <c r="A474" s="2" t="str">
        <f aca="false">HYPERLINK("https://www.fabsurplus.com/sdi_catalog/salesItemDetails.do?id=115028")</f>
        <v>https://www.fabsurplus.com/sdi_catalog/salesItemDetails.do?id=115028</v>
      </c>
      <c r="B474" s="2" t="s">
        <v>1188</v>
      </c>
      <c r="C474" s="2" t="s">
        <v>1050</v>
      </c>
      <c r="D474" s="2" t="s">
        <v>1189</v>
      </c>
      <c r="E474" s="2" t="s">
        <v>1190</v>
      </c>
      <c r="F474" s="2" t="s">
        <v>16</v>
      </c>
      <c r="G474" s="2" t="s">
        <v>26</v>
      </c>
      <c r="H474" s="2"/>
      <c r="I474" s="2"/>
      <c r="J474" s="2" t="s">
        <v>19</v>
      </c>
      <c r="K474" s="2"/>
      <c r="L474" s="2" t="s">
        <v>63</v>
      </c>
    </row>
    <row r="475" customFormat="false" ht="11.9" hidden="false" customHeight="true" outlineLevel="0" collapsed="false">
      <c r="A475" s="2" t="str">
        <f aca="false">HYPERLINK("https://www.fabsurplus.com/sdi_catalog/salesItemDetails.do?id=115029")</f>
        <v>https://www.fabsurplus.com/sdi_catalog/salesItemDetails.do?id=115029</v>
      </c>
      <c r="B475" s="2" t="s">
        <v>1191</v>
      </c>
      <c r="C475" s="2" t="s">
        <v>1050</v>
      </c>
      <c r="D475" s="2" t="s">
        <v>1189</v>
      </c>
      <c r="E475" s="2" t="s">
        <v>1192</v>
      </c>
      <c r="F475" s="2" t="s">
        <v>16</v>
      </c>
      <c r="G475" s="2" t="s">
        <v>26</v>
      </c>
      <c r="H475" s="2"/>
      <c r="I475" s="2"/>
      <c r="J475" s="2" t="s">
        <v>19</v>
      </c>
      <c r="K475" s="2"/>
      <c r="L475" s="2" t="s">
        <v>63</v>
      </c>
    </row>
    <row r="476" customFormat="false" ht="11.9" hidden="false" customHeight="true" outlineLevel="0" collapsed="false">
      <c r="A476" s="2" t="str">
        <f aca="false">HYPERLINK("https://www.fabsurplus.com/sdi_catalog/salesItemDetails.do?id=115196")</f>
        <v>https://www.fabsurplus.com/sdi_catalog/salesItemDetails.do?id=115196</v>
      </c>
      <c r="B476" s="2" t="s">
        <v>1193</v>
      </c>
      <c r="C476" s="2" t="s">
        <v>1050</v>
      </c>
      <c r="D476" s="2" t="s">
        <v>1194</v>
      </c>
      <c r="E476" s="2" t="s">
        <v>1195</v>
      </c>
      <c r="F476" s="2" t="s">
        <v>16</v>
      </c>
      <c r="G476" s="2" t="s">
        <v>26</v>
      </c>
      <c r="H476" s="2"/>
      <c r="I476" s="2"/>
      <c r="J476" s="2" t="s">
        <v>19</v>
      </c>
      <c r="K476" s="2"/>
      <c r="L476" s="2" t="s">
        <v>63</v>
      </c>
    </row>
    <row r="477" customFormat="false" ht="11.9" hidden="false" customHeight="true" outlineLevel="0" collapsed="false">
      <c r="A477" s="3" t="str">
        <f aca="false">HYPERLINK("https://www.fabsurplus.com/sdi_catalog/salesItemDetails.do?id=114811")</f>
        <v>https://www.fabsurplus.com/sdi_catalog/salesItemDetails.do?id=114811</v>
      </c>
      <c r="B477" s="3" t="s">
        <v>1196</v>
      </c>
      <c r="C477" s="3" t="s">
        <v>1050</v>
      </c>
      <c r="D477" s="3" t="s">
        <v>1197</v>
      </c>
      <c r="E477" s="3" t="s">
        <v>1198</v>
      </c>
      <c r="F477" s="3" t="s">
        <v>16</v>
      </c>
      <c r="G477" s="3" t="s">
        <v>26</v>
      </c>
      <c r="H477" s="3"/>
      <c r="I477" s="3"/>
      <c r="J477" s="3" t="s">
        <v>19</v>
      </c>
      <c r="K477" s="3"/>
      <c r="L477" s="3" t="s">
        <v>63</v>
      </c>
    </row>
    <row r="478" customFormat="false" ht="11.9" hidden="false" customHeight="true" outlineLevel="0" collapsed="false">
      <c r="A478" s="2" t="str">
        <f aca="false">HYPERLINK("https://www.fabsurplus.com/sdi_catalog/salesItemDetails.do?id=115030")</f>
        <v>https://www.fabsurplus.com/sdi_catalog/salesItemDetails.do?id=115030</v>
      </c>
      <c r="B478" s="2" t="s">
        <v>1199</v>
      </c>
      <c r="C478" s="2" t="s">
        <v>1050</v>
      </c>
      <c r="D478" s="2" t="s">
        <v>1200</v>
      </c>
      <c r="E478" s="2" t="s">
        <v>1201</v>
      </c>
      <c r="F478" s="2" t="s">
        <v>16</v>
      </c>
      <c r="G478" s="2" t="s">
        <v>26</v>
      </c>
      <c r="H478" s="2"/>
      <c r="I478" s="2"/>
      <c r="J478" s="2" t="s">
        <v>19</v>
      </c>
      <c r="K478" s="2"/>
      <c r="L478" s="2" t="s">
        <v>63</v>
      </c>
    </row>
    <row r="479" customFormat="false" ht="11.9" hidden="false" customHeight="true" outlineLevel="0" collapsed="false">
      <c r="A479" s="3" t="str">
        <f aca="false">HYPERLINK("https://www.fabsurplus.com/sdi_catalog/salesItemDetails.do?id=114929")</f>
        <v>https://www.fabsurplus.com/sdi_catalog/salesItemDetails.do?id=114929</v>
      </c>
      <c r="B479" s="3" t="s">
        <v>1202</v>
      </c>
      <c r="C479" s="3" t="s">
        <v>1050</v>
      </c>
      <c r="D479" s="3" t="s">
        <v>1203</v>
      </c>
      <c r="E479" s="3" t="s">
        <v>1204</v>
      </c>
      <c r="F479" s="3" t="s">
        <v>16</v>
      </c>
      <c r="G479" s="3" t="s">
        <v>26</v>
      </c>
      <c r="H479" s="3"/>
      <c r="I479" s="3"/>
      <c r="J479" s="3" t="s">
        <v>19</v>
      </c>
      <c r="K479" s="3"/>
      <c r="L479" s="3" t="s">
        <v>63</v>
      </c>
    </row>
    <row r="480" customFormat="false" ht="11.9" hidden="false" customHeight="true" outlineLevel="0" collapsed="false">
      <c r="A480" s="3" t="str">
        <f aca="false">HYPERLINK("https://www.fabsurplus.com/sdi_catalog/salesItemDetails.do?id=114930")</f>
        <v>https://www.fabsurplus.com/sdi_catalog/salesItemDetails.do?id=114930</v>
      </c>
      <c r="B480" s="3" t="s">
        <v>1205</v>
      </c>
      <c r="C480" s="3" t="s">
        <v>1050</v>
      </c>
      <c r="D480" s="3" t="s">
        <v>1206</v>
      </c>
      <c r="E480" s="3" t="s">
        <v>1207</v>
      </c>
      <c r="F480" s="3" t="s">
        <v>16</v>
      </c>
      <c r="G480" s="3" t="s">
        <v>26</v>
      </c>
      <c r="H480" s="3"/>
      <c r="I480" s="3"/>
      <c r="J480" s="3" t="s">
        <v>19</v>
      </c>
      <c r="K480" s="3"/>
      <c r="L480" s="3" t="s">
        <v>63</v>
      </c>
    </row>
    <row r="481" customFormat="false" ht="11.9" hidden="false" customHeight="true" outlineLevel="0" collapsed="false">
      <c r="A481" s="3" t="str">
        <f aca="false">HYPERLINK("https://www.fabsurplus.com/sdi_catalog/salesItemDetails.do?id=115023")</f>
        <v>https://www.fabsurplus.com/sdi_catalog/salesItemDetails.do?id=115023</v>
      </c>
      <c r="B481" s="3" t="s">
        <v>1208</v>
      </c>
      <c r="C481" s="3" t="s">
        <v>1050</v>
      </c>
      <c r="D481" s="3" t="s">
        <v>1209</v>
      </c>
      <c r="E481" s="3" t="s">
        <v>1210</v>
      </c>
      <c r="F481" s="3" t="s">
        <v>77</v>
      </c>
      <c r="G481" s="3" t="s">
        <v>26</v>
      </c>
      <c r="H481" s="3"/>
      <c r="I481" s="3"/>
      <c r="J481" s="3" t="s">
        <v>19</v>
      </c>
      <c r="K481" s="3"/>
      <c r="L481" s="3" t="s">
        <v>63</v>
      </c>
    </row>
    <row r="482" customFormat="false" ht="11.9" hidden="false" customHeight="true" outlineLevel="0" collapsed="false">
      <c r="A482" s="3" t="str">
        <f aca="false">HYPERLINK("https://www.fabsurplus.com/sdi_catalog/salesItemDetails.do?id=115095")</f>
        <v>https://www.fabsurplus.com/sdi_catalog/salesItemDetails.do?id=115095</v>
      </c>
      <c r="B482" s="3" t="s">
        <v>1211</v>
      </c>
      <c r="C482" s="3" t="s">
        <v>1050</v>
      </c>
      <c r="D482" s="3" t="s">
        <v>1212</v>
      </c>
      <c r="E482" s="3" t="s">
        <v>1213</v>
      </c>
      <c r="F482" s="3" t="s">
        <v>77</v>
      </c>
      <c r="G482" s="3" t="s">
        <v>26</v>
      </c>
      <c r="H482" s="3"/>
      <c r="I482" s="3"/>
      <c r="J482" s="3" t="s">
        <v>19</v>
      </c>
      <c r="K482" s="3"/>
      <c r="L482" s="3" t="s">
        <v>63</v>
      </c>
    </row>
    <row r="483" customFormat="false" ht="11.9" hidden="false" customHeight="true" outlineLevel="0" collapsed="false">
      <c r="A483" s="2" t="str">
        <f aca="false">HYPERLINK("https://www.fabsurplus.com/sdi_catalog/salesItemDetails.do?id=114666")</f>
        <v>https://www.fabsurplus.com/sdi_catalog/salesItemDetails.do?id=114666</v>
      </c>
      <c r="B483" s="2" t="s">
        <v>1214</v>
      </c>
      <c r="C483" s="2" t="s">
        <v>1050</v>
      </c>
      <c r="D483" s="2" t="s">
        <v>1215</v>
      </c>
      <c r="E483" s="2" t="s">
        <v>1216</v>
      </c>
      <c r="F483" s="2" t="s">
        <v>16</v>
      </c>
      <c r="G483" s="2" t="s">
        <v>26</v>
      </c>
      <c r="H483" s="2"/>
      <c r="I483" s="2"/>
      <c r="J483" s="2" t="s">
        <v>19</v>
      </c>
      <c r="K483" s="2"/>
      <c r="L483" s="2" t="s">
        <v>63</v>
      </c>
    </row>
    <row r="484" customFormat="false" ht="11.9" hidden="false" customHeight="true" outlineLevel="0" collapsed="false">
      <c r="A484" s="3" t="str">
        <f aca="false">HYPERLINK("https://www.fabsurplus.com/sdi_catalog/salesItemDetails.do?id=115134")</f>
        <v>https://www.fabsurplus.com/sdi_catalog/salesItemDetails.do?id=115134</v>
      </c>
      <c r="B484" s="3" t="s">
        <v>1217</v>
      </c>
      <c r="C484" s="3" t="s">
        <v>1050</v>
      </c>
      <c r="D484" s="3" t="s">
        <v>1218</v>
      </c>
      <c r="E484" s="3" t="s">
        <v>1219</v>
      </c>
      <c r="F484" s="3" t="s">
        <v>16</v>
      </c>
      <c r="G484" s="3" t="s">
        <v>26</v>
      </c>
      <c r="H484" s="3"/>
      <c r="I484" s="3"/>
      <c r="J484" s="3" t="s">
        <v>19</v>
      </c>
      <c r="K484" s="3"/>
      <c r="L484" s="3" t="s">
        <v>63</v>
      </c>
    </row>
    <row r="485" customFormat="false" ht="11.9" hidden="false" customHeight="true" outlineLevel="0" collapsed="false">
      <c r="A485" s="2" t="str">
        <f aca="false">HYPERLINK("https://www.fabsurplus.com/sdi_catalog/salesItemDetails.do?id=114720")</f>
        <v>https://www.fabsurplus.com/sdi_catalog/salesItemDetails.do?id=114720</v>
      </c>
      <c r="B485" s="2" t="s">
        <v>1220</v>
      </c>
      <c r="C485" s="2" t="s">
        <v>1050</v>
      </c>
      <c r="D485" s="2" t="s">
        <v>1221</v>
      </c>
      <c r="E485" s="2" t="s">
        <v>1222</v>
      </c>
      <c r="F485" s="2" t="s">
        <v>16</v>
      </c>
      <c r="G485" s="2" t="s">
        <v>26</v>
      </c>
      <c r="H485" s="2"/>
      <c r="I485" s="2"/>
      <c r="J485" s="2" t="s">
        <v>19</v>
      </c>
      <c r="K485" s="2"/>
      <c r="L485" s="2" t="s">
        <v>63</v>
      </c>
    </row>
    <row r="486" customFormat="false" ht="11.9" hidden="false" customHeight="true" outlineLevel="0" collapsed="false">
      <c r="A486" s="2" t="str">
        <f aca="false">HYPERLINK("https://www.fabsurplus.com/sdi_catalog/salesItemDetails.do?id=115135")</f>
        <v>https://www.fabsurplus.com/sdi_catalog/salesItemDetails.do?id=115135</v>
      </c>
      <c r="B486" s="2" t="s">
        <v>1223</v>
      </c>
      <c r="C486" s="2" t="s">
        <v>1050</v>
      </c>
      <c r="D486" s="2" t="s">
        <v>1224</v>
      </c>
      <c r="E486" s="2" t="s">
        <v>1225</v>
      </c>
      <c r="F486" s="2" t="s">
        <v>16</v>
      </c>
      <c r="G486" s="2" t="s">
        <v>26</v>
      </c>
      <c r="H486" s="2"/>
      <c r="I486" s="2"/>
      <c r="J486" s="2" t="s">
        <v>19</v>
      </c>
      <c r="K486" s="2"/>
      <c r="L486" s="2" t="s">
        <v>63</v>
      </c>
    </row>
    <row r="487" customFormat="false" ht="11.9" hidden="false" customHeight="true" outlineLevel="0" collapsed="false">
      <c r="A487" s="2" t="str">
        <f aca="false">HYPERLINK("https://www.fabsurplus.com/sdi_catalog/salesItemDetails.do?id=115197")</f>
        <v>https://www.fabsurplus.com/sdi_catalog/salesItemDetails.do?id=115197</v>
      </c>
      <c r="B487" s="2" t="s">
        <v>1226</v>
      </c>
      <c r="C487" s="2" t="s">
        <v>1050</v>
      </c>
      <c r="D487" s="2" t="s">
        <v>1227</v>
      </c>
      <c r="E487" s="2" t="s">
        <v>1228</v>
      </c>
      <c r="F487" s="2" t="s">
        <v>69</v>
      </c>
      <c r="G487" s="2" t="s">
        <v>26</v>
      </c>
      <c r="H487" s="2"/>
      <c r="I487" s="2"/>
      <c r="J487" s="2" t="s">
        <v>19</v>
      </c>
      <c r="K487" s="2"/>
      <c r="L487" s="2" t="s">
        <v>63</v>
      </c>
    </row>
    <row r="488" customFormat="false" ht="11.9" hidden="false" customHeight="true" outlineLevel="0" collapsed="false">
      <c r="A488" s="2" t="str">
        <f aca="false">HYPERLINK("https://www.fabsurplus.com/sdi_catalog/salesItemDetails.do?id=114778")</f>
        <v>https://www.fabsurplus.com/sdi_catalog/salesItemDetails.do?id=114778</v>
      </c>
      <c r="B488" s="2" t="s">
        <v>1229</v>
      </c>
      <c r="C488" s="2" t="s">
        <v>1050</v>
      </c>
      <c r="D488" s="2" t="s">
        <v>1230</v>
      </c>
      <c r="E488" s="2" t="s">
        <v>1231</v>
      </c>
      <c r="F488" s="2" t="s">
        <v>16</v>
      </c>
      <c r="G488" s="2" t="s">
        <v>26</v>
      </c>
      <c r="H488" s="2"/>
      <c r="I488" s="2"/>
      <c r="J488" s="2" t="s">
        <v>19</v>
      </c>
      <c r="K488" s="2"/>
      <c r="L488" s="2" t="s">
        <v>63</v>
      </c>
    </row>
    <row r="489" customFormat="false" ht="11.9" hidden="false" customHeight="true" outlineLevel="0" collapsed="false">
      <c r="A489" s="3" t="str">
        <f aca="false">HYPERLINK("https://www.fabsurplus.com/sdi_catalog/salesItemDetails.do?id=114931")</f>
        <v>https://www.fabsurplus.com/sdi_catalog/salesItemDetails.do?id=114931</v>
      </c>
      <c r="B489" s="3" t="s">
        <v>1232</v>
      </c>
      <c r="C489" s="3" t="s">
        <v>1050</v>
      </c>
      <c r="D489" s="3" t="s">
        <v>1233</v>
      </c>
      <c r="E489" s="3" t="s">
        <v>1234</v>
      </c>
      <c r="F489" s="3" t="s">
        <v>77</v>
      </c>
      <c r="G489" s="3" t="s">
        <v>26</v>
      </c>
      <c r="H489" s="3"/>
      <c r="I489" s="3"/>
      <c r="J489" s="3" t="s">
        <v>19</v>
      </c>
      <c r="K489" s="3"/>
      <c r="L489" s="3" t="s">
        <v>63</v>
      </c>
    </row>
    <row r="490" customFormat="false" ht="11.9" hidden="false" customHeight="true" outlineLevel="0" collapsed="false">
      <c r="A490" s="3" t="str">
        <f aca="false">HYPERLINK("https://www.fabsurplus.com/sdi_catalog/salesItemDetails.do?id=115031")</f>
        <v>https://www.fabsurplus.com/sdi_catalog/salesItemDetails.do?id=115031</v>
      </c>
      <c r="B490" s="3" t="s">
        <v>1235</v>
      </c>
      <c r="C490" s="3" t="s">
        <v>1050</v>
      </c>
      <c r="D490" s="3" t="s">
        <v>1236</v>
      </c>
      <c r="E490" s="3" t="s">
        <v>1237</v>
      </c>
      <c r="F490" s="3" t="s">
        <v>69</v>
      </c>
      <c r="G490" s="3" t="s">
        <v>26</v>
      </c>
      <c r="H490" s="3"/>
      <c r="I490" s="3"/>
      <c r="J490" s="3" t="s">
        <v>19</v>
      </c>
      <c r="K490" s="3"/>
      <c r="L490" s="3" t="s">
        <v>63</v>
      </c>
    </row>
    <row r="491" customFormat="false" ht="11.9" hidden="false" customHeight="true" outlineLevel="0" collapsed="false">
      <c r="A491" s="2" t="str">
        <f aca="false">HYPERLINK("https://www.fabsurplus.com/sdi_catalog/salesItemDetails.do?id=114878")</f>
        <v>https://www.fabsurplus.com/sdi_catalog/salesItemDetails.do?id=114878</v>
      </c>
      <c r="B491" s="2" t="s">
        <v>1238</v>
      </c>
      <c r="C491" s="2" t="s">
        <v>1050</v>
      </c>
      <c r="D491" s="2" t="s">
        <v>1239</v>
      </c>
      <c r="E491" s="2" t="s">
        <v>1240</v>
      </c>
      <c r="F491" s="2" t="s">
        <v>16</v>
      </c>
      <c r="G491" s="2" t="s">
        <v>26</v>
      </c>
      <c r="H491" s="2"/>
      <c r="I491" s="2"/>
      <c r="J491" s="2" t="s">
        <v>19</v>
      </c>
      <c r="K491" s="2"/>
      <c r="L491" s="2" t="s">
        <v>63</v>
      </c>
    </row>
    <row r="492" customFormat="false" ht="11.9" hidden="false" customHeight="true" outlineLevel="0" collapsed="false">
      <c r="A492" s="2" t="str">
        <f aca="false">HYPERLINK("https://www.fabsurplus.com/sdi_catalog/salesItemDetails.do?id=114721")</f>
        <v>https://www.fabsurplus.com/sdi_catalog/salesItemDetails.do?id=114721</v>
      </c>
      <c r="B492" s="2" t="s">
        <v>1241</v>
      </c>
      <c r="C492" s="2" t="s">
        <v>1050</v>
      </c>
      <c r="D492" s="2" t="s">
        <v>1242</v>
      </c>
      <c r="E492" s="2" t="s">
        <v>1243</v>
      </c>
      <c r="F492" s="2" t="s">
        <v>16</v>
      </c>
      <c r="G492" s="2" t="s">
        <v>26</v>
      </c>
      <c r="H492" s="2"/>
      <c r="I492" s="2"/>
      <c r="J492" s="2" t="s">
        <v>19</v>
      </c>
      <c r="K492" s="2"/>
      <c r="L492" s="2" t="s">
        <v>63</v>
      </c>
    </row>
    <row r="493" customFormat="false" ht="11.9" hidden="false" customHeight="true" outlineLevel="0" collapsed="false">
      <c r="A493" s="2" t="str">
        <f aca="false">HYPERLINK("https://www.fabsurplus.com/sdi_catalog/salesItemDetails.do?id=114639")</f>
        <v>https://www.fabsurplus.com/sdi_catalog/salesItemDetails.do?id=114639</v>
      </c>
      <c r="B493" s="2" t="s">
        <v>1244</v>
      </c>
      <c r="C493" s="2" t="s">
        <v>1050</v>
      </c>
      <c r="D493" s="2" t="s">
        <v>1245</v>
      </c>
      <c r="E493" s="2" t="s">
        <v>1246</v>
      </c>
      <c r="F493" s="2" t="s">
        <v>16</v>
      </c>
      <c r="G493" s="2" t="s">
        <v>26</v>
      </c>
      <c r="H493" s="2"/>
      <c r="I493" s="2"/>
      <c r="J493" s="2" t="s">
        <v>19</v>
      </c>
      <c r="K493" s="2"/>
      <c r="L493" s="2" t="s">
        <v>63</v>
      </c>
    </row>
    <row r="494" customFormat="false" ht="11.9" hidden="false" customHeight="true" outlineLevel="0" collapsed="false">
      <c r="A494" s="2" t="str">
        <f aca="false">HYPERLINK("https://www.fabsurplus.com/sdi_catalog/salesItemDetails.do?id=114757")</f>
        <v>https://www.fabsurplus.com/sdi_catalog/salesItemDetails.do?id=114757</v>
      </c>
      <c r="B494" s="2" t="s">
        <v>1247</v>
      </c>
      <c r="C494" s="2" t="s">
        <v>1050</v>
      </c>
      <c r="D494" s="2" t="s">
        <v>1248</v>
      </c>
      <c r="E494" s="2" t="s">
        <v>1249</v>
      </c>
      <c r="F494" s="2" t="s">
        <v>104</v>
      </c>
      <c r="G494" s="2" t="s">
        <v>26</v>
      </c>
      <c r="H494" s="2"/>
      <c r="I494" s="2"/>
      <c r="J494" s="2" t="s">
        <v>19</v>
      </c>
      <c r="K494" s="2"/>
      <c r="L494" s="2" t="s">
        <v>63</v>
      </c>
    </row>
    <row r="495" customFormat="false" ht="11.9" hidden="false" customHeight="true" outlineLevel="0" collapsed="false">
      <c r="A495" s="2" t="str">
        <f aca="false">HYPERLINK("https://www.fabsurplus.com/sdi_catalog/salesItemDetails.do?id=115032")</f>
        <v>https://www.fabsurplus.com/sdi_catalog/salesItemDetails.do?id=115032</v>
      </c>
      <c r="B495" s="2" t="s">
        <v>1250</v>
      </c>
      <c r="C495" s="2" t="s">
        <v>1050</v>
      </c>
      <c r="D495" s="2" t="s">
        <v>1251</v>
      </c>
      <c r="E495" s="2" t="s">
        <v>1252</v>
      </c>
      <c r="F495" s="2" t="s">
        <v>16</v>
      </c>
      <c r="G495" s="2" t="s">
        <v>26</v>
      </c>
      <c r="H495" s="2"/>
      <c r="I495" s="2"/>
      <c r="J495" s="2" t="s">
        <v>19</v>
      </c>
      <c r="K495" s="2"/>
      <c r="L495" s="2" t="s">
        <v>63</v>
      </c>
    </row>
    <row r="496" customFormat="false" ht="11.9" hidden="false" customHeight="true" outlineLevel="0" collapsed="false">
      <c r="A496" s="2" t="str">
        <f aca="false">HYPERLINK("https://www.fabsurplus.com/sdi_catalog/salesItemDetails.do?id=114597")</f>
        <v>https://www.fabsurplus.com/sdi_catalog/salesItemDetails.do?id=114597</v>
      </c>
      <c r="B496" s="2" t="s">
        <v>1253</v>
      </c>
      <c r="C496" s="2" t="s">
        <v>1050</v>
      </c>
      <c r="D496" s="2" t="s">
        <v>1254</v>
      </c>
      <c r="E496" s="2" t="s">
        <v>1255</v>
      </c>
      <c r="F496" s="2" t="s">
        <v>16</v>
      </c>
      <c r="G496" s="2" t="s">
        <v>26</v>
      </c>
      <c r="H496" s="2"/>
      <c r="I496" s="2"/>
      <c r="J496" s="2" t="s">
        <v>19</v>
      </c>
      <c r="K496" s="2"/>
      <c r="L496" s="2" t="s">
        <v>63</v>
      </c>
    </row>
    <row r="497" customFormat="false" ht="11.9" hidden="false" customHeight="true" outlineLevel="0" collapsed="false">
      <c r="A497" s="2" t="str">
        <f aca="false">HYPERLINK("https://www.fabsurplus.com/sdi_catalog/salesItemDetails.do?id=115099")</f>
        <v>https://www.fabsurplus.com/sdi_catalog/salesItemDetails.do?id=115099</v>
      </c>
      <c r="B497" s="2" t="s">
        <v>1256</v>
      </c>
      <c r="C497" s="2" t="s">
        <v>1050</v>
      </c>
      <c r="D497" s="2" t="s">
        <v>1257</v>
      </c>
      <c r="E497" s="2" t="s">
        <v>1258</v>
      </c>
      <c r="F497" s="2" t="s">
        <v>101</v>
      </c>
      <c r="G497" s="2" t="s">
        <v>26</v>
      </c>
      <c r="H497" s="2"/>
      <c r="I497" s="2"/>
      <c r="J497" s="2" t="s">
        <v>19</v>
      </c>
      <c r="K497" s="2"/>
      <c r="L497" s="2" t="s">
        <v>63</v>
      </c>
    </row>
    <row r="498" customFormat="false" ht="11.9" hidden="false" customHeight="true" outlineLevel="0" collapsed="false">
      <c r="A498" s="3" t="str">
        <f aca="false">HYPERLINK("https://www.fabsurplus.com/sdi_catalog/salesItemDetails.do?id=115198")</f>
        <v>https://www.fabsurplus.com/sdi_catalog/salesItemDetails.do?id=115198</v>
      </c>
      <c r="B498" s="3" t="s">
        <v>1259</v>
      </c>
      <c r="C498" s="3" t="s">
        <v>1050</v>
      </c>
      <c r="D498" s="3" t="s">
        <v>1260</v>
      </c>
      <c r="E498" s="3" t="s">
        <v>1261</v>
      </c>
      <c r="F498" s="3" t="s">
        <v>16</v>
      </c>
      <c r="G498" s="3" t="s">
        <v>26</v>
      </c>
      <c r="H498" s="3"/>
      <c r="I498" s="3"/>
      <c r="J498" s="3" t="s">
        <v>19</v>
      </c>
      <c r="K498" s="3"/>
      <c r="L498" s="3" t="s">
        <v>63</v>
      </c>
    </row>
    <row r="499" customFormat="false" ht="11.9" hidden="false" customHeight="true" outlineLevel="0" collapsed="false">
      <c r="A499" s="3" t="str">
        <f aca="false">HYPERLINK("https://www.fabsurplus.com/sdi_catalog/salesItemDetails.do?id=114812")</f>
        <v>https://www.fabsurplus.com/sdi_catalog/salesItemDetails.do?id=114812</v>
      </c>
      <c r="B499" s="3" t="s">
        <v>1262</v>
      </c>
      <c r="C499" s="3" t="s">
        <v>1050</v>
      </c>
      <c r="D499" s="3" t="s">
        <v>1263</v>
      </c>
      <c r="E499" s="3" t="s">
        <v>1264</v>
      </c>
      <c r="F499" s="3" t="s">
        <v>77</v>
      </c>
      <c r="G499" s="3" t="s">
        <v>26</v>
      </c>
      <c r="H499" s="3"/>
      <c r="I499" s="3"/>
      <c r="J499" s="3" t="s">
        <v>19</v>
      </c>
      <c r="K499" s="3"/>
      <c r="L499" s="3" t="s">
        <v>63</v>
      </c>
    </row>
    <row r="500" customFormat="false" ht="11.9" hidden="false" customHeight="true" outlineLevel="0" collapsed="false">
      <c r="A500" s="2" t="str">
        <f aca="false">HYPERLINK("https://www.fabsurplus.com/sdi_catalog/salesItemDetails.do?id=114779")</f>
        <v>https://www.fabsurplus.com/sdi_catalog/salesItemDetails.do?id=114779</v>
      </c>
      <c r="B500" s="2" t="s">
        <v>1265</v>
      </c>
      <c r="C500" s="2" t="s">
        <v>1050</v>
      </c>
      <c r="D500" s="2" t="s">
        <v>1263</v>
      </c>
      <c r="E500" s="2" t="s">
        <v>1266</v>
      </c>
      <c r="F500" s="2" t="s">
        <v>77</v>
      </c>
      <c r="G500" s="2" t="s">
        <v>26</v>
      </c>
      <c r="H500" s="2"/>
      <c r="I500" s="2"/>
      <c r="J500" s="2" t="s">
        <v>19</v>
      </c>
      <c r="K500" s="2"/>
      <c r="L500" s="2" t="s">
        <v>63</v>
      </c>
    </row>
    <row r="501" customFormat="false" ht="11.9" hidden="false" customHeight="true" outlineLevel="0" collapsed="false">
      <c r="A501" s="3" t="str">
        <f aca="false">HYPERLINK("https://www.fabsurplus.com/sdi_catalog/salesItemDetails.do?id=114667")</f>
        <v>https://www.fabsurplus.com/sdi_catalog/salesItemDetails.do?id=114667</v>
      </c>
      <c r="B501" s="3" t="s">
        <v>1267</v>
      </c>
      <c r="C501" s="3" t="s">
        <v>1050</v>
      </c>
      <c r="D501" s="3" t="s">
        <v>1268</v>
      </c>
      <c r="E501" s="3" t="s">
        <v>1269</v>
      </c>
      <c r="F501" s="3" t="s">
        <v>16</v>
      </c>
      <c r="G501" s="3" t="s">
        <v>26</v>
      </c>
      <c r="H501" s="3"/>
      <c r="I501" s="3"/>
      <c r="J501" s="3" t="s">
        <v>19</v>
      </c>
      <c r="K501" s="3"/>
      <c r="L501" s="3" t="s">
        <v>63</v>
      </c>
    </row>
    <row r="502" customFormat="false" ht="11.9" hidden="false" customHeight="true" outlineLevel="0" collapsed="false">
      <c r="A502" s="3" t="str">
        <f aca="false">HYPERLINK("https://www.fabsurplus.com/sdi_catalog/salesItemDetails.do?id=115033")</f>
        <v>https://www.fabsurplus.com/sdi_catalog/salesItemDetails.do?id=115033</v>
      </c>
      <c r="B502" s="3" t="s">
        <v>1270</v>
      </c>
      <c r="C502" s="3" t="s">
        <v>1050</v>
      </c>
      <c r="D502" s="3" t="s">
        <v>1271</v>
      </c>
      <c r="E502" s="3" t="s">
        <v>1272</v>
      </c>
      <c r="F502" s="3" t="s">
        <v>16</v>
      </c>
      <c r="G502" s="3" t="s">
        <v>26</v>
      </c>
      <c r="H502" s="3"/>
      <c r="I502" s="3"/>
      <c r="J502" s="3" t="s">
        <v>19</v>
      </c>
      <c r="K502" s="3"/>
      <c r="L502" s="3" t="s">
        <v>63</v>
      </c>
    </row>
    <row r="503" customFormat="false" ht="11.9" hidden="false" customHeight="true" outlineLevel="0" collapsed="false">
      <c r="A503" s="2" t="str">
        <f aca="false">HYPERLINK("https://www.fabsurplus.com/sdi_catalog/salesItemDetails.do?id=114932")</f>
        <v>https://www.fabsurplus.com/sdi_catalog/salesItemDetails.do?id=114932</v>
      </c>
      <c r="B503" s="2" t="s">
        <v>1273</v>
      </c>
      <c r="C503" s="2" t="s">
        <v>1050</v>
      </c>
      <c r="D503" s="2" t="s">
        <v>1274</v>
      </c>
      <c r="E503" s="2" t="s">
        <v>1275</v>
      </c>
      <c r="F503" s="2" t="s">
        <v>16</v>
      </c>
      <c r="G503" s="2" t="s">
        <v>26</v>
      </c>
      <c r="H503" s="2"/>
      <c r="I503" s="2"/>
      <c r="J503" s="2" t="s">
        <v>19</v>
      </c>
      <c r="K503" s="2"/>
      <c r="L503" s="2" t="s">
        <v>63</v>
      </c>
    </row>
    <row r="504" customFormat="false" ht="11.9" hidden="false" customHeight="true" outlineLevel="0" collapsed="false">
      <c r="A504" s="2" t="str">
        <f aca="false">HYPERLINK("https://www.fabsurplus.com/sdi_catalog/salesItemDetails.do?id=114591")</f>
        <v>https://www.fabsurplus.com/sdi_catalog/salesItemDetails.do?id=114591</v>
      </c>
      <c r="B504" s="2" t="s">
        <v>1276</v>
      </c>
      <c r="C504" s="2" t="s">
        <v>1050</v>
      </c>
      <c r="D504" s="2" t="s">
        <v>1277</v>
      </c>
      <c r="E504" s="2" t="s">
        <v>1151</v>
      </c>
      <c r="F504" s="2" t="s">
        <v>16</v>
      </c>
      <c r="G504" s="2" t="s">
        <v>26</v>
      </c>
      <c r="H504" s="2"/>
      <c r="I504" s="2"/>
      <c r="J504" s="2" t="s">
        <v>19</v>
      </c>
      <c r="K504" s="2"/>
      <c r="L504" s="2" t="s">
        <v>63</v>
      </c>
    </row>
    <row r="505" customFormat="false" ht="11.9" hidden="false" customHeight="true" outlineLevel="0" collapsed="false">
      <c r="A505" s="3" t="str">
        <f aca="false">HYPERLINK("https://www.fabsurplus.com/sdi_catalog/salesItemDetails.do?id=114879")</f>
        <v>https://www.fabsurplus.com/sdi_catalog/salesItemDetails.do?id=114879</v>
      </c>
      <c r="B505" s="3" t="s">
        <v>1278</v>
      </c>
      <c r="C505" s="3" t="s">
        <v>1050</v>
      </c>
      <c r="D505" s="3" t="s">
        <v>1279</v>
      </c>
      <c r="E505" s="3" t="s">
        <v>1280</v>
      </c>
      <c r="F505" s="3" t="s">
        <v>16</v>
      </c>
      <c r="G505" s="3" t="s">
        <v>26</v>
      </c>
      <c r="H505" s="3"/>
      <c r="I505" s="3"/>
      <c r="J505" s="3" t="s">
        <v>19</v>
      </c>
      <c r="K505" s="3"/>
      <c r="L505" s="3" t="s">
        <v>63</v>
      </c>
    </row>
    <row r="506" customFormat="false" ht="11.9" hidden="false" customHeight="true" outlineLevel="0" collapsed="false">
      <c r="A506" s="3" t="str">
        <f aca="false">HYPERLINK("https://www.fabsurplus.com/sdi_catalog/salesItemDetails.do?id=114978")</f>
        <v>https://www.fabsurplus.com/sdi_catalog/salesItemDetails.do?id=114978</v>
      </c>
      <c r="B506" s="3" t="s">
        <v>1281</v>
      </c>
      <c r="C506" s="3" t="s">
        <v>1050</v>
      </c>
      <c r="D506" s="3" t="s">
        <v>1282</v>
      </c>
      <c r="E506" s="3" t="s">
        <v>1283</v>
      </c>
      <c r="F506" s="3" t="s">
        <v>77</v>
      </c>
      <c r="G506" s="3" t="s">
        <v>26</v>
      </c>
      <c r="H506" s="3"/>
      <c r="I506" s="3"/>
      <c r="J506" s="3" t="s">
        <v>19</v>
      </c>
      <c r="K506" s="3"/>
      <c r="L506" s="3" t="s">
        <v>63</v>
      </c>
    </row>
    <row r="507" customFormat="false" ht="11.9" hidden="false" customHeight="true" outlineLevel="0" collapsed="false">
      <c r="A507" s="2" t="str">
        <f aca="false">HYPERLINK("https://www.fabsurplus.com/sdi_catalog/salesItemDetails.do?id=114640")</f>
        <v>https://www.fabsurplus.com/sdi_catalog/salesItemDetails.do?id=114640</v>
      </c>
      <c r="B507" s="2" t="s">
        <v>1284</v>
      </c>
      <c r="C507" s="2" t="s">
        <v>1050</v>
      </c>
      <c r="D507" s="2" t="s">
        <v>1285</v>
      </c>
      <c r="E507" s="2" t="s">
        <v>1286</v>
      </c>
      <c r="F507" s="2" t="s">
        <v>16</v>
      </c>
      <c r="G507" s="2" t="s">
        <v>26</v>
      </c>
      <c r="H507" s="2"/>
      <c r="I507" s="2"/>
      <c r="J507" s="2" t="s">
        <v>19</v>
      </c>
      <c r="K507" s="2"/>
      <c r="L507" s="2" t="s">
        <v>63</v>
      </c>
    </row>
    <row r="508" customFormat="false" ht="11.9" hidden="false" customHeight="true" outlineLevel="0" collapsed="false">
      <c r="A508" s="2" t="str">
        <f aca="false">HYPERLINK("https://www.fabsurplus.com/sdi_catalog/salesItemDetails.do?id=114722")</f>
        <v>https://www.fabsurplus.com/sdi_catalog/salesItemDetails.do?id=114722</v>
      </c>
      <c r="B508" s="2" t="s">
        <v>1287</v>
      </c>
      <c r="C508" s="2" t="s">
        <v>1050</v>
      </c>
      <c r="D508" s="2" t="s">
        <v>1288</v>
      </c>
      <c r="E508" s="2" t="s">
        <v>1289</v>
      </c>
      <c r="F508" s="2" t="s">
        <v>16</v>
      </c>
      <c r="G508" s="2" t="s">
        <v>26</v>
      </c>
      <c r="H508" s="2"/>
      <c r="I508" s="2"/>
      <c r="J508" s="2" t="s">
        <v>19</v>
      </c>
      <c r="K508" s="2"/>
      <c r="L508" s="2" t="s">
        <v>63</v>
      </c>
    </row>
    <row r="509" customFormat="false" ht="11.9" hidden="false" customHeight="true" outlineLevel="0" collapsed="false">
      <c r="A509" s="3" t="str">
        <f aca="false">HYPERLINK("https://www.fabsurplus.com/sdi_catalog/salesItemDetails.do?id=115199")</f>
        <v>https://www.fabsurplus.com/sdi_catalog/salesItemDetails.do?id=115199</v>
      </c>
      <c r="B509" s="3" t="s">
        <v>1290</v>
      </c>
      <c r="C509" s="3" t="s">
        <v>1050</v>
      </c>
      <c r="D509" s="3" t="s">
        <v>1291</v>
      </c>
      <c r="E509" s="3" t="s">
        <v>1292</v>
      </c>
      <c r="F509" s="3" t="s">
        <v>77</v>
      </c>
      <c r="G509" s="3" t="s">
        <v>26</v>
      </c>
      <c r="H509" s="3"/>
      <c r="I509" s="3"/>
      <c r="J509" s="3" t="s">
        <v>19</v>
      </c>
      <c r="K509" s="3"/>
      <c r="L509" s="3" t="s">
        <v>63</v>
      </c>
    </row>
    <row r="510" customFormat="false" ht="11.9" hidden="false" customHeight="true" outlineLevel="0" collapsed="false">
      <c r="A510" s="2" t="str">
        <f aca="false">HYPERLINK("https://www.fabsurplus.com/sdi_catalog/salesItemDetails.do?id=114758")</f>
        <v>https://www.fabsurplus.com/sdi_catalog/salesItemDetails.do?id=114758</v>
      </c>
      <c r="B510" s="2" t="s">
        <v>1293</v>
      </c>
      <c r="C510" s="2" t="s">
        <v>1050</v>
      </c>
      <c r="D510" s="2" t="s">
        <v>1294</v>
      </c>
      <c r="E510" s="2" t="s">
        <v>1295</v>
      </c>
      <c r="F510" s="2" t="s">
        <v>16</v>
      </c>
      <c r="G510" s="2" t="s">
        <v>26</v>
      </c>
      <c r="H510" s="2"/>
      <c r="I510" s="2"/>
      <c r="J510" s="2" t="s">
        <v>19</v>
      </c>
      <c r="K510" s="2"/>
      <c r="L510" s="2" t="s">
        <v>63</v>
      </c>
    </row>
    <row r="511" customFormat="false" ht="11.9" hidden="false" customHeight="true" outlineLevel="0" collapsed="false">
      <c r="A511" s="2" t="str">
        <f aca="false">HYPERLINK("https://www.fabsurplus.com/sdi_catalog/salesItemDetails.do?id=114695")</f>
        <v>https://www.fabsurplus.com/sdi_catalog/salesItemDetails.do?id=114695</v>
      </c>
      <c r="B511" s="2" t="s">
        <v>1296</v>
      </c>
      <c r="C511" s="2" t="s">
        <v>1050</v>
      </c>
      <c r="D511" s="2" t="s">
        <v>1294</v>
      </c>
      <c r="E511" s="2" t="s">
        <v>1297</v>
      </c>
      <c r="F511" s="2" t="s">
        <v>16</v>
      </c>
      <c r="G511" s="2" t="s">
        <v>26</v>
      </c>
      <c r="H511" s="2"/>
      <c r="I511" s="2"/>
      <c r="J511" s="2" t="s">
        <v>19</v>
      </c>
      <c r="K511" s="2"/>
      <c r="L511" s="2" t="s">
        <v>63</v>
      </c>
    </row>
    <row r="512" customFormat="false" ht="11.9" hidden="false" customHeight="true" outlineLevel="0" collapsed="false">
      <c r="A512" s="3" t="str">
        <f aca="false">HYPERLINK("https://www.fabsurplus.com/sdi_catalog/salesItemDetails.do?id=114696")</f>
        <v>https://www.fabsurplus.com/sdi_catalog/salesItemDetails.do?id=114696</v>
      </c>
      <c r="B512" s="3" t="s">
        <v>1298</v>
      </c>
      <c r="C512" s="3" t="s">
        <v>1050</v>
      </c>
      <c r="D512" s="3" t="s">
        <v>1299</v>
      </c>
      <c r="E512" s="3" t="s">
        <v>1300</v>
      </c>
      <c r="F512" s="3" t="s">
        <v>16</v>
      </c>
      <c r="G512" s="3" t="s">
        <v>26</v>
      </c>
      <c r="H512" s="3"/>
      <c r="I512" s="3"/>
      <c r="J512" s="3" t="s">
        <v>19</v>
      </c>
      <c r="K512" s="3"/>
      <c r="L512" s="3" t="s">
        <v>63</v>
      </c>
    </row>
    <row r="513" customFormat="false" ht="11.9" hidden="false" customHeight="true" outlineLevel="0" collapsed="false">
      <c r="A513" s="2" t="str">
        <f aca="false">HYPERLINK("https://www.fabsurplus.com/sdi_catalog/salesItemDetails.do?id=114668")</f>
        <v>https://www.fabsurplus.com/sdi_catalog/salesItemDetails.do?id=114668</v>
      </c>
      <c r="B513" s="2" t="s">
        <v>1301</v>
      </c>
      <c r="C513" s="2" t="s">
        <v>1050</v>
      </c>
      <c r="D513" s="2" t="s">
        <v>1302</v>
      </c>
      <c r="E513" s="2" t="s">
        <v>1303</v>
      </c>
      <c r="F513" s="2" t="s">
        <v>16</v>
      </c>
      <c r="G513" s="2" t="s">
        <v>26</v>
      </c>
      <c r="H513" s="2"/>
      <c r="I513" s="2"/>
      <c r="J513" s="2" t="s">
        <v>19</v>
      </c>
      <c r="K513" s="2"/>
      <c r="L513" s="2" t="s">
        <v>63</v>
      </c>
    </row>
    <row r="514" customFormat="false" ht="11.9" hidden="false" customHeight="true" outlineLevel="0" collapsed="false">
      <c r="A514" s="3" t="str">
        <f aca="false">HYPERLINK("https://www.fabsurplus.com/sdi_catalog/salesItemDetails.do?id=115200")</f>
        <v>https://www.fabsurplus.com/sdi_catalog/salesItemDetails.do?id=115200</v>
      </c>
      <c r="B514" s="3" t="s">
        <v>1304</v>
      </c>
      <c r="C514" s="3" t="s">
        <v>1050</v>
      </c>
      <c r="D514" s="3" t="s">
        <v>1305</v>
      </c>
      <c r="E514" s="3" t="s">
        <v>1306</v>
      </c>
      <c r="F514" s="3" t="s">
        <v>16</v>
      </c>
      <c r="G514" s="3" t="s">
        <v>26</v>
      </c>
      <c r="H514" s="3"/>
      <c r="I514" s="3"/>
      <c r="J514" s="3" t="s">
        <v>19</v>
      </c>
      <c r="K514" s="3"/>
      <c r="L514" s="3" t="s">
        <v>63</v>
      </c>
    </row>
    <row r="515" customFormat="false" ht="11.9" hidden="false" customHeight="true" outlineLevel="0" collapsed="false">
      <c r="A515" s="3" t="str">
        <f aca="false">HYPERLINK("https://www.fabsurplus.com/sdi_catalog/salesItemDetails.do?id=115034")</f>
        <v>https://www.fabsurplus.com/sdi_catalog/salesItemDetails.do?id=115034</v>
      </c>
      <c r="B515" s="3" t="s">
        <v>1307</v>
      </c>
      <c r="C515" s="3" t="s">
        <v>1050</v>
      </c>
      <c r="D515" s="3" t="s">
        <v>1308</v>
      </c>
      <c r="E515" s="3" t="s">
        <v>1309</v>
      </c>
      <c r="F515" s="3" t="s">
        <v>77</v>
      </c>
      <c r="G515" s="3" t="s">
        <v>26</v>
      </c>
      <c r="H515" s="3"/>
      <c r="I515" s="3"/>
      <c r="J515" s="3" t="s">
        <v>19</v>
      </c>
      <c r="K515" s="3"/>
      <c r="L515" s="3" t="s">
        <v>63</v>
      </c>
    </row>
    <row r="516" customFormat="false" ht="11.9" hidden="false" customHeight="true" outlineLevel="0" collapsed="false">
      <c r="A516" s="3" t="str">
        <f aca="false">HYPERLINK("https://www.fabsurplus.com/sdi_catalog/salesItemDetails.do?id=114813")</f>
        <v>https://www.fabsurplus.com/sdi_catalog/salesItemDetails.do?id=114813</v>
      </c>
      <c r="B516" s="3" t="s">
        <v>1310</v>
      </c>
      <c r="C516" s="3" t="s">
        <v>1050</v>
      </c>
      <c r="D516" s="3" t="s">
        <v>1311</v>
      </c>
      <c r="E516" s="3" t="s">
        <v>1312</v>
      </c>
      <c r="F516" s="3" t="s">
        <v>16</v>
      </c>
      <c r="G516" s="3" t="s">
        <v>26</v>
      </c>
      <c r="H516" s="3"/>
      <c r="I516" s="3"/>
      <c r="J516" s="3" t="s">
        <v>19</v>
      </c>
      <c r="K516" s="3"/>
      <c r="L516" s="3" t="s">
        <v>63</v>
      </c>
    </row>
    <row r="517" customFormat="false" ht="11.9" hidden="false" customHeight="true" outlineLevel="0" collapsed="false">
      <c r="A517" s="2" t="str">
        <f aca="false">HYPERLINK("https://www.fabsurplus.com/sdi_catalog/salesItemDetails.do?id=114780")</f>
        <v>https://www.fabsurplus.com/sdi_catalog/salesItemDetails.do?id=114780</v>
      </c>
      <c r="B517" s="2" t="s">
        <v>1313</v>
      </c>
      <c r="C517" s="2" t="s">
        <v>1050</v>
      </c>
      <c r="D517" s="2" t="s">
        <v>1314</v>
      </c>
      <c r="E517" s="2" t="s">
        <v>1315</v>
      </c>
      <c r="F517" s="2" t="s">
        <v>104</v>
      </c>
      <c r="G517" s="2" t="s">
        <v>26</v>
      </c>
      <c r="H517" s="2"/>
      <c r="I517" s="2"/>
      <c r="J517" s="2" t="s">
        <v>19</v>
      </c>
      <c r="K517" s="2"/>
      <c r="L517" s="2" t="s">
        <v>63</v>
      </c>
    </row>
    <row r="518" customFormat="false" ht="11.9" hidden="false" customHeight="true" outlineLevel="0" collapsed="false">
      <c r="A518" s="3" t="str">
        <f aca="false">HYPERLINK("https://www.fabsurplus.com/sdi_catalog/salesItemDetails.do?id=114683")</f>
        <v>https://www.fabsurplus.com/sdi_catalog/salesItemDetails.do?id=114683</v>
      </c>
      <c r="B518" s="3" t="s">
        <v>1316</v>
      </c>
      <c r="C518" s="3" t="s">
        <v>1050</v>
      </c>
      <c r="D518" s="3" t="s">
        <v>1317</v>
      </c>
      <c r="E518" s="3" t="s">
        <v>1318</v>
      </c>
      <c r="F518" s="3" t="s">
        <v>77</v>
      </c>
      <c r="G518" s="3" t="s">
        <v>26</v>
      </c>
      <c r="H518" s="3"/>
      <c r="I518" s="3"/>
      <c r="J518" s="3" t="s">
        <v>19</v>
      </c>
      <c r="K518" s="3"/>
      <c r="L518" s="3" t="s">
        <v>63</v>
      </c>
    </row>
    <row r="519" customFormat="false" ht="11.9" hidden="false" customHeight="true" outlineLevel="0" collapsed="false">
      <c r="A519" s="3" t="str">
        <f aca="false">HYPERLINK("https://www.fabsurplus.com/sdi_catalog/salesItemDetails.do?id=114697")</f>
        <v>https://www.fabsurplus.com/sdi_catalog/salesItemDetails.do?id=114697</v>
      </c>
      <c r="B519" s="3" t="s">
        <v>1319</v>
      </c>
      <c r="C519" s="3" t="s">
        <v>1050</v>
      </c>
      <c r="D519" s="3" t="s">
        <v>1320</v>
      </c>
      <c r="E519" s="3" t="s">
        <v>1321</v>
      </c>
      <c r="F519" s="3" t="s">
        <v>16</v>
      </c>
      <c r="G519" s="3" t="s">
        <v>26</v>
      </c>
      <c r="H519" s="3"/>
      <c r="I519" s="3"/>
      <c r="J519" s="3" t="s">
        <v>19</v>
      </c>
      <c r="K519" s="3"/>
      <c r="L519" s="3" t="s">
        <v>63</v>
      </c>
    </row>
    <row r="520" customFormat="false" ht="11.9" hidden="false" customHeight="true" outlineLevel="0" collapsed="false">
      <c r="A520" s="2" t="str">
        <f aca="false">HYPERLINK("https://www.fabsurplus.com/sdi_catalog/salesItemDetails.do?id=114933")</f>
        <v>https://www.fabsurplus.com/sdi_catalog/salesItemDetails.do?id=114933</v>
      </c>
      <c r="B520" s="2" t="s">
        <v>1322</v>
      </c>
      <c r="C520" s="2" t="s">
        <v>1050</v>
      </c>
      <c r="D520" s="2" t="s">
        <v>1323</v>
      </c>
      <c r="E520" s="2" t="s">
        <v>1324</v>
      </c>
      <c r="F520" s="2" t="s">
        <v>16</v>
      </c>
      <c r="G520" s="2" t="s">
        <v>26</v>
      </c>
      <c r="H520" s="2"/>
      <c r="I520" s="2"/>
      <c r="J520" s="2" t="s">
        <v>19</v>
      </c>
      <c r="K520" s="2"/>
      <c r="L520" s="2" t="s">
        <v>63</v>
      </c>
    </row>
    <row r="521" customFormat="false" ht="11.9" hidden="false" customHeight="true" outlineLevel="0" collapsed="false">
      <c r="A521" s="2" t="str">
        <f aca="false">HYPERLINK("https://www.fabsurplus.com/sdi_catalog/salesItemDetails.do?id=115115")</f>
        <v>https://www.fabsurplus.com/sdi_catalog/salesItemDetails.do?id=115115</v>
      </c>
      <c r="B521" s="2" t="s">
        <v>1325</v>
      </c>
      <c r="C521" s="2" t="s">
        <v>1050</v>
      </c>
      <c r="D521" s="2" t="s">
        <v>1326</v>
      </c>
      <c r="E521" s="2" t="s">
        <v>1327</v>
      </c>
      <c r="F521" s="2" t="s">
        <v>77</v>
      </c>
      <c r="G521" s="2" t="s">
        <v>26</v>
      </c>
      <c r="H521" s="2"/>
      <c r="I521" s="2"/>
      <c r="J521" s="2" t="s">
        <v>19</v>
      </c>
      <c r="K521" s="2"/>
      <c r="L521" s="2" t="s">
        <v>63</v>
      </c>
    </row>
    <row r="522" customFormat="false" ht="11.9" hidden="false" customHeight="true" outlineLevel="0" collapsed="false">
      <c r="A522" s="2" t="str">
        <f aca="false">HYPERLINK("https://www.fabsurplus.com/sdi_catalog/salesItemDetails.do?id=114628")</f>
        <v>https://www.fabsurplus.com/sdi_catalog/salesItemDetails.do?id=114628</v>
      </c>
      <c r="B522" s="2" t="s">
        <v>1328</v>
      </c>
      <c r="C522" s="2" t="s">
        <v>1050</v>
      </c>
      <c r="D522" s="2" t="s">
        <v>1329</v>
      </c>
      <c r="E522" s="2" t="s">
        <v>1330</v>
      </c>
      <c r="F522" s="2" t="s">
        <v>101</v>
      </c>
      <c r="G522" s="2" t="s">
        <v>26</v>
      </c>
      <c r="H522" s="2"/>
      <c r="I522" s="2"/>
      <c r="J522" s="2" t="s">
        <v>19</v>
      </c>
      <c r="K522" s="2"/>
      <c r="L522" s="2" t="s">
        <v>63</v>
      </c>
    </row>
    <row r="523" customFormat="false" ht="11.9" hidden="false" customHeight="true" outlineLevel="0" collapsed="false">
      <c r="A523" s="2" t="str">
        <f aca="false">HYPERLINK("https://www.fabsurplus.com/sdi_catalog/salesItemDetails.do?id=114629")</f>
        <v>https://www.fabsurplus.com/sdi_catalog/salesItemDetails.do?id=114629</v>
      </c>
      <c r="B523" s="2" t="s">
        <v>1331</v>
      </c>
      <c r="C523" s="2" t="s">
        <v>1050</v>
      </c>
      <c r="D523" s="2" t="s">
        <v>1332</v>
      </c>
      <c r="E523" s="2" t="s">
        <v>1330</v>
      </c>
      <c r="F523" s="2" t="s">
        <v>101</v>
      </c>
      <c r="G523" s="2" t="s">
        <v>26</v>
      </c>
      <c r="H523" s="2"/>
      <c r="I523" s="2"/>
      <c r="J523" s="2" t="s">
        <v>19</v>
      </c>
      <c r="K523" s="2"/>
      <c r="L523" s="2" t="s">
        <v>63</v>
      </c>
    </row>
    <row r="524" customFormat="false" ht="11.9" hidden="false" customHeight="true" outlineLevel="0" collapsed="false">
      <c r="A524" s="2" t="str">
        <f aca="false">HYPERLINK("https://www.fabsurplus.com/sdi_catalog/salesItemDetails.do?id=114723")</f>
        <v>https://www.fabsurplus.com/sdi_catalog/salesItemDetails.do?id=114723</v>
      </c>
      <c r="B524" s="2" t="s">
        <v>1333</v>
      </c>
      <c r="C524" s="2" t="s">
        <v>1050</v>
      </c>
      <c r="D524" s="2" t="s">
        <v>1334</v>
      </c>
      <c r="E524" s="2" t="s">
        <v>1335</v>
      </c>
      <c r="F524" s="2" t="s">
        <v>16</v>
      </c>
      <c r="G524" s="2" t="s">
        <v>26</v>
      </c>
      <c r="H524" s="2"/>
      <c r="I524" s="2"/>
      <c r="J524" s="2" t="s">
        <v>19</v>
      </c>
      <c r="K524" s="2"/>
      <c r="L524" s="2" t="s">
        <v>63</v>
      </c>
    </row>
    <row r="525" customFormat="false" ht="11.9" hidden="false" customHeight="true" outlineLevel="0" collapsed="false">
      <c r="A525" s="2" t="str">
        <f aca="false">HYPERLINK("https://www.fabsurplus.com/sdi_catalog/salesItemDetails.do?id=114641")</f>
        <v>https://www.fabsurplus.com/sdi_catalog/salesItemDetails.do?id=114641</v>
      </c>
      <c r="B525" s="2" t="s">
        <v>1336</v>
      </c>
      <c r="C525" s="2" t="s">
        <v>1050</v>
      </c>
      <c r="D525" s="2" t="s">
        <v>1337</v>
      </c>
      <c r="E525" s="2" t="s">
        <v>1312</v>
      </c>
      <c r="F525" s="2" t="s">
        <v>16</v>
      </c>
      <c r="G525" s="2" t="s">
        <v>26</v>
      </c>
      <c r="H525" s="2"/>
      <c r="I525" s="2"/>
      <c r="J525" s="2" t="s">
        <v>19</v>
      </c>
      <c r="K525" s="2"/>
      <c r="L525" s="2" t="s">
        <v>63</v>
      </c>
    </row>
    <row r="526" customFormat="false" ht="11.9" hidden="false" customHeight="true" outlineLevel="0" collapsed="false">
      <c r="A526" s="2" t="str">
        <f aca="false">HYPERLINK("https://www.fabsurplus.com/sdi_catalog/salesItemDetails.do?id=114669")</f>
        <v>https://www.fabsurplus.com/sdi_catalog/salesItemDetails.do?id=114669</v>
      </c>
      <c r="B526" s="2" t="s">
        <v>1338</v>
      </c>
      <c r="C526" s="2" t="s">
        <v>1050</v>
      </c>
      <c r="D526" s="2" t="s">
        <v>1339</v>
      </c>
      <c r="E526" s="2" t="s">
        <v>1340</v>
      </c>
      <c r="F526" s="2" t="s">
        <v>77</v>
      </c>
      <c r="G526" s="2" t="s">
        <v>26</v>
      </c>
      <c r="H526" s="2"/>
      <c r="I526" s="2"/>
      <c r="J526" s="2" t="s">
        <v>19</v>
      </c>
      <c r="K526" s="2"/>
      <c r="L526" s="2" t="s">
        <v>63</v>
      </c>
    </row>
    <row r="527" customFormat="false" ht="11.9" hidden="false" customHeight="true" outlineLevel="0" collapsed="false">
      <c r="A527" s="2" t="str">
        <f aca="false">HYPERLINK("https://www.fabsurplus.com/sdi_catalog/salesItemDetails.do?id=114934")</f>
        <v>https://www.fabsurplus.com/sdi_catalog/salesItemDetails.do?id=114934</v>
      </c>
      <c r="B527" s="2" t="s">
        <v>1341</v>
      </c>
      <c r="C527" s="2" t="s">
        <v>1050</v>
      </c>
      <c r="D527" s="2" t="s">
        <v>1342</v>
      </c>
      <c r="E527" s="2" t="s">
        <v>1343</v>
      </c>
      <c r="F527" s="2" t="s">
        <v>77</v>
      </c>
      <c r="G527" s="2" t="s">
        <v>26</v>
      </c>
      <c r="H527" s="2"/>
      <c r="I527" s="2"/>
      <c r="J527" s="2" t="s">
        <v>19</v>
      </c>
      <c r="K527" s="2"/>
      <c r="L527" s="2" t="s">
        <v>63</v>
      </c>
    </row>
    <row r="528" customFormat="false" ht="11.9" hidden="false" customHeight="true" outlineLevel="0" collapsed="false">
      <c r="A528" s="3" t="str">
        <f aca="false">HYPERLINK("https://www.fabsurplus.com/sdi_catalog/salesItemDetails.do?id=115035")</f>
        <v>https://www.fabsurplus.com/sdi_catalog/salesItemDetails.do?id=115035</v>
      </c>
      <c r="B528" s="3" t="s">
        <v>1344</v>
      </c>
      <c r="C528" s="3" t="s">
        <v>1050</v>
      </c>
      <c r="D528" s="3" t="s">
        <v>1345</v>
      </c>
      <c r="E528" s="3" t="s">
        <v>1346</v>
      </c>
      <c r="F528" s="3" t="s">
        <v>16</v>
      </c>
      <c r="G528" s="3" t="s">
        <v>26</v>
      </c>
      <c r="H528" s="3"/>
      <c r="I528" s="3"/>
      <c r="J528" s="3" t="s">
        <v>19</v>
      </c>
      <c r="K528" s="3"/>
      <c r="L528" s="3" t="s">
        <v>63</v>
      </c>
    </row>
    <row r="529" customFormat="false" ht="11.9" hidden="false" customHeight="true" outlineLevel="0" collapsed="false">
      <c r="A529" s="2" t="str">
        <f aca="false">HYPERLINK("https://www.fabsurplus.com/sdi_catalog/salesItemDetails.do?id=115201")</f>
        <v>https://www.fabsurplus.com/sdi_catalog/salesItemDetails.do?id=115201</v>
      </c>
      <c r="B529" s="2" t="s">
        <v>1347</v>
      </c>
      <c r="C529" s="2" t="s">
        <v>1050</v>
      </c>
      <c r="D529" s="2" t="s">
        <v>1345</v>
      </c>
      <c r="E529" s="2" t="s">
        <v>1348</v>
      </c>
      <c r="F529" s="2" t="s">
        <v>16</v>
      </c>
      <c r="G529" s="2" t="s">
        <v>26</v>
      </c>
      <c r="H529" s="2"/>
      <c r="I529" s="2"/>
      <c r="J529" s="2" t="s">
        <v>19</v>
      </c>
      <c r="K529" s="2"/>
      <c r="L529" s="2" t="s">
        <v>63</v>
      </c>
    </row>
    <row r="530" customFormat="false" ht="11.9" hidden="false" customHeight="true" outlineLevel="0" collapsed="false">
      <c r="A530" s="2" t="str">
        <f aca="false">HYPERLINK("https://www.fabsurplus.com/sdi_catalog/salesItemDetails.do?id=114935")</f>
        <v>https://www.fabsurplus.com/sdi_catalog/salesItemDetails.do?id=114935</v>
      </c>
      <c r="B530" s="2" t="s">
        <v>1349</v>
      </c>
      <c r="C530" s="2" t="s">
        <v>1050</v>
      </c>
      <c r="D530" s="2" t="s">
        <v>1350</v>
      </c>
      <c r="E530" s="2" t="s">
        <v>1351</v>
      </c>
      <c r="F530" s="2" t="s">
        <v>16</v>
      </c>
      <c r="G530" s="2" t="s">
        <v>26</v>
      </c>
      <c r="H530" s="2"/>
      <c r="I530" s="2"/>
      <c r="J530" s="2" t="s">
        <v>19</v>
      </c>
      <c r="K530" s="2"/>
      <c r="L530" s="2" t="s">
        <v>63</v>
      </c>
    </row>
    <row r="531" customFormat="false" ht="11.9" hidden="false" customHeight="true" outlineLevel="0" collapsed="false">
      <c r="A531" s="2" t="str">
        <f aca="false">HYPERLINK("https://www.fabsurplus.com/sdi_catalog/salesItemDetails.do?id=114928")</f>
        <v>https://www.fabsurplus.com/sdi_catalog/salesItemDetails.do?id=114928</v>
      </c>
      <c r="B531" s="2" t="s">
        <v>1352</v>
      </c>
      <c r="C531" s="2" t="s">
        <v>1050</v>
      </c>
      <c r="D531" s="2" t="s">
        <v>1353</v>
      </c>
      <c r="E531" s="2" t="s">
        <v>1354</v>
      </c>
      <c r="F531" s="2" t="s">
        <v>16</v>
      </c>
      <c r="G531" s="2" t="s">
        <v>26</v>
      </c>
      <c r="H531" s="2"/>
      <c r="I531" s="2"/>
      <c r="J531" s="2" t="s">
        <v>19</v>
      </c>
      <c r="K531" s="2"/>
      <c r="L531" s="2" t="s">
        <v>63</v>
      </c>
    </row>
    <row r="532" customFormat="false" ht="11.9" hidden="false" customHeight="true" outlineLevel="0" collapsed="false">
      <c r="A532" s="3" t="str">
        <f aca="false">HYPERLINK("https://www.fabsurplus.com/sdi_catalog/salesItemDetails.do?id=114698")</f>
        <v>https://www.fabsurplus.com/sdi_catalog/salesItemDetails.do?id=114698</v>
      </c>
      <c r="B532" s="3" t="s">
        <v>1355</v>
      </c>
      <c r="C532" s="3" t="s">
        <v>1050</v>
      </c>
      <c r="D532" s="3" t="s">
        <v>1356</v>
      </c>
      <c r="E532" s="3" t="s">
        <v>1357</v>
      </c>
      <c r="F532" s="3" t="s">
        <v>16</v>
      </c>
      <c r="G532" s="3" t="s">
        <v>26</v>
      </c>
      <c r="H532" s="3"/>
      <c r="I532" s="3"/>
      <c r="J532" s="3" t="s">
        <v>19</v>
      </c>
      <c r="K532" s="3"/>
      <c r="L532" s="3" t="s">
        <v>63</v>
      </c>
    </row>
    <row r="533" customFormat="false" ht="11.9" hidden="false" customHeight="true" outlineLevel="0" collapsed="false">
      <c r="A533" s="3" t="str">
        <f aca="false">HYPERLINK("https://www.fabsurplus.com/sdi_catalog/salesItemDetails.do?id=114642")</f>
        <v>https://www.fabsurplus.com/sdi_catalog/salesItemDetails.do?id=114642</v>
      </c>
      <c r="B533" s="3" t="s">
        <v>1358</v>
      </c>
      <c r="C533" s="3" t="s">
        <v>1050</v>
      </c>
      <c r="D533" s="3" t="s">
        <v>1359</v>
      </c>
      <c r="E533" s="3" t="s">
        <v>1360</v>
      </c>
      <c r="F533" s="3" t="s">
        <v>16</v>
      </c>
      <c r="G533" s="3" t="s">
        <v>26</v>
      </c>
      <c r="H533" s="3"/>
      <c r="I533" s="3"/>
      <c r="J533" s="3" t="s">
        <v>19</v>
      </c>
      <c r="K533" s="3"/>
      <c r="L533" s="3" t="s">
        <v>63</v>
      </c>
    </row>
    <row r="534" customFormat="false" ht="11.9" hidden="false" customHeight="true" outlineLevel="0" collapsed="false">
      <c r="A534" s="2" t="str">
        <f aca="false">HYPERLINK("https://www.fabsurplus.com/sdi_catalog/salesItemDetails.do?id=114710")</f>
        <v>https://www.fabsurplus.com/sdi_catalog/salesItemDetails.do?id=114710</v>
      </c>
      <c r="B534" s="2" t="s">
        <v>1361</v>
      </c>
      <c r="C534" s="2" t="s">
        <v>1050</v>
      </c>
      <c r="D534" s="2" t="s">
        <v>1362</v>
      </c>
      <c r="E534" s="2" t="s">
        <v>1363</v>
      </c>
      <c r="F534" s="2" t="s">
        <v>77</v>
      </c>
      <c r="G534" s="2" t="s">
        <v>26</v>
      </c>
      <c r="H534" s="2"/>
      <c r="I534" s="2"/>
      <c r="J534" s="2" t="s">
        <v>19</v>
      </c>
      <c r="K534" s="2"/>
      <c r="L534" s="2" t="s">
        <v>63</v>
      </c>
    </row>
    <row r="535" customFormat="false" ht="11.9" hidden="false" customHeight="true" outlineLevel="0" collapsed="false">
      <c r="A535" s="2" t="str">
        <f aca="false">HYPERLINK("https://www.fabsurplus.com/sdi_catalog/salesItemDetails.do?id=114643")</f>
        <v>https://www.fabsurplus.com/sdi_catalog/salesItemDetails.do?id=114643</v>
      </c>
      <c r="B535" s="2" t="s">
        <v>1364</v>
      </c>
      <c r="C535" s="2" t="s">
        <v>1050</v>
      </c>
      <c r="D535" s="2" t="s">
        <v>1365</v>
      </c>
      <c r="E535" s="2" t="s">
        <v>1366</v>
      </c>
      <c r="F535" s="2" t="s">
        <v>16</v>
      </c>
      <c r="G535" s="2" t="s">
        <v>26</v>
      </c>
      <c r="H535" s="2"/>
      <c r="I535" s="2"/>
      <c r="J535" s="2" t="s">
        <v>19</v>
      </c>
      <c r="K535" s="2"/>
      <c r="L535" s="2" t="s">
        <v>63</v>
      </c>
    </row>
    <row r="536" customFormat="false" ht="11.9" hidden="false" customHeight="true" outlineLevel="0" collapsed="false">
      <c r="A536" s="2" t="str">
        <f aca="false">HYPERLINK("https://www.fabsurplus.com/sdi_catalog/salesItemDetails.do?id=114644")</f>
        <v>https://www.fabsurplus.com/sdi_catalog/salesItemDetails.do?id=114644</v>
      </c>
      <c r="B536" s="2" t="s">
        <v>1367</v>
      </c>
      <c r="C536" s="2" t="s">
        <v>1050</v>
      </c>
      <c r="D536" s="2" t="s">
        <v>1368</v>
      </c>
      <c r="E536" s="2" t="s">
        <v>1369</v>
      </c>
      <c r="F536" s="2" t="s">
        <v>16</v>
      </c>
      <c r="G536" s="2" t="s">
        <v>26</v>
      </c>
      <c r="H536" s="2"/>
      <c r="I536" s="2"/>
      <c r="J536" s="2" t="s">
        <v>19</v>
      </c>
      <c r="K536" s="2"/>
      <c r="L536" s="2" t="s">
        <v>63</v>
      </c>
    </row>
    <row r="537" customFormat="false" ht="11.9" hidden="false" customHeight="true" outlineLevel="0" collapsed="false">
      <c r="A537" s="3" t="str">
        <f aca="false">HYPERLINK("https://www.fabsurplus.com/sdi_catalog/salesItemDetails.do?id=115355")</f>
        <v>https://www.fabsurplus.com/sdi_catalog/salesItemDetails.do?id=115355</v>
      </c>
      <c r="B537" s="3" t="s">
        <v>1370</v>
      </c>
      <c r="C537" s="3" t="s">
        <v>1050</v>
      </c>
      <c r="D537" s="3" t="s">
        <v>1368</v>
      </c>
      <c r="E537" s="3" t="s">
        <v>1371</v>
      </c>
      <c r="F537" s="3" t="s">
        <v>69</v>
      </c>
      <c r="G537" s="3" t="s">
        <v>26</v>
      </c>
      <c r="H537" s="3"/>
      <c r="I537" s="3"/>
      <c r="J537" s="3" t="s">
        <v>19</v>
      </c>
      <c r="K537" s="3"/>
      <c r="L537" s="3" t="s">
        <v>63</v>
      </c>
    </row>
    <row r="538" customFormat="false" ht="11.9" hidden="false" customHeight="true" outlineLevel="0" collapsed="false">
      <c r="A538" s="3" t="str">
        <f aca="false">HYPERLINK("https://www.fabsurplus.com/sdi_catalog/salesItemDetails.do?id=114979")</f>
        <v>https://www.fabsurplus.com/sdi_catalog/salesItemDetails.do?id=114979</v>
      </c>
      <c r="B538" s="3" t="s">
        <v>1372</v>
      </c>
      <c r="C538" s="3" t="s">
        <v>1050</v>
      </c>
      <c r="D538" s="3" t="s">
        <v>1373</v>
      </c>
      <c r="E538" s="3" t="s">
        <v>1374</v>
      </c>
      <c r="F538" s="3" t="s">
        <v>16</v>
      </c>
      <c r="G538" s="3" t="s">
        <v>26</v>
      </c>
      <c r="H538" s="3"/>
      <c r="I538" s="3"/>
      <c r="J538" s="3" t="s">
        <v>19</v>
      </c>
      <c r="K538" s="3"/>
      <c r="L538" s="3" t="s">
        <v>63</v>
      </c>
    </row>
    <row r="539" customFormat="false" ht="11.9" hidden="false" customHeight="true" outlineLevel="0" collapsed="false">
      <c r="A539" s="3" t="str">
        <f aca="false">HYPERLINK("https://www.fabsurplus.com/sdi_catalog/salesItemDetails.do?id=114598")</f>
        <v>https://www.fabsurplus.com/sdi_catalog/salesItemDetails.do?id=114598</v>
      </c>
      <c r="B539" s="3" t="s">
        <v>1375</v>
      </c>
      <c r="C539" s="3" t="s">
        <v>1050</v>
      </c>
      <c r="D539" s="3" t="s">
        <v>1376</v>
      </c>
      <c r="E539" s="3" t="s">
        <v>1377</v>
      </c>
      <c r="F539" s="3" t="s">
        <v>16</v>
      </c>
      <c r="G539" s="3" t="s">
        <v>26</v>
      </c>
      <c r="H539" s="3"/>
      <c r="I539" s="3"/>
      <c r="J539" s="3" t="s">
        <v>19</v>
      </c>
      <c r="K539" s="3"/>
      <c r="L539" s="3" t="s">
        <v>63</v>
      </c>
    </row>
    <row r="540" customFormat="false" ht="11.9" hidden="false" customHeight="true" outlineLevel="0" collapsed="false">
      <c r="A540" s="2" t="str">
        <f aca="false">HYPERLINK("https://www.fabsurplus.com/sdi_catalog/salesItemDetails.do?id=114595")</f>
        <v>https://www.fabsurplus.com/sdi_catalog/salesItemDetails.do?id=114595</v>
      </c>
      <c r="B540" s="2" t="s">
        <v>1378</v>
      </c>
      <c r="C540" s="2" t="s">
        <v>1050</v>
      </c>
      <c r="D540" s="2" t="s">
        <v>1376</v>
      </c>
      <c r="E540" s="2" t="s">
        <v>1379</v>
      </c>
      <c r="F540" s="2" t="s">
        <v>77</v>
      </c>
      <c r="G540" s="2" t="s">
        <v>26</v>
      </c>
      <c r="H540" s="2"/>
      <c r="I540" s="2"/>
      <c r="J540" s="2" t="s">
        <v>19</v>
      </c>
      <c r="K540" s="2"/>
      <c r="L540" s="2" t="s">
        <v>63</v>
      </c>
    </row>
    <row r="541" customFormat="false" ht="11.9" hidden="false" customHeight="true" outlineLevel="0" collapsed="false">
      <c r="A541" s="2" t="str">
        <f aca="false">HYPERLINK("https://www.fabsurplus.com/sdi_catalog/salesItemDetails.do?id=114599")</f>
        <v>https://www.fabsurplus.com/sdi_catalog/salesItemDetails.do?id=114599</v>
      </c>
      <c r="B541" s="2" t="s">
        <v>1380</v>
      </c>
      <c r="C541" s="2" t="s">
        <v>1050</v>
      </c>
      <c r="D541" s="2" t="s">
        <v>1376</v>
      </c>
      <c r="E541" s="2" t="s">
        <v>1381</v>
      </c>
      <c r="F541" s="2" t="s">
        <v>16</v>
      </c>
      <c r="G541" s="2" t="s">
        <v>26</v>
      </c>
      <c r="H541" s="2"/>
      <c r="I541" s="2"/>
      <c r="J541" s="2" t="s">
        <v>19</v>
      </c>
      <c r="K541" s="2"/>
      <c r="L541" s="2" t="s">
        <v>63</v>
      </c>
    </row>
    <row r="542" customFormat="false" ht="11.9" hidden="false" customHeight="true" outlineLevel="0" collapsed="false">
      <c r="A542" s="3" t="str">
        <f aca="false">HYPERLINK("https://www.fabsurplus.com/sdi_catalog/salesItemDetails.do?id=114600")</f>
        <v>https://www.fabsurplus.com/sdi_catalog/salesItemDetails.do?id=114600</v>
      </c>
      <c r="B542" s="3" t="s">
        <v>1382</v>
      </c>
      <c r="C542" s="3" t="s">
        <v>1050</v>
      </c>
      <c r="D542" s="3" t="s">
        <v>1383</v>
      </c>
      <c r="E542" s="3" t="s">
        <v>1151</v>
      </c>
      <c r="F542" s="3" t="s">
        <v>16</v>
      </c>
      <c r="G542" s="3" t="s">
        <v>26</v>
      </c>
      <c r="H542" s="3"/>
      <c r="I542" s="3"/>
      <c r="J542" s="3" t="s">
        <v>19</v>
      </c>
      <c r="K542" s="3"/>
      <c r="L542" s="3" t="s">
        <v>63</v>
      </c>
    </row>
    <row r="543" customFormat="false" ht="11.9" hidden="false" customHeight="true" outlineLevel="0" collapsed="false">
      <c r="A543" s="2" t="str">
        <f aca="false">HYPERLINK("https://www.fabsurplus.com/sdi_catalog/salesItemDetails.do?id=114584")</f>
        <v>https://www.fabsurplus.com/sdi_catalog/salesItemDetails.do?id=114584</v>
      </c>
      <c r="B543" s="2" t="s">
        <v>1384</v>
      </c>
      <c r="C543" s="2" t="s">
        <v>1050</v>
      </c>
      <c r="D543" s="2" t="s">
        <v>1383</v>
      </c>
      <c r="E543" s="2" t="s">
        <v>1385</v>
      </c>
      <c r="F543" s="2" t="s">
        <v>69</v>
      </c>
      <c r="G543" s="2" t="s">
        <v>26</v>
      </c>
      <c r="H543" s="2"/>
      <c r="I543" s="2"/>
      <c r="J543" s="2" t="s">
        <v>19</v>
      </c>
      <c r="K543" s="2"/>
      <c r="L543" s="2" t="s">
        <v>63</v>
      </c>
    </row>
    <row r="544" customFormat="false" ht="11.9" hidden="false" customHeight="true" outlineLevel="0" collapsed="false">
      <c r="A544" s="2" t="str">
        <f aca="false">HYPERLINK("https://www.fabsurplus.com/sdi_catalog/salesItemDetails.do?id=114601")</f>
        <v>https://www.fabsurplus.com/sdi_catalog/salesItemDetails.do?id=114601</v>
      </c>
      <c r="B544" s="2" t="s">
        <v>1386</v>
      </c>
      <c r="C544" s="2" t="s">
        <v>1050</v>
      </c>
      <c r="D544" s="2" t="s">
        <v>1383</v>
      </c>
      <c r="E544" s="2" t="s">
        <v>1387</v>
      </c>
      <c r="F544" s="2" t="s">
        <v>16</v>
      </c>
      <c r="G544" s="2" t="s">
        <v>26</v>
      </c>
      <c r="H544" s="2"/>
      <c r="I544" s="2"/>
      <c r="J544" s="2" t="s">
        <v>19</v>
      </c>
      <c r="K544" s="2"/>
      <c r="L544" s="2" t="s">
        <v>63</v>
      </c>
    </row>
    <row r="545" customFormat="false" ht="11.9" hidden="false" customHeight="true" outlineLevel="0" collapsed="false">
      <c r="A545" s="3" t="str">
        <f aca="false">HYPERLINK("https://www.fabsurplus.com/sdi_catalog/salesItemDetails.do?id=114585")</f>
        <v>https://www.fabsurplus.com/sdi_catalog/salesItemDetails.do?id=114585</v>
      </c>
      <c r="B545" s="3" t="s">
        <v>1388</v>
      </c>
      <c r="C545" s="3" t="s">
        <v>1050</v>
      </c>
      <c r="D545" s="3" t="s">
        <v>1389</v>
      </c>
      <c r="E545" s="3" t="s">
        <v>1390</v>
      </c>
      <c r="F545" s="3" t="s">
        <v>69</v>
      </c>
      <c r="G545" s="3" t="s">
        <v>26</v>
      </c>
      <c r="H545" s="3"/>
      <c r="I545" s="3"/>
      <c r="J545" s="3" t="s">
        <v>19</v>
      </c>
      <c r="K545" s="3"/>
      <c r="L545" s="3" t="s">
        <v>63</v>
      </c>
    </row>
    <row r="546" customFormat="false" ht="11.9" hidden="false" customHeight="true" outlineLevel="0" collapsed="false">
      <c r="A546" s="3" t="str">
        <f aca="false">HYPERLINK("https://www.fabsurplus.com/sdi_catalog/salesItemDetails.do?id=114602")</f>
        <v>https://www.fabsurplus.com/sdi_catalog/salesItemDetails.do?id=114602</v>
      </c>
      <c r="B546" s="3" t="s">
        <v>1391</v>
      </c>
      <c r="C546" s="3" t="s">
        <v>1050</v>
      </c>
      <c r="D546" s="3" t="s">
        <v>1389</v>
      </c>
      <c r="E546" s="3" t="s">
        <v>1392</v>
      </c>
      <c r="F546" s="3" t="s">
        <v>16</v>
      </c>
      <c r="G546" s="3" t="s">
        <v>26</v>
      </c>
      <c r="H546" s="3"/>
      <c r="I546" s="3"/>
      <c r="J546" s="3" t="s">
        <v>19</v>
      </c>
      <c r="K546" s="3"/>
      <c r="L546" s="3" t="s">
        <v>63</v>
      </c>
    </row>
    <row r="547" customFormat="false" ht="11.9" hidden="false" customHeight="true" outlineLevel="0" collapsed="false">
      <c r="A547" s="3" t="str">
        <f aca="false">HYPERLINK("https://www.fabsurplus.com/sdi_catalog/salesItemDetails.do?id=114586")</f>
        <v>https://www.fabsurplus.com/sdi_catalog/salesItemDetails.do?id=114586</v>
      </c>
      <c r="B547" s="3" t="s">
        <v>1393</v>
      </c>
      <c r="C547" s="3" t="s">
        <v>1050</v>
      </c>
      <c r="D547" s="3" t="s">
        <v>1389</v>
      </c>
      <c r="E547" s="3" t="s">
        <v>1394</v>
      </c>
      <c r="F547" s="3" t="s">
        <v>16</v>
      </c>
      <c r="G547" s="3" t="s">
        <v>26</v>
      </c>
      <c r="H547" s="3"/>
      <c r="I547" s="3"/>
      <c r="J547" s="3" t="s">
        <v>19</v>
      </c>
      <c r="K547" s="3"/>
      <c r="L547" s="3" t="s">
        <v>63</v>
      </c>
    </row>
    <row r="548" customFormat="false" ht="11.9" hidden="false" customHeight="true" outlineLevel="0" collapsed="false">
      <c r="A548" s="2" t="str">
        <f aca="false">HYPERLINK("https://www.fabsurplus.com/sdi_catalog/salesItemDetails.do?id=114645")</f>
        <v>https://www.fabsurplus.com/sdi_catalog/salesItemDetails.do?id=114645</v>
      </c>
      <c r="B548" s="2" t="s">
        <v>1395</v>
      </c>
      <c r="C548" s="2" t="s">
        <v>1050</v>
      </c>
      <c r="D548" s="2" t="s">
        <v>1389</v>
      </c>
      <c r="E548" s="2" t="s">
        <v>1396</v>
      </c>
      <c r="F548" s="2" t="s">
        <v>16</v>
      </c>
      <c r="G548" s="2" t="s">
        <v>26</v>
      </c>
      <c r="H548" s="2"/>
      <c r="I548" s="2"/>
      <c r="J548" s="2" t="s">
        <v>19</v>
      </c>
      <c r="K548" s="2"/>
      <c r="L548" s="2" t="s">
        <v>63</v>
      </c>
    </row>
    <row r="549" customFormat="false" ht="11.9" hidden="false" customHeight="true" outlineLevel="0" collapsed="false">
      <c r="A549" s="3" t="str">
        <f aca="false">HYPERLINK("https://www.fabsurplus.com/sdi_catalog/salesItemDetails.do?id=115354")</f>
        <v>https://www.fabsurplus.com/sdi_catalog/salesItemDetails.do?id=115354</v>
      </c>
      <c r="B549" s="3" t="s">
        <v>1397</v>
      </c>
      <c r="C549" s="3" t="s">
        <v>1050</v>
      </c>
      <c r="D549" s="3" t="s">
        <v>1389</v>
      </c>
      <c r="E549" s="3" t="s">
        <v>1398</v>
      </c>
      <c r="F549" s="3" t="s">
        <v>77</v>
      </c>
      <c r="G549" s="3" t="s">
        <v>26</v>
      </c>
      <c r="H549" s="3"/>
      <c r="I549" s="3"/>
      <c r="J549" s="3" t="s">
        <v>19</v>
      </c>
      <c r="K549" s="3"/>
      <c r="L549" s="3" t="s">
        <v>63</v>
      </c>
    </row>
    <row r="550" customFormat="false" ht="11.9" hidden="false" customHeight="true" outlineLevel="0" collapsed="false">
      <c r="A550" s="2" t="str">
        <f aca="false">HYPERLINK("https://www.fabsurplus.com/sdi_catalog/salesItemDetails.do?id=114759")</f>
        <v>https://www.fabsurplus.com/sdi_catalog/salesItemDetails.do?id=114759</v>
      </c>
      <c r="B550" s="2" t="s">
        <v>1399</v>
      </c>
      <c r="C550" s="2" t="s">
        <v>1050</v>
      </c>
      <c r="D550" s="2" t="s">
        <v>1400</v>
      </c>
      <c r="E550" s="2" t="s">
        <v>1401</v>
      </c>
      <c r="F550" s="2" t="s">
        <v>77</v>
      </c>
      <c r="G550" s="2" t="s">
        <v>26</v>
      </c>
      <c r="H550" s="2"/>
      <c r="I550" s="2"/>
      <c r="J550" s="2" t="s">
        <v>19</v>
      </c>
      <c r="K550" s="2"/>
      <c r="L550" s="2" t="s">
        <v>63</v>
      </c>
    </row>
    <row r="551" customFormat="false" ht="11.9" hidden="false" customHeight="true" outlineLevel="0" collapsed="false">
      <c r="A551" s="3" t="str">
        <f aca="false">HYPERLINK("https://www.fabsurplus.com/sdi_catalog/salesItemDetails.do?id=114699")</f>
        <v>https://www.fabsurplus.com/sdi_catalog/salesItemDetails.do?id=114699</v>
      </c>
      <c r="B551" s="3" t="s">
        <v>1402</v>
      </c>
      <c r="C551" s="3" t="s">
        <v>1050</v>
      </c>
      <c r="D551" s="3" t="s">
        <v>1403</v>
      </c>
      <c r="E551" s="3" t="s">
        <v>1404</v>
      </c>
      <c r="F551" s="3" t="s">
        <v>16</v>
      </c>
      <c r="G551" s="3" t="s">
        <v>26</v>
      </c>
      <c r="H551" s="3"/>
      <c r="I551" s="3"/>
      <c r="J551" s="3" t="s">
        <v>19</v>
      </c>
      <c r="K551" s="3"/>
      <c r="L551" s="3" t="s">
        <v>63</v>
      </c>
    </row>
    <row r="552" customFormat="false" ht="11.9" hidden="false" customHeight="true" outlineLevel="0" collapsed="false">
      <c r="A552" s="3" t="str">
        <f aca="false">HYPERLINK("https://www.fabsurplus.com/sdi_catalog/salesItemDetails.do?id=114583")</f>
        <v>https://www.fabsurplus.com/sdi_catalog/salesItemDetails.do?id=114583</v>
      </c>
      <c r="B552" s="3" t="s">
        <v>1405</v>
      </c>
      <c r="C552" s="3" t="s">
        <v>1050</v>
      </c>
      <c r="D552" s="3" t="s">
        <v>1406</v>
      </c>
      <c r="E552" s="3" t="s">
        <v>1407</v>
      </c>
      <c r="F552" s="3" t="s">
        <v>16</v>
      </c>
      <c r="G552" s="3" t="s">
        <v>26</v>
      </c>
      <c r="H552" s="3"/>
      <c r="I552" s="3"/>
      <c r="J552" s="3" t="s">
        <v>19</v>
      </c>
      <c r="K552" s="3"/>
      <c r="L552" s="3" t="s">
        <v>63</v>
      </c>
    </row>
    <row r="553" customFormat="false" ht="11.9" hidden="false" customHeight="true" outlineLevel="0" collapsed="false">
      <c r="A553" s="3" t="str">
        <f aca="false">HYPERLINK("https://www.fabsurplus.com/sdi_catalog/salesItemDetails.do?id=114912")</f>
        <v>https://www.fabsurplus.com/sdi_catalog/salesItemDetails.do?id=114912</v>
      </c>
      <c r="B553" s="3" t="s">
        <v>1408</v>
      </c>
      <c r="C553" s="3" t="s">
        <v>1050</v>
      </c>
      <c r="D553" s="3" t="s">
        <v>1409</v>
      </c>
      <c r="E553" s="3" t="s">
        <v>1410</v>
      </c>
      <c r="F553" s="3" t="s">
        <v>16</v>
      </c>
      <c r="G553" s="3" t="s">
        <v>26</v>
      </c>
      <c r="H553" s="3"/>
      <c r="I553" s="3"/>
      <c r="J553" s="3" t="s">
        <v>19</v>
      </c>
      <c r="K553" s="3"/>
      <c r="L553" s="3" t="s">
        <v>63</v>
      </c>
    </row>
    <row r="554" customFormat="false" ht="11.9" hidden="false" customHeight="true" outlineLevel="0" collapsed="false">
      <c r="A554" s="2" t="str">
        <f aca="false">HYPERLINK("https://www.fabsurplus.com/sdi_catalog/salesItemDetails.do?id=114863")</f>
        <v>https://www.fabsurplus.com/sdi_catalog/salesItemDetails.do?id=114863</v>
      </c>
      <c r="B554" s="2" t="s">
        <v>1411</v>
      </c>
      <c r="C554" s="2" t="s">
        <v>1050</v>
      </c>
      <c r="D554" s="2" t="s">
        <v>1409</v>
      </c>
      <c r="E554" s="2" t="s">
        <v>1412</v>
      </c>
      <c r="F554" s="2" t="s">
        <v>16</v>
      </c>
      <c r="G554" s="2" t="s">
        <v>26</v>
      </c>
      <c r="H554" s="2"/>
      <c r="I554" s="2"/>
      <c r="J554" s="2" t="s">
        <v>19</v>
      </c>
      <c r="K554" s="2"/>
      <c r="L554" s="2" t="s">
        <v>63</v>
      </c>
    </row>
    <row r="555" customFormat="false" ht="11.9" hidden="false" customHeight="true" outlineLevel="0" collapsed="false">
      <c r="A555" s="3" t="str">
        <f aca="false">HYPERLINK("https://www.fabsurplus.com/sdi_catalog/salesItemDetails.do?id=114864")</f>
        <v>https://www.fabsurplus.com/sdi_catalog/salesItemDetails.do?id=114864</v>
      </c>
      <c r="B555" s="3" t="s">
        <v>1413</v>
      </c>
      <c r="C555" s="3" t="s">
        <v>1050</v>
      </c>
      <c r="D555" s="3" t="s">
        <v>1414</v>
      </c>
      <c r="E555" s="3" t="s">
        <v>1415</v>
      </c>
      <c r="F555" s="3" t="s">
        <v>16</v>
      </c>
      <c r="G555" s="3" t="s">
        <v>26</v>
      </c>
      <c r="H555" s="3"/>
      <c r="I555" s="3"/>
      <c r="J555" s="3" t="s">
        <v>19</v>
      </c>
      <c r="K555" s="3"/>
      <c r="L555" s="3" t="s">
        <v>63</v>
      </c>
    </row>
    <row r="556" customFormat="false" ht="11.9" hidden="false" customHeight="true" outlineLevel="0" collapsed="false">
      <c r="A556" s="2" t="str">
        <f aca="false">HYPERLINK("https://www.fabsurplus.com/sdi_catalog/salesItemDetails.do?id=114865")</f>
        <v>https://www.fabsurplus.com/sdi_catalog/salesItemDetails.do?id=114865</v>
      </c>
      <c r="B556" s="2" t="s">
        <v>1416</v>
      </c>
      <c r="C556" s="2" t="s">
        <v>1050</v>
      </c>
      <c r="D556" s="2" t="s">
        <v>1414</v>
      </c>
      <c r="E556" s="2" t="s">
        <v>1417</v>
      </c>
      <c r="F556" s="2" t="s">
        <v>16</v>
      </c>
      <c r="G556" s="2" t="s">
        <v>26</v>
      </c>
      <c r="H556" s="2"/>
      <c r="I556" s="2"/>
      <c r="J556" s="2" t="s">
        <v>19</v>
      </c>
      <c r="K556" s="2"/>
      <c r="L556" s="2" t="s">
        <v>63</v>
      </c>
    </row>
    <row r="557" customFormat="false" ht="11.9" hidden="false" customHeight="true" outlineLevel="0" collapsed="false">
      <c r="A557" s="2" t="str">
        <f aca="false">HYPERLINK("https://www.fabsurplus.com/sdi_catalog/salesItemDetails.do?id=114646")</f>
        <v>https://www.fabsurplus.com/sdi_catalog/salesItemDetails.do?id=114646</v>
      </c>
      <c r="B557" s="2" t="s">
        <v>1418</v>
      </c>
      <c r="C557" s="2" t="s">
        <v>1050</v>
      </c>
      <c r="D557" s="2" t="s">
        <v>1419</v>
      </c>
      <c r="E557" s="2" t="s">
        <v>1420</v>
      </c>
      <c r="F557" s="2" t="s">
        <v>16</v>
      </c>
      <c r="G557" s="2" t="s">
        <v>26</v>
      </c>
      <c r="H557" s="2"/>
      <c r="I557" s="2"/>
      <c r="J557" s="2" t="s">
        <v>19</v>
      </c>
      <c r="K557" s="2"/>
      <c r="L557" s="2" t="s">
        <v>63</v>
      </c>
    </row>
    <row r="558" customFormat="false" ht="11.9" hidden="false" customHeight="true" outlineLevel="0" collapsed="false">
      <c r="A558" s="3" t="str">
        <f aca="false">HYPERLINK("https://www.fabsurplus.com/sdi_catalog/salesItemDetails.do?id=114647")</f>
        <v>https://www.fabsurplus.com/sdi_catalog/salesItemDetails.do?id=114647</v>
      </c>
      <c r="B558" s="3" t="s">
        <v>1421</v>
      </c>
      <c r="C558" s="3" t="s">
        <v>1050</v>
      </c>
      <c r="D558" s="3" t="s">
        <v>1419</v>
      </c>
      <c r="E558" s="3" t="s">
        <v>1422</v>
      </c>
      <c r="F558" s="3" t="s">
        <v>16</v>
      </c>
      <c r="G558" s="3" t="s">
        <v>26</v>
      </c>
      <c r="H558" s="3"/>
      <c r="I558" s="3"/>
      <c r="J558" s="3" t="s">
        <v>19</v>
      </c>
      <c r="K558" s="3"/>
      <c r="L558" s="3" t="s">
        <v>63</v>
      </c>
    </row>
    <row r="559" customFormat="false" ht="11.9" hidden="false" customHeight="true" outlineLevel="0" collapsed="false">
      <c r="A559" s="2" t="str">
        <f aca="false">HYPERLINK("https://www.fabsurplus.com/sdi_catalog/salesItemDetails.do?id=114603")</f>
        <v>https://www.fabsurplus.com/sdi_catalog/salesItemDetails.do?id=114603</v>
      </c>
      <c r="B559" s="2" t="s">
        <v>1423</v>
      </c>
      <c r="C559" s="2" t="s">
        <v>1050</v>
      </c>
      <c r="D559" s="2" t="s">
        <v>1424</v>
      </c>
      <c r="E559" s="2" t="s">
        <v>1151</v>
      </c>
      <c r="F559" s="2" t="s">
        <v>77</v>
      </c>
      <c r="G559" s="2" t="s">
        <v>26</v>
      </c>
      <c r="H559" s="2"/>
      <c r="I559" s="2"/>
      <c r="J559" s="2" t="s">
        <v>19</v>
      </c>
      <c r="K559" s="2"/>
      <c r="L559" s="2" t="s">
        <v>63</v>
      </c>
    </row>
    <row r="560" customFormat="false" ht="11.9" hidden="false" customHeight="true" outlineLevel="0" collapsed="false">
      <c r="A560" s="3" t="str">
        <f aca="false">HYPERLINK("https://www.fabsurplus.com/sdi_catalog/salesItemDetails.do?id=114604")</f>
        <v>https://www.fabsurplus.com/sdi_catalog/salesItemDetails.do?id=114604</v>
      </c>
      <c r="B560" s="3" t="s">
        <v>1425</v>
      </c>
      <c r="C560" s="3" t="s">
        <v>1050</v>
      </c>
      <c r="D560" s="3" t="s">
        <v>1426</v>
      </c>
      <c r="E560" s="3" t="s">
        <v>1151</v>
      </c>
      <c r="F560" s="3" t="s">
        <v>16</v>
      </c>
      <c r="G560" s="3" t="s">
        <v>26</v>
      </c>
      <c r="H560" s="3"/>
      <c r="I560" s="3"/>
      <c r="J560" s="3" t="s">
        <v>19</v>
      </c>
      <c r="K560" s="3"/>
      <c r="L560" s="3" t="s">
        <v>63</v>
      </c>
    </row>
    <row r="561" customFormat="false" ht="11.9" hidden="false" customHeight="true" outlineLevel="0" collapsed="false">
      <c r="A561" s="2" t="str">
        <f aca="false">HYPERLINK("https://www.fabsurplus.com/sdi_catalog/salesItemDetails.do?id=114760")</f>
        <v>https://www.fabsurplus.com/sdi_catalog/salesItemDetails.do?id=114760</v>
      </c>
      <c r="B561" s="2" t="s">
        <v>1427</v>
      </c>
      <c r="C561" s="2" t="s">
        <v>1050</v>
      </c>
      <c r="D561" s="2" t="s">
        <v>1428</v>
      </c>
      <c r="E561" s="2" t="s">
        <v>1222</v>
      </c>
      <c r="F561" s="2" t="s">
        <v>77</v>
      </c>
      <c r="G561" s="2" t="s">
        <v>26</v>
      </c>
      <c r="H561" s="2"/>
      <c r="I561" s="2"/>
      <c r="J561" s="2" t="s">
        <v>19</v>
      </c>
      <c r="K561" s="2"/>
      <c r="L561" s="2" t="s">
        <v>63</v>
      </c>
    </row>
    <row r="562" customFormat="false" ht="11.9" hidden="false" customHeight="true" outlineLevel="0" collapsed="false">
      <c r="A562" s="2" t="str">
        <f aca="false">HYPERLINK("https://www.fabsurplus.com/sdi_catalog/salesItemDetails.do?id=114617")</f>
        <v>https://www.fabsurplus.com/sdi_catalog/salesItemDetails.do?id=114617</v>
      </c>
      <c r="B562" s="2" t="s">
        <v>1429</v>
      </c>
      <c r="C562" s="2" t="s">
        <v>1050</v>
      </c>
      <c r="D562" s="2" t="s">
        <v>1430</v>
      </c>
      <c r="E562" s="2" t="s">
        <v>1431</v>
      </c>
      <c r="F562" s="2" t="s">
        <v>16</v>
      </c>
      <c r="G562" s="2" t="s">
        <v>26</v>
      </c>
      <c r="H562" s="2"/>
      <c r="I562" s="2"/>
      <c r="J562" s="2" t="s">
        <v>19</v>
      </c>
      <c r="K562" s="2"/>
      <c r="L562" s="2" t="s">
        <v>63</v>
      </c>
    </row>
    <row r="563" customFormat="false" ht="11.9" hidden="false" customHeight="true" outlineLevel="0" collapsed="false">
      <c r="A563" s="2" t="str">
        <f aca="false">HYPERLINK("https://www.fabsurplus.com/sdi_catalog/salesItemDetails.do?id=114648")</f>
        <v>https://www.fabsurplus.com/sdi_catalog/salesItemDetails.do?id=114648</v>
      </c>
      <c r="B563" s="2" t="s">
        <v>1432</v>
      </c>
      <c r="C563" s="2" t="s">
        <v>1050</v>
      </c>
      <c r="D563" s="2" t="s">
        <v>1430</v>
      </c>
      <c r="E563" s="2" t="s">
        <v>1433</v>
      </c>
      <c r="F563" s="2" t="s">
        <v>16</v>
      </c>
      <c r="G563" s="2" t="s">
        <v>26</v>
      </c>
      <c r="H563" s="2"/>
      <c r="I563" s="2"/>
      <c r="J563" s="2" t="s">
        <v>19</v>
      </c>
      <c r="K563" s="2"/>
      <c r="L563" s="2" t="s">
        <v>63</v>
      </c>
    </row>
    <row r="564" customFormat="false" ht="11.9" hidden="false" customHeight="true" outlineLevel="0" collapsed="false">
      <c r="A564" s="3" t="str">
        <f aca="false">HYPERLINK("https://www.fabsurplus.com/sdi_catalog/salesItemDetails.do?id=114618")</f>
        <v>https://www.fabsurplus.com/sdi_catalog/salesItemDetails.do?id=114618</v>
      </c>
      <c r="B564" s="3" t="s">
        <v>1434</v>
      </c>
      <c r="C564" s="3" t="s">
        <v>1050</v>
      </c>
      <c r="D564" s="3" t="s">
        <v>1435</v>
      </c>
      <c r="E564" s="3" t="s">
        <v>1151</v>
      </c>
      <c r="F564" s="3" t="s">
        <v>16</v>
      </c>
      <c r="G564" s="3" t="s">
        <v>26</v>
      </c>
      <c r="H564" s="3"/>
      <c r="I564" s="3"/>
      <c r="J564" s="3" t="s">
        <v>19</v>
      </c>
      <c r="K564" s="3"/>
      <c r="L564" s="3" t="s">
        <v>63</v>
      </c>
    </row>
    <row r="565" customFormat="false" ht="11.9" hidden="false" customHeight="true" outlineLevel="0" collapsed="false">
      <c r="A565" s="2" t="str">
        <f aca="false">HYPERLINK("https://www.fabsurplus.com/sdi_catalog/salesItemDetails.do?id=114724")</f>
        <v>https://www.fabsurplus.com/sdi_catalog/salesItemDetails.do?id=114724</v>
      </c>
      <c r="B565" s="2" t="s">
        <v>1436</v>
      </c>
      <c r="C565" s="2" t="s">
        <v>1050</v>
      </c>
      <c r="D565" s="2" t="s">
        <v>1435</v>
      </c>
      <c r="E565" s="2" t="s">
        <v>1153</v>
      </c>
      <c r="F565" s="2" t="s">
        <v>16</v>
      </c>
      <c r="G565" s="2" t="s">
        <v>26</v>
      </c>
      <c r="H565" s="2"/>
      <c r="I565" s="2"/>
      <c r="J565" s="2" t="s">
        <v>19</v>
      </c>
      <c r="K565" s="2"/>
      <c r="L565" s="2" t="s">
        <v>63</v>
      </c>
    </row>
    <row r="566" customFormat="false" ht="11.9" hidden="false" customHeight="true" outlineLevel="0" collapsed="false">
      <c r="A566" s="3" t="str">
        <f aca="false">HYPERLINK("https://www.fabsurplus.com/sdi_catalog/salesItemDetails.do?id=114589")</f>
        <v>https://www.fabsurplus.com/sdi_catalog/salesItemDetails.do?id=114589</v>
      </c>
      <c r="B566" s="3" t="s">
        <v>1437</v>
      </c>
      <c r="C566" s="3" t="s">
        <v>1050</v>
      </c>
      <c r="D566" s="3" t="s">
        <v>1435</v>
      </c>
      <c r="E566" s="3" t="s">
        <v>1438</v>
      </c>
      <c r="F566" s="3" t="s">
        <v>77</v>
      </c>
      <c r="G566" s="3" t="s">
        <v>26</v>
      </c>
      <c r="H566" s="3"/>
      <c r="I566" s="3"/>
      <c r="J566" s="3" t="s">
        <v>19</v>
      </c>
      <c r="K566" s="3"/>
      <c r="L566" s="3" t="s">
        <v>63</v>
      </c>
    </row>
    <row r="567" customFormat="false" ht="11.9" hidden="false" customHeight="true" outlineLevel="0" collapsed="false">
      <c r="A567" s="2" t="str">
        <f aca="false">HYPERLINK("https://www.fabsurplus.com/sdi_catalog/salesItemDetails.do?id=114590")</f>
        <v>https://www.fabsurplus.com/sdi_catalog/salesItemDetails.do?id=114590</v>
      </c>
      <c r="B567" s="2" t="s">
        <v>1439</v>
      </c>
      <c r="C567" s="2" t="s">
        <v>1050</v>
      </c>
      <c r="D567" s="2" t="s">
        <v>1435</v>
      </c>
      <c r="E567" s="2" t="s">
        <v>1440</v>
      </c>
      <c r="F567" s="2" t="s">
        <v>16</v>
      </c>
      <c r="G567" s="2" t="s">
        <v>26</v>
      </c>
      <c r="H567" s="2"/>
      <c r="I567" s="2"/>
      <c r="J567" s="2" t="s">
        <v>19</v>
      </c>
      <c r="K567" s="2"/>
      <c r="L567" s="2" t="s">
        <v>63</v>
      </c>
    </row>
    <row r="568" customFormat="false" ht="11.9" hidden="false" customHeight="true" outlineLevel="0" collapsed="false">
      <c r="A568" s="2" t="str">
        <f aca="false">HYPERLINK("https://www.fabsurplus.com/sdi_catalog/salesItemDetails.do?id=114619")</f>
        <v>https://www.fabsurplus.com/sdi_catalog/salesItemDetails.do?id=114619</v>
      </c>
      <c r="B568" s="2" t="s">
        <v>1441</v>
      </c>
      <c r="C568" s="2" t="s">
        <v>1050</v>
      </c>
      <c r="D568" s="2" t="s">
        <v>1435</v>
      </c>
      <c r="E568" s="2" t="s">
        <v>1222</v>
      </c>
      <c r="F568" s="2" t="s">
        <v>16</v>
      </c>
      <c r="G568" s="2" t="s">
        <v>26</v>
      </c>
      <c r="H568" s="2"/>
      <c r="I568" s="2"/>
      <c r="J568" s="2" t="s">
        <v>19</v>
      </c>
      <c r="K568" s="2"/>
      <c r="L568" s="2" t="s">
        <v>63</v>
      </c>
    </row>
    <row r="569" customFormat="false" ht="11.9" hidden="false" customHeight="true" outlineLevel="0" collapsed="false">
      <c r="A569" s="3" t="str">
        <f aca="false">HYPERLINK("https://www.fabsurplus.com/sdi_catalog/salesItemDetails.do?id=114592")</f>
        <v>https://www.fabsurplus.com/sdi_catalog/salesItemDetails.do?id=114592</v>
      </c>
      <c r="B569" s="3" t="s">
        <v>1442</v>
      </c>
      <c r="C569" s="3" t="s">
        <v>1050</v>
      </c>
      <c r="D569" s="3" t="s">
        <v>1443</v>
      </c>
      <c r="E569" s="3" t="s">
        <v>1444</v>
      </c>
      <c r="F569" s="3" t="s">
        <v>16</v>
      </c>
      <c r="G569" s="3" t="s">
        <v>26</v>
      </c>
      <c r="H569" s="3"/>
      <c r="I569" s="3"/>
      <c r="J569" s="3" t="s">
        <v>19</v>
      </c>
      <c r="K569" s="3"/>
      <c r="L569" s="3" t="s">
        <v>63</v>
      </c>
    </row>
    <row r="570" customFormat="false" ht="11.9" hidden="false" customHeight="true" outlineLevel="0" collapsed="false">
      <c r="A570" s="3" t="str">
        <f aca="false">HYPERLINK("https://www.fabsurplus.com/sdi_catalog/salesItemDetails.do?id=114725")</f>
        <v>https://www.fabsurplus.com/sdi_catalog/salesItemDetails.do?id=114725</v>
      </c>
      <c r="B570" s="3" t="s">
        <v>1445</v>
      </c>
      <c r="C570" s="3" t="s">
        <v>1050</v>
      </c>
      <c r="D570" s="3" t="s">
        <v>1446</v>
      </c>
      <c r="E570" s="3" t="s">
        <v>1447</v>
      </c>
      <c r="F570" s="3" t="s">
        <v>16</v>
      </c>
      <c r="G570" s="3" t="s">
        <v>26</v>
      </c>
      <c r="H570" s="3"/>
      <c r="I570" s="3"/>
      <c r="J570" s="3" t="s">
        <v>19</v>
      </c>
      <c r="K570" s="3"/>
      <c r="L570" s="3" t="s">
        <v>63</v>
      </c>
    </row>
    <row r="571" customFormat="false" ht="11.9" hidden="false" customHeight="true" outlineLevel="0" collapsed="false">
      <c r="A571" s="2" t="str">
        <f aca="false">HYPERLINK("https://www.fabsurplus.com/sdi_catalog/salesItemDetails.do?id=114605")</f>
        <v>https://www.fabsurplus.com/sdi_catalog/salesItemDetails.do?id=114605</v>
      </c>
      <c r="B571" s="2" t="s">
        <v>1448</v>
      </c>
      <c r="C571" s="2" t="s">
        <v>1050</v>
      </c>
      <c r="D571" s="2" t="s">
        <v>1449</v>
      </c>
      <c r="E571" s="2" t="s">
        <v>1151</v>
      </c>
      <c r="F571" s="2" t="s">
        <v>16</v>
      </c>
      <c r="G571" s="2" t="s">
        <v>26</v>
      </c>
      <c r="H571" s="2"/>
      <c r="I571" s="2"/>
      <c r="J571" s="2" t="s">
        <v>19</v>
      </c>
      <c r="K571" s="2"/>
      <c r="L571" s="2" t="s">
        <v>63</v>
      </c>
    </row>
    <row r="572" customFormat="false" ht="11.9" hidden="false" customHeight="true" outlineLevel="0" collapsed="false">
      <c r="A572" s="2" t="str">
        <f aca="false">HYPERLINK("https://www.fabsurplus.com/sdi_catalog/salesItemDetails.do?id=114649")</f>
        <v>https://www.fabsurplus.com/sdi_catalog/salesItemDetails.do?id=114649</v>
      </c>
      <c r="B572" s="2" t="s">
        <v>1450</v>
      </c>
      <c r="C572" s="2" t="s">
        <v>1050</v>
      </c>
      <c r="D572" s="2" t="s">
        <v>1449</v>
      </c>
      <c r="E572" s="2" t="s">
        <v>1153</v>
      </c>
      <c r="F572" s="2" t="s">
        <v>16</v>
      </c>
      <c r="G572" s="2" t="s">
        <v>26</v>
      </c>
      <c r="H572" s="2"/>
      <c r="I572" s="2"/>
      <c r="J572" s="2" t="s">
        <v>19</v>
      </c>
      <c r="K572" s="2"/>
      <c r="L572" s="2" t="s">
        <v>63</v>
      </c>
    </row>
    <row r="573" customFormat="false" ht="11.9" hidden="false" customHeight="true" outlineLevel="0" collapsed="false">
      <c r="A573" s="2" t="str">
        <f aca="false">HYPERLINK("https://www.fabsurplus.com/sdi_catalog/salesItemDetails.do?id=114685")</f>
        <v>https://www.fabsurplus.com/sdi_catalog/salesItemDetails.do?id=114685</v>
      </c>
      <c r="B573" s="2" t="s">
        <v>1451</v>
      </c>
      <c r="C573" s="2" t="s">
        <v>1050</v>
      </c>
      <c r="D573" s="2" t="s">
        <v>1449</v>
      </c>
      <c r="E573" s="2" t="s">
        <v>1452</v>
      </c>
      <c r="F573" s="2" t="s">
        <v>16</v>
      </c>
      <c r="G573" s="2" t="s">
        <v>26</v>
      </c>
      <c r="H573" s="2"/>
      <c r="I573" s="2"/>
      <c r="J573" s="2" t="s">
        <v>19</v>
      </c>
      <c r="K573" s="2"/>
      <c r="L573" s="2" t="s">
        <v>63</v>
      </c>
    </row>
    <row r="574" customFormat="false" ht="11.9" hidden="false" customHeight="true" outlineLevel="0" collapsed="false">
      <c r="A574" s="3" t="str">
        <f aca="false">HYPERLINK("https://www.fabsurplus.com/sdi_catalog/salesItemDetails.do?id=114606")</f>
        <v>https://www.fabsurplus.com/sdi_catalog/salesItemDetails.do?id=114606</v>
      </c>
      <c r="B574" s="3" t="s">
        <v>1453</v>
      </c>
      <c r="C574" s="3" t="s">
        <v>1050</v>
      </c>
      <c r="D574" s="3" t="s">
        <v>1454</v>
      </c>
      <c r="E574" s="3" t="s">
        <v>1455</v>
      </c>
      <c r="F574" s="3" t="s">
        <v>16</v>
      </c>
      <c r="G574" s="3" t="s">
        <v>26</v>
      </c>
      <c r="H574" s="3"/>
      <c r="I574" s="3"/>
      <c r="J574" s="3" t="s">
        <v>19</v>
      </c>
      <c r="K574" s="3"/>
      <c r="L574" s="3" t="s">
        <v>63</v>
      </c>
    </row>
    <row r="575" customFormat="false" ht="11.9" hidden="false" customHeight="true" outlineLevel="0" collapsed="false">
      <c r="A575" s="3" t="str">
        <f aca="false">HYPERLINK("https://www.fabsurplus.com/sdi_catalog/salesItemDetails.do?id=114607")</f>
        <v>https://www.fabsurplus.com/sdi_catalog/salesItemDetails.do?id=114607</v>
      </c>
      <c r="B575" s="3" t="s">
        <v>1456</v>
      </c>
      <c r="C575" s="3" t="s">
        <v>1050</v>
      </c>
      <c r="D575" s="3" t="s">
        <v>1454</v>
      </c>
      <c r="E575" s="3" t="s">
        <v>1457</v>
      </c>
      <c r="F575" s="3" t="s">
        <v>16</v>
      </c>
      <c r="G575" s="3" t="s">
        <v>26</v>
      </c>
      <c r="H575" s="3"/>
      <c r="I575" s="3"/>
      <c r="J575" s="3" t="s">
        <v>19</v>
      </c>
      <c r="K575" s="3"/>
      <c r="L575" s="3" t="s">
        <v>63</v>
      </c>
    </row>
    <row r="576" customFormat="false" ht="11.9" hidden="false" customHeight="true" outlineLevel="0" collapsed="false">
      <c r="A576" s="2" t="str">
        <f aca="false">HYPERLINK("https://www.fabsurplus.com/sdi_catalog/salesItemDetails.do?id=114880")</f>
        <v>https://www.fabsurplus.com/sdi_catalog/salesItemDetails.do?id=114880</v>
      </c>
      <c r="B576" s="2" t="s">
        <v>1458</v>
      </c>
      <c r="C576" s="2" t="s">
        <v>1050</v>
      </c>
      <c r="D576" s="2" t="s">
        <v>1459</v>
      </c>
      <c r="E576" s="2" t="s">
        <v>1151</v>
      </c>
      <c r="F576" s="2" t="s">
        <v>16</v>
      </c>
      <c r="G576" s="2" t="s">
        <v>26</v>
      </c>
      <c r="H576" s="2"/>
      <c r="I576" s="2"/>
      <c r="J576" s="2" t="s">
        <v>19</v>
      </c>
      <c r="K576" s="2"/>
      <c r="L576" s="2" t="s">
        <v>63</v>
      </c>
    </row>
    <row r="577" customFormat="false" ht="11.9" hidden="false" customHeight="true" outlineLevel="0" collapsed="false">
      <c r="A577" s="3" t="str">
        <f aca="false">HYPERLINK("https://www.fabsurplus.com/sdi_catalog/salesItemDetails.do?id=114587")</f>
        <v>https://www.fabsurplus.com/sdi_catalog/salesItemDetails.do?id=114587</v>
      </c>
      <c r="B577" s="3" t="s">
        <v>1460</v>
      </c>
      <c r="C577" s="3" t="s">
        <v>1050</v>
      </c>
      <c r="D577" s="3" t="s">
        <v>1461</v>
      </c>
      <c r="E577" s="3" t="s">
        <v>1462</v>
      </c>
      <c r="F577" s="3" t="s">
        <v>16</v>
      </c>
      <c r="G577" s="3" t="s">
        <v>26</v>
      </c>
      <c r="H577" s="3"/>
      <c r="I577" s="3"/>
      <c r="J577" s="3" t="s">
        <v>19</v>
      </c>
      <c r="K577" s="3"/>
      <c r="L577" s="3" t="s">
        <v>63</v>
      </c>
    </row>
    <row r="578" customFormat="false" ht="11.9" hidden="false" customHeight="true" outlineLevel="0" collapsed="false">
      <c r="A578" s="3" t="str">
        <f aca="false">HYPERLINK("https://www.fabsurplus.com/sdi_catalog/salesItemDetails.do?id=114661")</f>
        <v>https://www.fabsurplus.com/sdi_catalog/salesItemDetails.do?id=114661</v>
      </c>
      <c r="B578" s="3" t="s">
        <v>1463</v>
      </c>
      <c r="C578" s="3" t="s">
        <v>1050</v>
      </c>
      <c r="D578" s="3" t="s">
        <v>1464</v>
      </c>
      <c r="E578" s="3" t="s">
        <v>1465</v>
      </c>
      <c r="F578" s="3" t="s">
        <v>16</v>
      </c>
      <c r="G578" s="3" t="s">
        <v>26</v>
      </c>
      <c r="H578" s="3"/>
      <c r="I578" s="3"/>
      <c r="J578" s="3" t="s">
        <v>19</v>
      </c>
      <c r="K578" s="3"/>
      <c r="L578" s="3" t="s">
        <v>63</v>
      </c>
    </row>
    <row r="579" customFormat="false" ht="11.9" hidden="false" customHeight="true" outlineLevel="0" collapsed="false">
      <c r="A579" s="3" t="str">
        <f aca="false">HYPERLINK("https://www.fabsurplus.com/sdi_catalog/salesItemDetails.do?id=114670")</f>
        <v>https://www.fabsurplus.com/sdi_catalog/salesItemDetails.do?id=114670</v>
      </c>
      <c r="B579" s="3" t="s">
        <v>1466</v>
      </c>
      <c r="C579" s="3" t="s">
        <v>1050</v>
      </c>
      <c r="D579" s="3" t="s">
        <v>1467</v>
      </c>
      <c r="E579" s="3" t="s">
        <v>1468</v>
      </c>
      <c r="F579" s="3" t="s">
        <v>16</v>
      </c>
      <c r="G579" s="3" t="s">
        <v>26</v>
      </c>
      <c r="H579" s="3"/>
      <c r="I579" s="3"/>
      <c r="J579" s="3" t="s">
        <v>19</v>
      </c>
      <c r="K579" s="3"/>
      <c r="L579" s="3" t="s">
        <v>63</v>
      </c>
    </row>
    <row r="580" customFormat="false" ht="11.9" hidden="false" customHeight="true" outlineLevel="0" collapsed="false">
      <c r="A580" s="3" t="str">
        <f aca="false">HYPERLINK("https://www.fabsurplus.com/sdi_catalog/salesItemDetails.do?id=114624")</f>
        <v>https://www.fabsurplus.com/sdi_catalog/salesItemDetails.do?id=114624</v>
      </c>
      <c r="B580" s="3" t="s">
        <v>1469</v>
      </c>
      <c r="C580" s="3" t="s">
        <v>1050</v>
      </c>
      <c r="D580" s="3" t="s">
        <v>1470</v>
      </c>
      <c r="E580" s="3" t="s">
        <v>1471</v>
      </c>
      <c r="F580" s="3" t="s">
        <v>16</v>
      </c>
      <c r="G580" s="3" t="s">
        <v>26</v>
      </c>
      <c r="H580" s="3"/>
      <c r="I580" s="3"/>
      <c r="J580" s="3" t="s">
        <v>19</v>
      </c>
      <c r="K580" s="3"/>
      <c r="L580" s="3" t="s">
        <v>63</v>
      </c>
    </row>
    <row r="581" customFormat="false" ht="11.9" hidden="false" customHeight="true" outlineLevel="0" collapsed="false">
      <c r="A581" s="3" t="str">
        <f aca="false">HYPERLINK("https://www.fabsurplus.com/sdi_catalog/salesItemDetails.do?id=115036")</f>
        <v>https://www.fabsurplus.com/sdi_catalog/salesItemDetails.do?id=115036</v>
      </c>
      <c r="B581" s="3" t="s">
        <v>1472</v>
      </c>
      <c r="C581" s="3" t="s">
        <v>1050</v>
      </c>
      <c r="D581" s="3" t="s">
        <v>1473</v>
      </c>
      <c r="E581" s="3" t="s">
        <v>1474</v>
      </c>
      <c r="F581" s="3" t="s">
        <v>16</v>
      </c>
      <c r="G581" s="3" t="s">
        <v>26</v>
      </c>
      <c r="H581" s="3"/>
      <c r="I581" s="3"/>
      <c r="J581" s="3" t="s">
        <v>19</v>
      </c>
      <c r="K581" s="3"/>
      <c r="L581" s="3" t="s">
        <v>63</v>
      </c>
    </row>
    <row r="582" customFormat="false" ht="11.9" hidden="false" customHeight="true" outlineLevel="0" collapsed="false">
      <c r="A582" s="2" t="str">
        <f aca="false">HYPERLINK("https://www.fabsurplus.com/sdi_catalog/salesItemDetails.do?id=115037")</f>
        <v>https://www.fabsurplus.com/sdi_catalog/salesItemDetails.do?id=115037</v>
      </c>
      <c r="B582" s="2" t="s">
        <v>1475</v>
      </c>
      <c r="C582" s="2" t="s">
        <v>1050</v>
      </c>
      <c r="D582" s="2" t="s">
        <v>1476</v>
      </c>
      <c r="E582" s="2" t="s">
        <v>1477</v>
      </c>
      <c r="F582" s="2" t="s">
        <v>16</v>
      </c>
      <c r="G582" s="2" t="s">
        <v>26</v>
      </c>
      <c r="H582" s="2"/>
      <c r="I582" s="2"/>
      <c r="J582" s="2" t="s">
        <v>19</v>
      </c>
      <c r="K582" s="2"/>
      <c r="L582" s="2" t="s">
        <v>63</v>
      </c>
    </row>
    <row r="583" customFormat="false" ht="11.9" hidden="false" customHeight="true" outlineLevel="0" collapsed="false">
      <c r="A583" s="2" t="str">
        <f aca="false">HYPERLINK("https://www.fabsurplus.com/sdi_catalog/salesItemDetails.do?id=114662")</f>
        <v>https://www.fabsurplus.com/sdi_catalog/salesItemDetails.do?id=114662</v>
      </c>
      <c r="B583" s="2" t="s">
        <v>1478</v>
      </c>
      <c r="C583" s="2" t="s">
        <v>1050</v>
      </c>
      <c r="D583" s="2" t="s">
        <v>1479</v>
      </c>
      <c r="E583" s="2" t="s">
        <v>1480</v>
      </c>
      <c r="F583" s="2" t="s">
        <v>16</v>
      </c>
      <c r="G583" s="2" t="s">
        <v>26</v>
      </c>
      <c r="H583" s="2"/>
      <c r="I583" s="2"/>
      <c r="J583" s="2" t="s">
        <v>19</v>
      </c>
      <c r="K583" s="2"/>
      <c r="L583" s="2" t="s">
        <v>63</v>
      </c>
    </row>
    <row r="584" customFormat="false" ht="11.9" hidden="false" customHeight="true" outlineLevel="0" collapsed="false">
      <c r="A584" s="3" t="str">
        <f aca="false">HYPERLINK("https://www.fabsurplus.com/sdi_catalog/salesItemDetails.do?id=114650")</f>
        <v>https://www.fabsurplus.com/sdi_catalog/salesItemDetails.do?id=114650</v>
      </c>
      <c r="B584" s="3" t="s">
        <v>1481</v>
      </c>
      <c r="C584" s="3" t="s">
        <v>1050</v>
      </c>
      <c r="D584" s="3" t="s">
        <v>1479</v>
      </c>
      <c r="E584" s="3" t="s">
        <v>1482</v>
      </c>
      <c r="F584" s="3" t="s">
        <v>77</v>
      </c>
      <c r="G584" s="3" t="s">
        <v>26</v>
      </c>
      <c r="H584" s="3"/>
      <c r="I584" s="3"/>
      <c r="J584" s="3" t="s">
        <v>19</v>
      </c>
      <c r="K584" s="3"/>
      <c r="L584" s="3" t="s">
        <v>63</v>
      </c>
    </row>
    <row r="585" customFormat="false" ht="11.9" hidden="false" customHeight="true" outlineLevel="0" collapsed="false">
      <c r="A585" s="3" t="str">
        <f aca="false">HYPERLINK("https://www.fabsurplus.com/sdi_catalog/salesItemDetails.do?id=114814")</f>
        <v>https://www.fabsurplus.com/sdi_catalog/salesItemDetails.do?id=114814</v>
      </c>
      <c r="B585" s="3" t="s">
        <v>1483</v>
      </c>
      <c r="C585" s="3" t="s">
        <v>1050</v>
      </c>
      <c r="D585" s="3" t="s">
        <v>1484</v>
      </c>
      <c r="E585" s="3" t="s">
        <v>1485</v>
      </c>
      <c r="F585" s="3" t="s">
        <v>16</v>
      </c>
      <c r="G585" s="3" t="s">
        <v>26</v>
      </c>
      <c r="H585" s="3"/>
      <c r="I585" s="3"/>
      <c r="J585" s="3" t="s">
        <v>19</v>
      </c>
      <c r="K585" s="3"/>
      <c r="L585" s="3" t="s">
        <v>63</v>
      </c>
    </row>
    <row r="586" customFormat="false" ht="11.9" hidden="false" customHeight="true" outlineLevel="0" collapsed="false">
      <c r="A586" s="2" t="str">
        <f aca="false">HYPERLINK("https://www.fabsurplus.com/sdi_catalog/salesItemDetails.do?id=114726")</f>
        <v>https://www.fabsurplus.com/sdi_catalog/salesItemDetails.do?id=114726</v>
      </c>
      <c r="B586" s="2" t="s">
        <v>1486</v>
      </c>
      <c r="C586" s="2" t="s">
        <v>1050</v>
      </c>
      <c r="D586" s="2" t="s">
        <v>1487</v>
      </c>
      <c r="E586" s="2" t="s">
        <v>1488</v>
      </c>
      <c r="F586" s="2" t="s">
        <v>16</v>
      </c>
      <c r="G586" s="2" t="s">
        <v>26</v>
      </c>
      <c r="H586" s="2"/>
      <c r="I586" s="2"/>
      <c r="J586" s="2" t="s">
        <v>19</v>
      </c>
      <c r="K586" s="2"/>
      <c r="L586" s="2" t="s">
        <v>63</v>
      </c>
    </row>
    <row r="587" customFormat="false" ht="11.9" hidden="false" customHeight="true" outlineLevel="0" collapsed="false">
      <c r="A587" s="3" t="str">
        <f aca="false">HYPERLINK("https://www.fabsurplus.com/sdi_catalog/salesItemDetails.do?id=114686")</f>
        <v>https://www.fabsurplus.com/sdi_catalog/salesItemDetails.do?id=114686</v>
      </c>
      <c r="B587" s="3" t="s">
        <v>1489</v>
      </c>
      <c r="C587" s="3" t="s">
        <v>1050</v>
      </c>
      <c r="D587" s="3" t="s">
        <v>1490</v>
      </c>
      <c r="E587" s="3" t="s">
        <v>1491</v>
      </c>
      <c r="F587" s="3" t="s">
        <v>101</v>
      </c>
      <c r="G587" s="3" t="s">
        <v>26</v>
      </c>
      <c r="H587" s="3"/>
      <c r="I587" s="3"/>
      <c r="J587" s="3" t="s">
        <v>19</v>
      </c>
      <c r="K587" s="3"/>
      <c r="L587" s="3" t="s">
        <v>63</v>
      </c>
    </row>
    <row r="588" customFormat="false" ht="11.9" hidden="false" customHeight="true" outlineLevel="0" collapsed="false">
      <c r="A588" s="3" t="str">
        <f aca="false">HYPERLINK("https://www.fabsurplus.com/sdi_catalog/salesItemDetails.do?id=114936")</f>
        <v>https://www.fabsurplus.com/sdi_catalog/salesItemDetails.do?id=114936</v>
      </c>
      <c r="B588" s="3" t="s">
        <v>1492</v>
      </c>
      <c r="C588" s="3" t="s">
        <v>1050</v>
      </c>
      <c r="D588" s="3" t="s">
        <v>1493</v>
      </c>
      <c r="E588" s="3" t="s">
        <v>1494</v>
      </c>
      <c r="F588" s="3" t="s">
        <v>16</v>
      </c>
      <c r="G588" s="3" t="s">
        <v>26</v>
      </c>
      <c r="H588" s="3"/>
      <c r="I588" s="3"/>
      <c r="J588" s="3" t="s">
        <v>19</v>
      </c>
      <c r="K588" s="3"/>
      <c r="L588" s="3" t="s">
        <v>63</v>
      </c>
    </row>
    <row r="589" customFormat="false" ht="11.9" hidden="false" customHeight="true" outlineLevel="0" collapsed="false">
      <c r="A589" s="3" t="str">
        <f aca="false">HYPERLINK("https://www.fabsurplus.com/sdi_catalog/salesItemDetails.do?id=115038")</f>
        <v>https://www.fabsurplus.com/sdi_catalog/salesItemDetails.do?id=115038</v>
      </c>
      <c r="B589" s="3" t="s">
        <v>1495</v>
      </c>
      <c r="C589" s="3" t="s">
        <v>1050</v>
      </c>
      <c r="D589" s="3" t="s">
        <v>1496</v>
      </c>
      <c r="E589" s="3" t="s">
        <v>1497</v>
      </c>
      <c r="F589" s="3" t="s">
        <v>101</v>
      </c>
      <c r="G589" s="3" t="s">
        <v>26</v>
      </c>
      <c r="H589" s="3"/>
      <c r="I589" s="3"/>
      <c r="J589" s="3" t="s">
        <v>19</v>
      </c>
      <c r="K589" s="3"/>
      <c r="L589" s="3" t="s">
        <v>63</v>
      </c>
    </row>
    <row r="590" customFormat="false" ht="11.9" hidden="false" customHeight="true" outlineLevel="0" collapsed="false">
      <c r="A590" s="3" t="str">
        <f aca="false">HYPERLINK("https://www.fabsurplus.com/sdi_catalog/salesItemDetails.do?id=114761")</f>
        <v>https://www.fabsurplus.com/sdi_catalog/salesItemDetails.do?id=114761</v>
      </c>
      <c r="B590" s="3" t="s">
        <v>1498</v>
      </c>
      <c r="C590" s="3" t="s">
        <v>1050</v>
      </c>
      <c r="D590" s="3" t="s">
        <v>1499</v>
      </c>
      <c r="E590" s="3" t="s">
        <v>1500</v>
      </c>
      <c r="F590" s="3" t="s">
        <v>16</v>
      </c>
      <c r="G590" s="3" t="s">
        <v>26</v>
      </c>
      <c r="H590" s="3"/>
      <c r="I590" s="3"/>
      <c r="J590" s="3" t="s">
        <v>19</v>
      </c>
      <c r="K590" s="3"/>
      <c r="L590" s="3" t="s">
        <v>63</v>
      </c>
    </row>
    <row r="591" customFormat="false" ht="11.9" hidden="false" customHeight="true" outlineLevel="0" collapsed="false">
      <c r="A591" s="2" t="str">
        <f aca="false">HYPERLINK("https://www.fabsurplus.com/sdi_catalog/salesItemDetails.do?id=114762")</f>
        <v>https://www.fabsurplus.com/sdi_catalog/salesItemDetails.do?id=114762</v>
      </c>
      <c r="B591" s="2" t="s">
        <v>1501</v>
      </c>
      <c r="C591" s="2" t="s">
        <v>1050</v>
      </c>
      <c r="D591" s="2" t="s">
        <v>1502</v>
      </c>
      <c r="E591" s="2" t="s">
        <v>1401</v>
      </c>
      <c r="F591" s="2" t="s">
        <v>16</v>
      </c>
      <c r="G591" s="2" t="s">
        <v>26</v>
      </c>
      <c r="H591" s="2"/>
      <c r="I591" s="2"/>
      <c r="J591" s="2" t="s">
        <v>19</v>
      </c>
      <c r="K591" s="2"/>
      <c r="L591" s="2" t="s">
        <v>63</v>
      </c>
    </row>
    <row r="592" customFormat="false" ht="11.9" hidden="false" customHeight="true" outlineLevel="0" collapsed="false">
      <c r="A592" s="2" t="str">
        <f aca="false">HYPERLINK("https://www.fabsurplus.com/sdi_catalog/salesItemDetails.do?id=114608")</f>
        <v>https://www.fabsurplus.com/sdi_catalog/salesItemDetails.do?id=114608</v>
      </c>
      <c r="B592" s="2" t="s">
        <v>1503</v>
      </c>
      <c r="C592" s="2" t="s">
        <v>1050</v>
      </c>
      <c r="D592" s="2" t="s">
        <v>1504</v>
      </c>
      <c r="E592" s="2" t="s">
        <v>1151</v>
      </c>
      <c r="F592" s="2" t="s">
        <v>16</v>
      </c>
      <c r="G592" s="2" t="s">
        <v>26</v>
      </c>
      <c r="H592" s="2"/>
      <c r="I592" s="2"/>
      <c r="J592" s="2" t="s">
        <v>19</v>
      </c>
      <c r="K592" s="2"/>
      <c r="L592" s="2" t="s">
        <v>63</v>
      </c>
    </row>
    <row r="593" customFormat="false" ht="11.9" hidden="false" customHeight="true" outlineLevel="0" collapsed="false">
      <c r="A593" s="2" t="str">
        <f aca="false">HYPERLINK("https://www.fabsurplus.com/sdi_catalog/salesItemDetails.do?id=114881")</f>
        <v>https://www.fabsurplus.com/sdi_catalog/salesItemDetails.do?id=114881</v>
      </c>
      <c r="B593" s="2" t="s">
        <v>1505</v>
      </c>
      <c r="C593" s="2" t="s">
        <v>1050</v>
      </c>
      <c r="D593" s="2" t="s">
        <v>1506</v>
      </c>
      <c r="E593" s="2" t="s">
        <v>1143</v>
      </c>
      <c r="F593" s="2" t="s">
        <v>16</v>
      </c>
      <c r="G593" s="2" t="s">
        <v>26</v>
      </c>
      <c r="H593" s="2"/>
      <c r="I593" s="2"/>
      <c r="J593" s="2" t="s">
        <v>19</v>
      </c>
      <c r="K593" s="2"/>
      <c r="L593" s="2" t="s">
        <v>63</v>
      </c>
    </row>
    <row r="594" customFormat="false" ht="11.9" hidden="false" customHeight="true" outlineLevel="0" collapsed="false">
      <c r="A594" s="3" t="str">
        <f aca="false">HYPERLINK("https://www.fabsurplus.com/sdi_catalog/salesItemDetails.do?id=114620")</f>
        <v>https://www.fabsurplus.com/sdi_catalog/salesItemDetails.do?id=114620</v>
      </c>
      <c r="B594" s="3" t="s">
        <v>1507</v>
      </c>
      <c r="C594" s="3" t="s">
        <v>1050</v>
      </c>
      <c r="D594" s="3" t="s">
        <v>1508</v>
      </c>
      <c r="E594" s="3" t="s">
        <v>1275</v>
      </c>
      <c r="F594" s="3" t="s">
        <v>77</v>
      </c>
      <c r="G594" s="3" t="s">
        <v>26</v>
      </c>
      <c r="H594" s="3"/>
      <c r="I594" s="3"/>
      <c r="J594" s="3" t="s">
        <v>19</v>
      </c>
      <c r="K594" s="3"/>
      <c r="L594" s="3" t="s">
        <v>63</v>
      </c>
    </row>
    <row r="595" customFormat="false" ht="11.9" hidden="false" customHeight="true" outlineLevel="0" collapsed="false">
      <c r="A595" s="3" t="str">
        <f aca="false">HYPERLINK("https://www.fabsurplus.com/sdi_catalog/salesItemDetails.do?id=114763")</f>
        <v>https://www.fabsurplus.com/sdi_catalog/salesItemDetails.do?id=114763</v>
      </c>
      <c r="B595" s="3" t="s">
        <v>1509</v>
      </c>
      <c r="C595" s="3" t="s">
        <v>1050</v>
      </c>
      <c r="D595" s="3" t="s">
        <v>1510</v>
      </c>
      <c r="E595" s="3" t="s">
        <v>1511</v>
      </c>
      <c r="F595" s="3" t="s">
        <v>16</v>
      </c>
      <c r="G595" s="3" t="s">
        <v>26</v>
      </c>
      <c r="H595" s="3"/>
      <c r="I595" s="3"/>
      <c r="J595" s="3" t="s">
        <v>19</v>
      </c>
      <c r="K595" s="3"/>
      <c r="L595" s="3" t="s">
        <v>63</v>
      </c>
    </row>
    <row r="596" customFormat="false" ht="11.9" hidden="false" customHeight="true" outlineLevel="0" collapsed="false">
      <c r="A596" s="3" t="str">
        <f aca="false">HYPERLINK("https://www.fabsurplus.com/sdi_catalog/salesItemDetails.do?id=115136")</f>
        <v>https://www.fabsurplus.com/sdi_catalog/salesItemDetails.do?id=115136</v>
      </c>
      <c r="B596" s="3" t="s">
        <v>1512</v>
      </c>
      <c r="C596" s="3" t="s">
        <v>1050</v>
      </c>
      <c r="D596" s="3" t="s">
        <v>1513</v>
      </c>
      <c r="E596" s="3" t="s">
        <v>1514</v>
      </c>
      <c r="F596" s="3" t="s">
        <v>16</v>
      </c>
      <c r="G596" s="3" t="s">
        <v>26</v>
      </c>
      <c r="H596" s="3"/>
      <c r="I596" s="3"/>
      <c r="J596" s="3" t="s">
        <v>19</v>
      </c>
      <c r="K596" s="3"/>
      <c r="L596" s="3" t="s">
        <v>63</v>
      </c>
    </row>
    <row r="597" customFormat="false" ht="11.9" hidden="false" customHeight="true" outlineLevel="0" collapsed="false">
      <c r="A597" s="3" t="str">
        <f aca="false">HYPERLINK("https://www.fabsurplus.com/sdi_catalog/salesItemDetails.do?id=114651")</f>
        <v>https://www.fabsurplus.com/sdi_catalog/salesItemDetails.do?id=114651</v>
      </c>
      <c r="B597" s="3" t="s">
        <v>1515</v>
      </c>
      <c r="C597" s="3" t="s">
        <v>1050</v>
      </c>
      <c r="D597" s="3" t="s">
        <v>1516</v>
      </c>
      <c r="E597" s="3" t="s">
        <v>1151</v>
      </c>
      <c r="F597" s="3" t="s">
        <v>16</v>
      </c>
      <c r="G597" s="3" t="s">
        <v>26</v>
      </c>
      <c r="H597" s="3"/>
      <c r="I597" s="3"/>
      <c r="J597" s="3" t="s">
        <v>19</v>
      </c>
      <c r="K597" s="3"/>
      <c r="L597" s="3" t="s">
        <v>63</v>
      </c>
    </row>
    <row r="598" customFormat="false" ht="11.9" hidden="false" customHeight="true" outlineLevel="0" collapsed="false">
      <c r="A598" s="3" t="str">
        <f aca="false">HYPERLINK("https://www.fabsurplus.com/sdi_catalog/salesItemDetails.do?id=114652")</f>
        <v>https://www.fabsurplus.com/sdi_catalog/salesItemDetails.do?id=114652</v>
      </c>
      <c r="B598" s="3" t="s">
        <v>1517</v>
      </c>
      <c r="C598" s="3" t="s">
        <v>1050</v>
      </c>
      <c r="D598" s="3" t="s">
        <v>1516</v>
      </c>
      <c r="E598" s="3" t="s">
        <v>1153</v>
      </c>
      <c r="F598" s="3" t="s">
        <v>16</v>
      </c>
      <c r="G598" s="3" t="s">
        <v>26</v>
      </c>
      <c r="H598" s="3"/>
      <c r="I598" s="3"/>
      <c r="J598" s="3" t="s">
        <v>19</v>
      </c>
      <c r="K598" s="3"/>
      <c r="L598" s="3" t="s">
        <v>63</v>
      </c>
    </row>
    <row r="599" customFormat="false" ht="11.9" hidden="false" customHeight="true" outlineLevel="0" collapsed="false">
      <c r="A599" s="2" t="str">
        <f aca="false">HYPERLINK("https://www.fabsurplus.com/sdi_catalog/salesItemDetails.do?id=114700")</f>
        <v>https://www.fabsurplus.com/sdi_catalog/salesItemDetails.do?id=114700</v>
      </c>
      <c r="B599" s="2" t="s">
        <v>1518</v>
      </c>
      <c r="C599" s="2" t="s">
        <v>1050</v>
      </c>
      <c r="D599" s="2" t="s">
        <v>1519</v>
      </c>
      <c r="E599" s="2" t="s">
        <v>1520</v>
      </c>
      <c r="F599" s="2" t="s">
        <v>16</v>
      </c>
      <c r="G599" s="2" t="s">
        <v>26</v>
      </c>
      <c r="H599" s="2"/>
      <c r="I599" s="2"/>
      <c r="J599" s="2" t="s">
        <v>19</v>
      </c>
      <c r="K599" s="2"/>
      <c r="L599" s="2" t="s">
        <v>63</v>
      </c>
    </row>
    <row r="600" customFormat="false" ht="11.9" hidden="false" customHeight="true" outlineLevel="0" collapsed="false">
      <c r="A600" s="3" t="str">
        <f aca="false">HYPERLINK("https://www.fabsurplus.com/sdi_catalog/salesItemDetails.do?id=114616")</f>
        <v>https://www.fabsurplus.com/sdi_catalog/salesItemDetails.do?id=114616</v>
      </c>
      <c r="B600" s="3" t="s">
        <v>1521</v>
      </c>
      <c r="C600" s="3" t="s">
        <v>1050</v>
      </c>
      <c r="D600" s="3" t="s">
        <v>1522</v>
      </c>
      <c r="E600" s="3" t="s">
        <v>1523</v>
      </c>
      <c r="F600" s="3" t="s">
        <v>16</v>
      </c>
      <c r="G600" s="3" t="s">
        <v>26</v>
      </c>
      <c r="H600" s="3"/>
      <c r="I600" s="3"/>
      <c r="J600" s="3" t="s">
        <v>19</v>
      </c>
      <c r="K600" s="3"/>
      <c r="L600" s="3" t="s">
        <v>63</v>
      </c>
    </row>
    <row r="601" customFormat="false" ht="11.9" hidden="false" customHeight="true" outlineLevel="0" collapsed="false">
      <c r="A601" s="3" t="str">
        <f aca="false">HYPERLINK("https://www.fabsurplus.com/sdi_catalog/salesItemDetails.do?id=114937")</f>
        <v>https://www.fabsurplus.com/sdi_catalog/salesItemDetails.do?id=114937</v>
      </c>
      <c r="B601" s="3" t="s">
        <v>1524</v>
      </c>
      <c r="C601" s="3" t="s">
        <v>1050</v>
      </c>
      <c r="D601" s="3" t="s">
        <v>1525</v>
      </c>
      <c r="E601" s="3" t="s">
        <v>1526</v>
      </c>
      <c r="F601" s="3" t="s">
        <v>77</v>
      </c>
      <c r="G601" s="3" t="s">
        <v>26</v>
      </c>
      <c r="H601" s="3"/>
      <c r="I601" s="3"/>
      <c r="J601" s="3" t="s">
        <v>19</v>
      </c>
      <c r="K601" s="3"/>
      <c r="L601" s="3" t="s">
        <v>63</v>
      </c>
    </row>
    <row r="602" customFormat="false" ht="11.9" hidden="false" customHeight="true" outlineLevel="0" collapsed="false">
      <c r="A602" s="2" t="str">
        <f aca="false">HYPERLINK("https://www.fabsurplus.com/sdi_catalog/salesItemDetails.do?id=114882")</f>
        <v>https://www.fabsurplus.com/sdi_catalog/salesItemDetails.do?id=114882</v>
      </c>
      <c r="B602" s="2" t="s">
        <v>1527</v>
      </c>
      <c r="C602" s="2" t="s">
        <v>1050</v>
      </c>
      <c r="D602" s="2" t="s">
        <v>1528</v>
      </c>
      <c r="E602" s="2" t="s">
        <v>1529</v>
      </c>
      <c r="F602" s="2" t="s">
        <v>16</v>
      </c>
      <c r="G602" s="2" t="s">
        <v>26</v>
      </c>
      <c r="H602" s="2"/>
      <c r="I602" s="2"/>
      <c r="J602" s="2" t="s">
        <v>19</v>
      </c>
      <c r="K602" s="2"/>
      <c r="L602" s="2" t="s">
        <v>63</v>
      </c>
    </row>
    <row r="603" customFormat="false" ht="11.9" hidden="false" customHeight="true" outlineLevel="0" collapsed="false">
      <c r="A603" s="3" t="str">
        <f aca="false">HYPERLINK("https://www.fabsurplus.com/sdi_catalog/salesItemDetails.do?id=115116")</f>
        <v>https://www.fabsurplus.com/sdi_catalog/salesItemDetails.do?id=115116</v>
      </c>
      <c r="B603" s="3" t="s">
        <v>1530</v>
      </c>
      <c r="C603" s="3" t="s">
        <v>1050</v>
      </c>
      <c r="D603" s="3" t="s">
        <v>1531</v>
      </c>
      <c r="E603" s="3" t="s">
        <v>1532</v>
      </c>
      <c r="F603" s="3" t="s">
        <v>77</v>
      </c>
      <c r="G603" s="3" t="s">
        <v>26</v>
      </c>
      <c r="H603" s="3"/>
      <c r="I603" s="3"/>
      <c r="J603" s="3" t="s">
        <v>19</v>
      </c>
      <c r="K603" s="3"/>
      <c r="L603" s="3" t="s">
        <v>63</v>
      </c>
    </row>
    <row r="604" customFormat="false" ht="11.9" hidden="false" customHeight="true" outlineLevel="0" collapsed="false">
      <c r="A604" s="2" t="str">
        <f aca="false">HYPERLINK("https://www.fabsurplus.com/sdi_catalog/salesItemDetails.do?id=114727")</f>
        <v>https://www.fabsurplus.com/sdi_catalog/salesItemDetails.do?id=114727</v>
      </c>
      <c r="B604" s="2" t="s">
        <v>1533</v>
      </c>
      <c r="C604" s="2" t="s">
        <v>1050</v>
      </c>
      <c r="D604" s="2" t="s">
        <v>1534</v>
      </c>
      <c r="E604" s="2" t="s">
        <v>1535</v>
      </c>
      <c r="F604" s="2" t="s">
        <v>16</v>
      </c>
      <c r="G604" s="2" t="s">
        <v>26</v>
      </c>
      <c r="H604" s="2"/>
      <c r="I604" s="2"/>
      <c r="J604" s="2" t="s">
        <v>19</v>
      </c>
      <c r="K604" s="2"/>
      <c r="L604" s="2" t="s">
        <v>63</v>
      </c>
    </row>
    <row r="605" customFormat="false" ht="11.9" hidden="false" customHeight="true" outlineLevel="0" collapsed="false">
      <c r="A605" s="3" t="str">
        <f aca="false">HYPERLINK("https://www.fabsurplus.com/sdi_catalog/salesItemDetails.do?id=114609")</f>
        <v>https://www.fabsurplus.com/sdi_catalog/salesItemDetails.do?id=114609</v>
      </c>
      <c r="B605" s="3" t="s">
        <v>1536</v>
      </c>
      <c r="C605" s="3" t="s">
        <v>1050</v>
      </c>
      <c r="D605" s="3" t="s">
        <v>1537</v>
      </c>
      <c r="E605" s="3" t="s">
        <v>1538</v>
      </c>
      <c r="F605" s="3" t="s">
        <v>16</v>
      </c>
      <c r="G605" s="3" t="s">
        <v>26</v>
      </c>
      <c r="H605" s="3"/>
      <c r="I605" s="3"/>
      <c r="J605" s="3" t="s">
        <v>19</v>
      </c>
      <c r="K605" s="3"/>
      <c r="L605" s="3" t="s">
        <v>63</v>
      </c>
    </row>
    <row r="606" customFormat="false" ht="11.9" hidden="false" customHeight="true" outlineLevel="0" collapsed="false">
      <c r="A606" s="2" t="str">
        <f aca="false">HYPERLINK("https://www.fabsurplus.com/sdi_catalog/salesItemDetails.do?id=114610")</f>
        <v>https://www.fabsurplus.com/sdi_catalog/salesItemDetails.do?id=114610</v>
      </c>
      <c r="B606" s="2" t="s">
        <v>1539</v>
      </c>
      <c r="C606" s="2" t="s">
        <v>1050</v>
      </c>
      <c r="D606" s="2" t="s">
        <v>1540</v>
      </c>
      <c r="E606" s="2" t="s">
        <v>1222</v>
      </c>
      <c r="F606" s="2" t="s">
        <v>16</v>
      </c>
      <c r="G606" s="2" t="s">
        <v>26</v>
      </c>
      <c r="H606" s="2"/>
      <c r="I606" s="2"/>
      <c r="J606" s="2" t="s">
        <v>19</v>
      </c>
      <c r="K606" s="2"/>
      <c r="L606" s="2" t="s">
        <v>63</v>
      </c>
    </row>
    <row r="607" customFormat="false" ht="11.9" hidden="false" customHeight="true" outlineLevel="0" collapsed="false">
      <c r="A607" s="3" t="str">
        <f aca="false">HYPERLINK("https://www.fabsurplus.com/sdi_catalog/salesItemDetails.do?id=114883")</f>
        <v>https://www.fabsurplus.com/sdi_catalog/salesItemDetails.do?id=114883</v>
      </c>
      <c r="B607" s="3" t="s">
        <v>1541</v>
      </c>
      <c r="C607" s="3" t="s">
        <v>1050</v>
      </c>
      <c r="D607" s="3" t="s">
        <v>1542</v>
      </c>
      <c r="E607" s="3" t="s">
        <v>1151</v>
      </c>
      <c r="F607" s="3" t="s">
        <v>16</v>
      </c>
      <c r="G607" s="3" t="s">
        <v>26</v>
      </c>
      <c r="H607" s="3"/>
      <c r="I607" s="3"/>
      <c r="J607" s="3" t="s">
        <v>19</v>
      </c>
      <c r="K607" s="3"/>
      <c r="L607" s="3" t="s">
        <v>63</v>
      </c>
    </row>
    <row r="608" customFormat="false" ht="11.9" hidden="false" customHeight="true" outlineLevel="0" collapsed="false">
      <c r="A608" s="3" t="str">
        <f aca="false">HYPERLINK("https://www.fabsurplus.com/sdi_catalog/salesItemDetails.do?id=114728")</f>
        <v>https://www.fabsurplus.com/sdi_catalog/salesItemDetails.do?id=114728</v>
      </c>
      <c r="B608" s="3" t="s">
        <v>1543</v>
      </c>
      <c r="C608" s="3" t="s">
        <v>1050</v>
      </c>
      <c r="D608" s="3" t="s">
        <v>1544</v>
      </c>
      <c r="E608" s="3" t="s">
        <v>1275</v>
      </c>
      <c r="F608" s="3" t="s">
        <v>16</v>
      </c>
      <c r="G608" s="3" t="s">
        <v>26</v>
      </c>
      <c r="H608" s="3"/>
      <c r="I608" s="3"/>
      <c r="J608" s="3" t="s">
        <v>19</v>
      </c>
      <c r="K608" s="3"/>
      <c r="L608" s="3" t="s">
        <v>63</v>
      </c>
    </row>
    <row r="609" customFormat="false" ht="11.9" hidden="false" customHeight="true" outlineLevel="0" collapsed="false">
      <c r="A609" s="3" t="str">
        <f aca="false">HYPERLINK("https://www.fabsurplus.com/sdi_catalog/salesItemDetails.do?id=114866")</f>
        <v>https://www.fabsurplus.com/sdi_catalog/salesItemDetails.do?id=114866</v>
      </c>
      <c r="B609" s="3" t="s">
        <v>1545</v>
      </c>
      <c r="C609" s="3" t="s">
        <v>1050</v>
      </c>
      <c r="D609" s="3" t="s">
        <v>1546</v>
      </c>
      <c r="E609" s="3" t="s">
        <v>1547</v>
      </c>
      <c r="F609" s="3" t="s">
        <v>16</v>
      </c>
      <c r="G609" s="3" t="s">
        <v>26</v>
      </c>
      <c r="H609" s="3"/>
      <c r="I609" s="3"/>
      <c r="J609" s="3" t="s">
        <v>19</v>
      </c>
      <c r="K609" s="3"/>
      <c r="L609" s="3" t="s">
        <v>63</v>
      </c>
    </row>
    <row r="610" customFormat="false" ht="11.9" hidden="false" customHeight="true" outlineLevel="0" collapsed="false">
      <c r="A610" s="3" t="str">
        <f aca="false">HYPERLINK("https://www.fabsurplus.com/sdi_catalog/salesItemDetails.do?id=114867")</f>
        <v>https://www.fabsurplus.com/sdi_catalog/salesItemDetails.do?id=114867</v>
      </c>
      <c r="B610" s="3" t="s">
        <v>1548</v>
      </c>
      <c r="C610" s="3" t="s">
        <v>1050</v>
      </c>
      <c r="D610" s="3" t="s">
        <v>1546</v>
      </c>
      <c r="E610" s="3" t="s">
        <v>1549</v>
      </c>
      <c r="F610" s="3" t="s">
        <v>16</v>
      </c>
      <c r="G610" s="3" t="s">
        <v>26</v>
      </c>
      <c r="H610" s="3"/>
      <c r="I610" s="3"/>
      <c r="J610" s="3" t="s">
        <v>19</v>
      </c>
      <c r="K610" s="3"/>
      <c r="L610" s="3" t="s">
        <v>63</v>
      </c>
    </row>
    <row r="611" customFormat="false" ht="11.9" hidden="false" customHeight="true" outlineLevel="0" collapsed="false">
      <c r="A611" s="3" t="str">
        <f aca="false">HYPERLINK("https://www.fabsurplus.com/sdi_catalog/salesItemDetails.do?id=114868")</f>
        <v>https://www.fabsurplus.com/sdi_catalog/salesItemDetails.do?id=114868</v>
      </c>
      <c r="B611" s="3" t="s">
        <v>1550</v>
      </c>
      <c r="C611" s="3" t="s">
        <v>1050</v>
      </c>
      <c r="D611" s="3" t="s">
        <v>1546</v>
      </c>
      <c r="E611" s="3" t="s">
        <v>1551</v>
      </c>
      <c r="F611" s="3" t="s">
        <v>16</v>
      </c>
      <c r="G611" s="3" t="s">
        <v>26</v>
      </c>
      <c r="H611" s="3"/>
      <c r="I611" s="3"/>
      <c r="J611" s="3" t="s">
        <v>19</v>
      </c>
      <c r="K611" s="3"/>
      <c r="L611" s="3" t="s">
        <v>63</v>
      </c>
    </row>
    <row r="612" customFormat="false" ht="11.9" hidden="false" customHeight="true" outlineLevel="0" collapsed="false">
      <c r="A612" s="3" t="str">
        <f aca="false">HYPERLINK("https://www.fabsurplus.com/sdi_catalog/salesItemDetails.do?id=114781")</f>
        <v>https://www.fabsurplus.com/sdi_catalog/salesItemDetails.do?id=114781</v>
      </c>
      <c r="B612" s="3" t="s">
        <v>1552</v>
      </c>
      <c r="C612" s="3" t="s">
        <v>1050</v>
      </c>
      <c r="D612" s="3" t="s">
        <v>1553</v>
      </c>
      <c r="E612" s="3" t="s">
        <v>1554</v>
      </c>
      <c r="F612" s="3" t="s">
        <v>16</v>
      </c>
      <c r="G612" s="3" t="s">
        <v>26</v>
      </c>
      <c r="H612" s="3"/>
      <c r="I612" s="3"/>
      <c r="J612" s="3" t="s">
        <v>19</v>
      </c>
      <c r="K612" s="3"/>
      <c r="L612" s="3" t="s">
        <v>63</v>
      </c>
    </row>
    <row r="613" customFormat="false" ht="11.9" hidden="false" customHeight="true" outlineLevel="0" collapsed="false">
      <c r="A613" s="2" t="str">
        <f aca="false">HYPERLINK("https://www.fabsurplus.com/sdi_catalog/salesItemDetails.do?id=114671")</f>
        <v>https://www.fabsurplus.com/sdi_catalog/salesItemDetails.do?id=114671</v>
      </c>
      <c r="B613" s="2" t="s">
        <v>1555</v>
      </c>
      <c r="C613" s="2" t="s">
        <v>1050</v>
      </c>
      <c r="D613" s="2" t="s">
        <v>1556</v>
      </c>
      <c r="E613" s="2" t="s">
        <v>1557</v>
      </c>
      <c r="F613" s="2" t="s">
        <v>16</v>
      </c>
      <c r="G613" s="2" t="s">
        <v>26</v>
      </c>
      <c r="H613" s="2"/>
      <c r="I613" s="2"/>
      <c r="J613" s="2" t="s">
        <v>19</v>
      </c>
      <c r="K613" s="2"/>
      <c r="L613" s="2" t="s">
        <v>63</v>
      </c>
    </row>
    <row r="614" customFormat="false" ht="11.9" hidden="false" customHeight="true" outlineLevel="0" collapsed="false">
      <c r="A614" s="3" t="str">
        <f aca="false">HYPERLINK("https://www.fabsurplus.com/sdi_catalog/salesItemDetails.do?id=114596")</f>
        <v>https://www.fabsurplus.com/sdi_catalog/salesItemDetails.do?id=114596</v>
      </c>
      <c r="B614" s="3" t="s">
        <v>1558</v>
      </c>
      <c r="C614" s="3" t="s">
        <v>1050</v>
      </c>
      <c r="D614" s="3" t="s">
        <v>1559</v>
      </c>
      <c r="E614" s="3" t="s">
        <v>1275</v>
      </c>
      <c r="F614" s="3" t="s">
        <v>77</v>
      </c>
      <c r="G614" s="3" t="s">
        <v>26</v>
      </c>
      <c r="H614" s="3"/>
      <c r="I614" s="3"/>
      <c r="J614" s="3" t="s">
        <v>19</v>
      </c>
      <c r="K614" s="3"/>
      <c r="L614" s="3" t="s">
        <v>63</v>
      </c>
    </row>
    <row r="615" customFormat="false" ht="11.9" hidden="false" customHeight="true" outlineLevel="0" collapsed="false">
      <c r="A615" s="2" t="str">
        <f aca="false">HYPERLINK("https://www.fabsurplus.com/sdi_catalog/salesItemDetails.do?id=114913")</f>
        <v>https://www.fabsurplus.com/sdi_catalog/salesItemDetails.do?id=114913</v>
      </c>
      <c r="B615" s="2" t="s">
        <v>1560</v>
      </c>
      <c r="C615" s="2" t="s">
        <v>1050</v>
      </c>
      <c r="D615" s="2" t="s">
        <v>1561</v>
      </c>
      <c r="E615" s="2" t="s">
        <v>1562</v>
      </c>
      <c r="F615" s="2" t="s">
        <v>16</v>
      </c>
      <c r="G615" s="2" t="s">
        <v>26</v>
      </c>
      <c r="H615" s="2"/>
      <c r="I615" s="2"/>
      <c r="J615" s="2" t="s">
        <v>19</v>
      </c>
      <c r="K615" s="2"/>
      <c r="L615" s="2" t="s">
        <v>63</v>
      </c>
    </row>
    <row r="616" customFormat="false" ht="11.9" hidden="false" customHeight="true" outlineLevel="0" collapsed="false">
      <c r="A616" s="3" t="str">
        <f aca="false">HYPERLINK("https://www.fabsurplus.com/sdi_catalog/salesItemDetails.do?id=114729")</f>
        <v>https://www.fabsurplus.com/sdi_catalog/salesItemDetails.do?id=114729</v>
      </c>
      <c r="B616" s="3" t="s">
        <v>1563</v>
      </c>
      <c r="C616" s="3" t="s">
        <v>1050</v>
      </c>
      <c r="D616" s="3" t="s">
        <v>1564</v>
      </c>
      <c r="E616" s="3" t="s">
        <v>1565</v>
      </c>
      <c r="F616" s="3" t="s">
        <v>16</v>
      </c>
      <c r="G616" s="3" t="s">
        <v>26</v>
      </c>
      <c r="H616" s="3"/>
      <c r="I616" s="3"/>
      <c r="J616" s="3" t="s">
        <v>19</v>
      </c>
      <c r="K616" s="3"/>
      <c r="L616" s="3" t="s">
        <v>63</v>
      </c>
    </row>
    <row r="617" customFormat="false" ht="11.9" hidden="false" customHeight="true" outlineLevel="0" collapsed="false">
      <c r="A617" s="2" t="str">
        <f aca="false">HYPERLINK("https://www.fabsurplus.com/sdi_catalog/salesItemDetails.do?id=115117")</f>
        <v>https://www.fabsurplus.com/sdi_catalog/salesItemDetails.do?id=115117</v>
      </c>
      <c r="B617" s="2" t="s">
        <v>1566</v>
      </c>
      <c r="C617" s="2" t="s">
        <v>1050</v>
      </c>
      <c r="D617" s="2" t="s">
        <v>1567</v>
      </c>
      <c r="E617" s="2" t="s">
        <v>1568</v>
      </c>
      <c r="F617" s="2" t="s">
        <v>16</v>
      </c>
      <c r="G617" s="2" t="s">
        <v>26</v>
      </c>
      <c r="H617" s="2"/>
      <c r="I617" s="2"/>
      <c r="J617" s="2" t="s">
        <v>19</v>
      </c>
      <c r="K617" s="2"/>
      <c r="L617" s="2" t="s">
        <v>63</v>
      </c>
    </row>
    <row r="618" customFormat="false" ht="11.9" hidden="false" customHeight="true" outlineLevel="0" collapsed="false">
      <c r="A618" s="3" t="str">
        <f aca="false">HYPERLINK("https://www.fabsurplus.com/sdi_catalog/salesItemDetails.do?id=115039")</f>
        <v>https://www.fabsurplus.com/sdi_catalog/salesItemDetails.do?id=115039</v>
      </c>
      <c r="B618" s="3" t="s">
        <v>1569</v>
      </c>
      <c r="C618" s="3" t="s">
        <v>1050</v>
      </c>
      <c r="D618" s="3" t="s">
        <v>1567</v>
      </c>
      <c r="E618" s="3" t="s">
        <v>1570</v>
      </c>
      <c r="F618" s="3" t="s">
        <v>101</v>
      </c>
      <c r="G618" s="3" t="s">
        <v>26</v>
      </c>
      <c r="H618" s="3"/>
      <c r="I618" s="3"/>
      <c r="J618" s="3" t="s">
        <v>19</v>
      </c>
      <c r="K618" s="3"/>
      <c r="L618" s="3" t="s">
        <v>63</v>
      </c>
    </row>
    <row r="619" customFormat="false" ht="11.9" hidden="false" customHeight="true" outlineLevel="0" collapsed="false">
      <c r="A619" s="2" t="str">
        <f aca="false">HYPERLINK("https://www.fabsurplus.com/sdi_catalog/salesItemDetails.do?id=114782")</f>
        <v>https://www.fabsurplus.com/sdi_catalog/salesItemDetails.do?id=114782</v>
      </c>
      <c r="B619" s="2" t="s">
        <v>1571</v>
      </c>
      <c r="C619" s="2" t="s">
        <v>1050</v>
      </c>
      <c r="D619" s="2" t="s">
        <v>1572</v>
      </c>
      <c r="E619" s="2" t="s">
        <v>1573</v>
      </c>
      <c r="F619" s="2" t="s">
        <v>16</v>
      </c>
      <c r="G619" s="2" t="s">
        <v>26</v>
      </c>
      <c r="H619" s="2"/>
      <c r="I619" s="2"/>
      <c r="J619" s="2" t="s">
        <v>19</v>
      </c>
      <c r="K619" s="2"/>
      <c r="L619" s="2" t="s">
        <v>63</v>
      </c>
    </row>
    <row r="620" customFormat="false" ht="11.9" hidden="false" customHeight="true" outlineLevel="0" collapsed="false">
      <c r="A620" s="3" t="str">
        <f aca="false">HYPERLINK("https://www.fabsurplus.com/sdi_catalog/salesItemDetails.do?id=114796")</f>
        <v>https://www.fabsurplus.com/sdi_catalog/salesItemDetails.do?id=114796</v>
      </c>
      <c r="B620" s="3" t="s">
        <v>1574</v>
      </c>
      <c r="C620" s="3" t="s">
        <v>1050</v>
      </c>
      <c r="D620" s="3" t="s">
        <v>1575</v>
      </c>
      <c r="E620" s="3" t="s">
        <v>1576</v>
      </c>
      <c r="F620" s="3" t="s">
        <v>16</v>
      </c>
      <c r="G620" s="3" t="s">
        <v>26</v>
      </c>
      <c r="H620" s="3"/>
      <c r="I620" s="3"/>
      <c r="J620" s="3" t="s">
        <v>19</v>
      </c>
      <c r="K620" s="3"/>
      <c r="L620" s="3" t="s">
        <v>63</v>
      </c>
    </row>
    <row r="621" customFormat="false" ht="11.9" hidden="false" customHeight="true" outlineLevel="0" collapsed="false">
      <c r="A621" s="2" t="str">
        <f aca="false">HYPERLINK("https://www.fabsurplus.com/sdi_catalog/salesItemDetails.do?id=114730")</f>
        <v>https://www.fabsurplus.com/sdi_catalog/salesItemDetails.do?id=114730</v>
      </c>
      <c r="B621" s="2" t="s">
        <v>1577</v>
      </c>
      <c r="C621" s="2" t="s">
        <v>1050</v>
      </c>
      <c r="D621" s="2" t="s">
        <v>1578</v>
      </c>
      <c r="E621" s="2" t="s">
        <v>1579</v>
      </c>
      <c r="F621" s="2" t="s">
        <v>16</v>
      </c>
      <c r="G621" s="2" t="s">
        <v>26</v>
      </c>
      <c r="H621" s="2"/>
      <c r="I621" s="2"/>
      <c r="J621" s="2" t="s">
        <v>19</v>
      </c>
      <c r="K621" s="2"/>
      <c r="L621" s="2" t="s">
        <v>63</v>
      </c>
    </row>
    <row r="622" customFormat="false" ht="11.9" hidden="false" customHeight="true" outlineLevel="0" collapsed="false">
      <c r="A622" s="3" t="str">
        <f aca="false">HYPERLINK("https://www.fabsurplus.com/sdi_catalog/salesItemDetails.do?id=114625")</f>
        <v>https://www.fabsurplus.com/sdi_catalog/salesItemDetails.do?id=114625</v>
      </c>
      <c r="B622" s="3" t="s">
        <v>1580</v>
      </c>
      <c r="C622" s="3" t="s">
        <v>1050</v>
      </c>
      <c r="D622" s="3" t="s">
        <v>1581</v>
      </c>
      <c r="E622" s="3" t="s">
        <v>1582</v>
      </c>
      <c r="F622" s="3" t="s">
        <v>16</v>
      </c>
      <c r="G622" s="3" t="s">
        <v>26</v>
      </c>
      <c r="H622" s="3"/>
      <c r="I622" s="3"/>
      <c r="J622" s="3" t="s">
        <v>19</v>
      </c>
      <c r="K622" s="3"/>
      <c r="L622" s="3" t="s">
        <v>63</v>
      </c>
    </row>
    <row r="623" customFormat="false" ht="11.9" hidden="false" customHeight="true" outlineLevel="0" collapsed="false">
      <c r="A623" s="2" t="str">
        <f aca="false">HYPERLINK("https://www.fabsurplus.com/sdi_catalog/salesItemDetails.do?id=114783")</f>
        <v>https://www.fabsurplus.com/sdi_catalog/salesItemDetails.do?id=114783</v>
      </c>
      <c r="B623" s="2" t="s">
        <v>1583</v>
      </c>
      <c r="C623" s="2" t="s">
        <v>1050</v>
      </c>
      <c r="D623" s="2" t="s">
        <v>1584</v>
      </c>
      <c r="E623" s="2" t="s">
        <v>1585</v>
      </c>
      <c r="F623" s="2" t="s">
        <v>16</v>
      </c>
      <c r="G623" s="2" t="s">
        <v>26</v>
      </c>
      <c r="H623" s="2"/>
      <c r="I623" s="2"/>
      <c r="J623" s="2" t="s">
        <v>19</v>
      </c>
      <c r="K623" s="2"/>
      <c r="L623" s="2" t="s">
        <v>63</v>
      </c>
    </row>
    <row r="624" customFormat="false" ht="11.9" hidden="false" customHeight="true" outlineLevel="0" collapsed="false">
      <c r="A624" s="3" t="str">
        <f aca="false">HYPERLINK("https://www.fabsurplus.com/sdi_catalog/salesItemDetails.do?id=114938")</f>
        <v>https://www.fabsurplus.com/sdi_catalog/salesItemDetails.do?id=114938</v>
      </c>
      <c r="B624" s="3" t="s">
        <v>1586</v>
      </c>
      <c r="C624" s="3" t="s">
        <v>1050</v>
      </c>
      <c r="D624" s="3" t="s">
        <v>1587</v>
      </c>
      <c r="E624" s="3" t="s">
        <v>1588</v>
      </c>
      <c r="F624" s="3" t="s">
        <v>16</v>
      </c>
      <c r="G624" s="3" t="s">
        <v>26</v>
      </c>
      <c r="H624" s="3"/>
      <c r="I624" s="3"/>
      <c r="J624" s="3" t="s">
        <v>19</v>
      </c>
      <c r="K624" s="3"/>
      <c r="L624" s="3" t="s">
        <v>63</v>
      </c>
    </row>
    <row r="625" customFormat="false" ht="11.9" hidden="false" customHeight="true" outlineLevel="0" collapsed="false">
      <c r="A625" s="3" t="str">
        <f aca="false">HYPERLINK("https://www.fabsurplus.com/sdi_catalog/salesItemDetails.do?id=115022")</f>
        <v>https://www.fabsurplus.com/sdi_catalog/salesItemDetails.do?id=115022</v>
      </c>
      <c r="B625" s="3" t="s">
        <v>1589</v>
      </c>
      <c r="C625" s="3" t="s">
        <v>1050</v>
      </c>
      <c r="D625" s="3" t="s">
        <v>1590</v>
      </c>
      <c r="E625" s="3" t="s">
        <v>1591</v>
      </c>
      <c r="F625" s="3" t="s">
        <v>77</v>
      </c>
      <c r="G625" s="3" t="s">
        <v>26</v>
      </c>
      <c r="H625" s="3"/>
      <c r="I625" s="3"/>
      <c r="J625" s="3" t="s">
        <v>19</v>
      </c>
      <c r="K625" s="3"/>
      <c r="L625" s="3" t="s">
        <v>63</v>
      </c>
    </row>
    <row r="626" customFormat="false" ht="11.9" hidden="false" customHeight="true" outlineLevel="0" collapsed="false">
      <c r="A626" s="3" t="str">
        <f aca="false">HYPERLINK("https://www.fabsurplus.com/sdi_catalog/salesItemDetails.do?id=114731")</f>
        <v>https://www.fabsurplus.com/sdi_catalog/salesItemDetails.do?id=114731</v>
      </c>
      <c r="B626" s="3" t="s">
        <v>1592</v>
      </c>
      <c r="C626" s="3" t="s">
        <v>1050</v>
      </c>
      <c r="D626" s="3" t="s">
        <v>1593</v>
      </c>
      <c r="E626" s="3" t="s">
        <v>1594</v>
      </c>
      <c r="F626" s="3" t="s">
        <v>16</v>
      </c>
      <c r="G626" s="3" t="s">
        <v>26</v>
      </c>
      <c r="H626" s="3"/>
      <c r="I626" s="3"/>
      <c r="J626" s="3" t="s">
        <v>19</v>
      </c>
      <c r="K626" s="3"/>
      <c r="L626" s="3" t="s">
        <v>63</v>
      </c>
    </row>
    <row r="627" customFormat="false" ht="11.9" hidden="false" customHeight="true" outlineLevel="0" collapsed="false">
      <c r="A627" s="3" t="str">
        <f aca="false">HYPERLINK("https://www.fabsurplus.com/sdi_catalog/salesItemDetails.do?id=114701")</f>
        <v>https://www.fabsurplus.com/sdi_catalog/salesItemDetails.do?id=114701</v>
      </c>
      <c r="B627" s="3" t="s">
        <v>1595</v>
      </c>
      <c r="C627" s="3" t="s">
        <v>1050</v>
      </c>
      <c r="D627" s="3" t="s">
        <v>1596</v>
      </c>
      <c r="E627" s="3" t="s">
        <v>1597</v>
      </c>
      <c r="F627" s="3" t="s">
        <v>16</v>
      </c>
      <c r="G627" s="3" t="s">
        <v>26</v>
      </c>
      <c r="H627" s="3"/>
      <c r="I627" s="3"/>
      <c r="J627" s="3" t="s">
        <v>19</v>
      </c>
      <c r="K627" s="3"/>
      <c r="L627" s="3" t="s">
        <v>63</v>
      </c>
    </row>
    <row r="628" customFormat="false" ht="11.9" hidden="false" customHeight="true" outlineLevel="0" collapsed="false">
      <c r="A628" s="3" t="str">
        <f aca="false">HYPERLINK("https://www.fabsurplus.com/sdi_catalog/salesItemDetails.do?id=114884")</f>
        <v>https://www.fabsurplus.com/sdi_catalog/salesItemDetails.do?id=114884</v>
      </c>
      <c r="B628" s="3" t="s">
        <v>1598</v>
      </c>
      <c r="C628" s="3" t="s">
        <v>1050</v>
      </c>
      <c r="D628" s="3" t="s">
        <v>1599</v>
      </c>
      <c r="E628" s="3" t="s">
        <v>1600</v>
      </c>
      <c r="F628" s="3" t="s">
        <v>16</v>
      </c>
      <c r="G628" s="3" t="s">
        <v>26</v>
      </c>
      <c r="H628" s="3"/>
      <c r="I628" s="3"/>
      <c r="J628" s="3" t="s">
        <v>19</v>
      </c>
      <c r="K628" s="3"/>
      <c r="L628" s="3" t="s">
        <v>63</v>
      </c>
    </row>
    <row r="629" customFormat="false" ht="11.9" hidden="false" customHeight="true" outlineLevel="0" collapsed="false">
      <c r="A629" s="2" t="str">
        <f aca="false">HYPERLINK("https://www.fabsurplus.com/sdi_catalog/salesItemDetails.do?id=115040")</f>
        <v>https://www.fabsurplus.com/sdi_catalog/salesItemDetails.do?id=115040</v>
      </c>
      <c r="B629" s="2" t="s">
        <v>1601</v>
      </c>
      <c r="C629" s="2" t="s">
        <v>1050</v>
      </c>
      <c r="D629" s="2" t="s">
        <v>1602</v>
      </c>
      <c r="E629" s="2" t="s">
        <v>1603</v>
      </c>
      <c r="F629" s="2" t="s">
        <v>16</v>
      </c>
      <c r="G629" s="2" t="s">
        <v>26</v>
      </c>
      <c r="H629" s="2"/>
      <c r="I629" s="2"/>
      <c r="J629" s="2" t="s">
        <v>19</v>
      </c>
      <c r="K629" s="2"/>
      <c r="L629" s="2" t="s">
        <v>63</v>
      </c>
    </row>
    <row r="630" customFormat="false" ht="11.9" hidden="false" customHeight="true" outlineLevel="0" collapsed="false">
      <c r="A630" s="3" t="str">
        <f aca="false">HYPERLINK("https://www.fabsurplus.com/sdi_catalog/salesItemDetails.do?id=115137")</f>
        <v>https://www.fabsurplus.com/sdi_catalog/salesItemDetails.do?id=115137</v>
      </c>
      <c r="B630" s="3" t="s">
        <v>1604</v>
      </c>
      <c r="C630" s="3" t="s">
        <v>1050</v>
      </c>
      <c r="D630" s="3" t="s">
        <v>1605</v>
      </c>
      <c r="E630" s="3" t="s">
        <v>1606</v>
      </c>
      <c r="F630" s="3" t="s">
        <v>16</v>
      </c>
      <c r="G630" s="3" t="s">
        <v>26</v>
      </c>
      <c r="H630" s="3"/>
      <c r="I630" s="3"/>
      <c r="J630" s="3" t="s">
        <v>19</v>
      </c>
      <c r="K630" s="3"/>
      <c r="L630" s="3" t="s">
        <v>63</v>
      </c>
    </row>
    <row r="631" customFormat="false" ht="11.9" hidden="false" customHeight="true" outlineLevel="0" collapsed="false">
      <c r="A631" s="3" t="str">
        <f aca="false">HYPERLINK("https://www.fabsurplus.com/sdi_catalog/salesItemDetails.do?id=115138")</f>
        <v>https://www.fabsurplus.com/sdi_catalog/salesItemDetails.do?id=115138</v>
      </c>
      <c r="B631" s="3" t="s">
        <v>1607</v>
      </c>
      <c r="C631" s="3" t="s">
        <v>1050</v>
      </c>
      <c r="D631" s="3" t="s">
        <v>1608</v>
      </c>
      <c r="E631" s="3" t="s">
        <v>1606</v>
      </c>
      <c r="F631" s="3" t="s">
        <v>16</v>
      </c>
      <c r="G631" s="3" t="s">
        <v>26</v>
      </c>
      <c r="H631" s="3"/>
      <c r="I631" s="3"/>
      <c r="J631" s="3" t="s">
        <v>19</v>
      </c>
      <c r="K631" s="3"/>
      <c r="L631" s="3" t="s">
        <v>63</v>
      </c>
    </row>
    <row r="632" customFormat="false" ht="11.9" hidden="false" customHeight="true" outlineLevel="0" collapsed="false">
      <c r="A632" s="2" t="str">
        <f aca="false">HYPERLINK("https://www.fabsurplus.com/sdi_catalog/salesItemDetails.do?id=114914")</f>
        <v>https://www.fabsurplus.com/sdi_catalog/salesItemDetails.do?id=114914</v>
      </c>
      <c r="B632" s="2" t="s">
        <v>1609</v>
      </c>
      <c r="C632" s="2" t="s">
        <v>1050</v>
      </c>
      <c r="D632" s="2" t="s">
        <v>1610</v>
      </c>
      <c r="E632" s="2" t="s">
        <v>1611</v>
      </c>
      <c r="F632" s="2" t="s">
        <v>77</v>
      </c>
      <c r="G632" s="2" t="s">
        <v>26</v>
      </c>
      <c r="H632" s="2"/>
      <c r="I632" s="2"/>
      <c r="J632" s="2" t="s">
        <v>19</v>
      </c>
      <c r="K632" s="2"/>
      <c r="L632" s="2" t="s">
        <v>63</v>
      </c>
    </row>
    <row r="633" customFormat="false" ht="11.9" hidden="false" customHeight="true" outlineLevel="0" collapsed="false">
      <c r="A633" s="2" t="str">
        <f aca="false">HYPERLINK("https://www.fabsurplus.com/sdi_catalog/salesItemDetails.do?id=115202")</f>
        <v>https://www.fabsurplus.com/sdi_catalog/salesItemDetails.do?id=115202</v>
      </c>
      <c r="B633" s="2" t="s">
        <v>1612</v>
      </c>
      <c r="C633" s="2" t="s">
        <v>1050</v>
      </c>
      <c r="D633" s="2" t="s">
        <v>1610</v>
      </c>
      <c r="E633" s="2" t="s">
        <v>1613</v>
      </c>
      <c r="F633" s="2" t="s">
        <v>16</v>
      </c>
      <c r="G633" s="2" t="s">
        <v>26</v>
      </c>
      <c r="H633" s="2"/>
      <c r="I633" s="2"/>
      <c r="J633" s="2" t="s">
        <v>19</v>
      </c>
      <c r="K633" s="2"/>
      <c r="L633" s="2" t="s">
        <v>63</v>
      </c>
    </row>
    <row r="634" customFormat="false" ht="11.9" hidden="false" customHeight="true" outlineLevel="0" collapsed="false">
      <c r="A634" s="3" t="str">
        <f aca="false">HYPERLINK("https://www.fabsurplus.com/sdi_catalog/salesItemDetails.do?id=114927")</f>
        <v>https://www.fabsurplus.com/sdi_catalog/salesItemDetails.do?id=114927</v>
      </c>
      <c r="B634" s="3" t="s">
        <v>1614</v>
      </c>
      <c r="C634" s="3" t="s">
        <v>1050</v>
      </c>
      <c r="D634" s="3" t="s">
        <v>1615</v>
      </c>
      <c r="E634" s="3" t="s">
        <v>1616</v>
      </c>
      <c r="F634" s="3" t="s">
        <v>69</v>
      </c>
      <c r="G634" s="3" t="s">
        <v>26</v>
      </c>
      <c r="H634" s="3"/>
      <c r="I634" s="3"/>
      <c r="J634" s="3" t="s">
        <v>19</v>
      </c>
      <c r="K634" s="3"/>
      <c r="L634" s="3" t="s">
        <v>63</v>
      </c>
    </row>
    <row r="635" customFormat="false" ht="11.9" hidden="false" customHeight="true" outlineLevel="0" collapsed="false">
      <c r="A635" s="2" t="str">
        <f aca="false">HYPERLINK("https://www.fabsurplus.com/sdi_catalog/salesItemDetails.do?id=115203")</f>
        <v>https://www.fabsurplus.com/sdi_catalog/salesItemDetails.do?id=115203</v>
      </c>
      <c r="B635" s="2" t="s">
        <v>1617</v>
      </c>
      <c r="C635" s="2" t="s">
        <v>1050</v>
      </c>
      <c r="D635" s="2" t="s">
        <v>1618</v>
      </c>
      <c r="E635" s="2" t="s">
        <v>1619</v>
      </c>
      <c r="F635" s="2" t="s">
        <v>16</v>
      </c>
      <c r="G635" s="2" t="s">
        <v>26</v>
      </c>
      <c r="H635" s="2"/>
      <c r="I635" s="2"/>
      <c r="J635" s="2" t="s">
        <v>19</v>
      </c>
      <c r="K635" s="2"/>
      <c r="L635" s="2" t="s">
        <v>63</v>
      </c>
    </row>
    <row r="636" customFormat="false" ht="11.9" hidden="false" customHeight="true" outlineLevel="0" collapsed="false">
      <c r="A636" s="3" t="str">
        <f aca="false">HYPERLINK("https://www.fabsurplus.com/sdi_catalog/salesItemDetails.do?id=114784")</f>
        <v>https://www.fabsurplus.com/sdi_catalog/salesItemDetails.do?id=114784</v>
      </c>
      <c r="B636" s="3" t="s">
        <v>1620</v>
      </c>
      <c r="C636" s="3" t="s">
        <v>1050</v>
      </c>
      <c r="D636" s="3" t="s">
        <v>1621</v>
      </c>
      <c r="E636" s="3" t="s">
        <v>1622</v>
      </c>
      <c r="F636" s="3" t="s">
        <v>77</v>
      </c>
      <c r="G636" s="3" t="s">
        <v>26</v>
      </c>
      <c r="H636" s="3"/>
      <c r="I636" s="3"/>
      <c r="J636" s="3" t="s">
        <v>19</v>
      </c>
      <c r="K636" s="3"/>
      <c r="L636" s="3" t="s">
        <v>63</v>
      </c>
    </row>
    <row r="637" customFormat="false" ht="11.9" hidden="false" customHeight="true" outlineLevel="0" collapsed="false">
      <c r="A637" s="3" t="str">
        <f aca="false">HYPERLINK("https://www.fabsurplus.com/sdi_catalog/salesItemDetails.do?id=114672")</f>
        <v>https://www.fabsurplus.com/sdi_catalog/salesItemDetails.do?id=114672</v>
      </c>
      <c r="B637" s="3" t="s">
        <v>1623</v>
      </c>
      <c r="C637" s="3" t="s">
        <v>1050</v>
      </c>
      <c r="D637" s="3" t="s">
        <v>1624</v>
      </c>
      <c r="E637" s="3" t="s">
        <v>1625</v>
      </c>
      <c r="F637" s="3" t="s">
        <v>16</v>
      </c>
      <c r="G637" s="3" t="s">
        <v>26</v>
      </c>
      <c r="H637" s="3"/>
      <c r="I637" s="3"/>
      <c r="J637" s="3" t="s">
        <v>19</v>
      </c>
      <c r="K637" s="3"/>
      <c r="L637" s="3" t="s">
        <v>63</v>
      </c>
    </row>
    <row r="638" customFormat="false" ht="11.9" hidden="false" customHeight="true" outlineLevel="0" collapsed="false">
      <c r="A638" s="2" t="str">
        <f aca="false">HYPERLINK("https://www.fabsurplus.com/sdi_catalog/salesItemDetails.do?id=114673")</f>
        <v>https://www.fabsurplus.com/sdi_catalog/salesItemDetails.do?id=114673</v>
      </c>
      <c r="B638" s="2" t="s">
        <v>1626</v>
      </c>
      <c r="C638" s="2" t="s">
        <v>1050</v>
      </c>
      <c r="D638" s="2" t="s">
        <v>1624</v>
      </c>
      <c r="E638" s="2" t="s">
        <v>1627</v>
      </c>
      <c r="F638" s="2" t="s">
        <v>16</v>
      </c>
      <c r="G638" s="2" t="s">
        <v>26</v>
      </c>
      <c r="H638" s="2"/>
      <c r="I638" s="2"/>
      <c r="J638" s="2" t="s">
        <v>19</v>
      </c>
      <c r="K638" s="2"/>
      <c r="L638" s="2" t="s">
        <v>63</v>
      </c>
    </row>
    <row r="639" customFormat="false" ht="11.9" hidden="false" customHeight="true" outlineLevel="0" collapsed="false">
      <c r="A639" s="3" t="str">
        <f aca="false">HYPERLINK("https://www.fabsurplus.com/sdi_catalog/salesItemDetails.do?id=114815")</f>
        <v>https://www.fabsurplus.com/sdi_catalog/salesItemDetails.do?id=114815</v>
      </c>
      <c r="B639" s="3" t="s">
        <v>1628</v>
      </c>
      <c r="C639" s="3" t="s">
        <v>1050</v>
      </c>
      <c r="D639" s="3" t="s">
        <v>1629</v>
      </c>
      <c r="E639" s="3" t="s">
        <v>1630</v>
      </c>
      <c r="F639" s="3" t="s">
        <v>69</v>
      </c>
      <c r="G639" s="3" t="s">
        <v>26</v>
      </c>
      <c r="H639" s="3"/>
      <c r="I639" s="3"/>
      <c r="J639" s="3" t="s">
        <v>19</v>
      </c>
      <c r="K639" s="3"/>
      <c r="L639" s="3" t="s">
        <v>63</v>
      </c>
    </row>
    <row r="640" customFormat="false" ht="11.9" hidden="false" customHeight="true" outlineLevel="0" collapsed="false">
      <c r="A640" s="2" t="str">
        <f aca="false">HYPERLINK("https://www.fabsurplus.com/sdi_catalog/salesItemDetails.do?id=114713")</f>
        <v>https://www.fabsurplus.com/sdi_catalog/salesItemDetails.do?id=114713</v>
      </c>
      <c r="B640" s="2" t="s">
        <v>1631</v>
      </c>
      <c r="C640" s="2" t="s">
        <v>1050</v>
      </c>
      <c r="D640" s="2" t="s">
        <v>1632</v>
      </c>
      <c r="E640" s="2" t="s">
        <v>1633</v>
      </c>
      <c r="F640" s="2" t="s">
        <v>16</v>
      </c>
      <c r="G640" s="2" t="s">
        <v>26</v>
      </c>
      <c r="H640" s="2"/>
      <c r="I640" s="2"/>
      <c r="J640" s="2" t="s">
        <v>19</v>
      </c>
      <c r="K640" s="2"/>
      <c r="L640" s="2" t="s">
        <v>63</v>
      </c>
    </row>
    <row r="641" customFormat="false" ht="11.9" hidden="false" customHeight="true" outlineLevel="0" collapsed="false">
      <c r="A641" s="2" t="str">
        <f aca="false">HYPERLINK("https://www.fabsurplus.com/sdi_catalog/salesItemDetails.do?id=115003")</f>
        <v>https://www.fabsurplus.com/sdi_catalog/salesItemDetails.do?id=115003</v>
      </c>
      <c r="B641" s="2" t="s">
        <v>1634</v>
      </c>
      <c r="C641" s="2" t="s">
        <v>1050</v>
      </c>
      <c r="D641" s="2" t="s">
        <v>1635</v>
      </c>
      <c r="E641" s="2" t="s">
        <v>1636</v>
      </c>
      <c r="F641" s="2" t="s">
        <v>77</v>
      </c>
      <c r="G641" s="2" t="s">
        <v>26</v>
      </c>
      <c r="H641" s="2"/>
      <c r="I641" s="2"/>
      <c r="J641" s="2" t="s">
        <v>19</v>
      </c>
      <c r="K641" s="2"/>
      <c r="L641" s="2" t="s">
        <v>63</v>
      </c>
    </row>
    <row r="642" customFormat="false" ht="11.9" hidden="false" customHeight="true" outlineLevel="0" collapsed="false">
      <c r="A642" s="2" t="str">
        <f aca="false">HYPERLINK("https://www.fabsurplus.com/sdi_catalog/salesItemDetails.do?id=114732")</f>
        <v>https://www.fabsurplus.com/sdi_catalog/salesItemDetails.do?id=114732</v>
      </c>
      <c r="B642" s="2" t="s">
        <v>1637</v>
      </c>
      <c r="C642" s="2" t="s">
        <v>1050</v>
      </c>
      <c r="D642" s="2" t="s">
        <v>1638</v>
      </c>
      <c r="E642" s="2" t="s">
        <v>1639</v>
      </c>
      <c r="F642" s="2" t="s">
        <v>16</v>
      </c>
      <c r="G642" s="2" t="s">
        <v>26</v>
      </c>
      <c r="H642" s="2"/>
      <c r="I642" s="2"/>
      <c r="J642" s="2" t="s">
        <v>19</v>
      </c>
      <c r="K642" s="2"/>
      <c r="L642" s="2" t="s">
        <v>63</v>
      </c>
    </row>
    <row r="643" customFormat="false" ht="11.9" hidden="false" customHeight="true" outlineLevel="0" collapsed="false">
      <c r="A643" s="3" t="str">
        <f aca="false">HYPERLINK("https://www.fabsurplus.com/sdi_catalog/salesItemDetails.do?id=114733")</f>
        <v>https://www.fabsurplus.com/sdi_catalog/salesItemDetails.do?id=114733</v>
      </c>
      <c r="B643" s="3" t="s">
        <v>1640</v>
      </c>
      <c r="C643" s="3" t="s">
        <v>1050</v>
      </c>
      <c r="D643" s="3" t="s">
        <v>1638</v>
      </c>
      <c r="E643" s="3" t="s">
        <v>1641</v>
      </c>
      <c r="F643" s="3" t="s">
        <v>16</v>
      </c>
      <c r="G643" s="3" t="s">
        <v>26</v>
      </c>
      <c r="H643" s="3"/>
      <c r="I643" s="3"/>
      <c r="J643" s="3" t="s">
        <v>19</v>
      </c>
      <c r="K643" s="3"/>
      <c r="L643" s="3" t="s">
        <v>63</v>
      </c>
    </row>
    <row r="644" customFormat="false" ht="11.9" hidden="false" customHeight="true" outlineLevel="0" collapsed="false">
      <c r="A644" s="3" t="str">
        <f aca="false">HYPERLINK("https://www.fabsurplus.com/sdi_catalog/salesItemDetails.do?id=114816")</f>
        <v>https://www.fabsurplus.com/sdi_catalog/salesItemDetails.do?id=114816</v>
      </c>
      <c r="B644" s="3" t="s">
        <v>1642</v>
      </c>
      <c r="C644" s="3" t="s">
        <v>1050</v>
      </c>
      <c r="D644" s="3" t="s">
        <v>1638</v>
      </c>
      <c r="E644" s="3" t="s">
        <v>1643</v>
      </c>
      <c r="F644" s="3" t="s">
        <v>16</v>
      </c>
      <c r="G644" s="3" t="s">
        <v>26</v>
      </c>
      <c r="H644" s="3"/>
      <c r="I644" s="3"/>
      <c r="J644" s="3" t="s">
        <v>19</v>
      </c>
      <c r="K644" s="3"/>
      <c r="L644" s="3" t="s">
        <v>63</v>
      </c>
    </row>
    <row r="645" customFormat="false" ht="11.9" hidden="false" customHeight="true" outlineLevel="0" collapsed="false">
      <c r="A645" s="3" t="str">
        <f aca="false">HYPERLINK("https://www.fabsurplus.com/sdi_catalog/salesItemDetails.do?id=114980")</f>
        <v>https://www.fabsurplus.com/sdi_catalog/salesItemDetails.do?id=114980</v>
      </c>
      <c r="B645" s="3" t="s">
        <v>1644</v>
      </c>
      <c r="C645" s="3" t="s">
        <v>1050</v>
      </c>
      <c r="D645" s="3" t="s">
        <v>1645</v>
      </c>
      <c r="E645" s="3" t="s">
        <v>1646</v>
      </c>
      <c r="F645" s="3" t="s">
        <v>16</v>
      </c>
      <c r="G645" s="3" t="s">
        <v>26</v>
      </c>
      <c r="H645" s="3"/>
      <c r="I645" s="3"/>
      <c r="J645" s="3" t="s">
        <v>19</v>
      </c>
      <c r="K645" s="3"/>
      <c r="L645" s="3" t="s">
        <v>63</v>
      </c>
    </row>
    <row r="646" customFormat="false" ht="11.9" hidden="false" customHeight="true" outlineLevel="0" collapsed="false">
      <c r="A646" s="2" t="str">
        <f aca="false">HYPERLINK("https://www.fabsurplus.com/sdi_catalog/salesItemDetails.do?id=114939")</f>
        <v>https://www.fabsurplus.com/sdi_catalog/salesItemDetails.do?id=114939</v>
      </c>
      <c r="B646" s="2" t="s">
        <v>1647</v>
      </c>
      <c r="C646" s="2" t="s">
        <v>1050</v>
      </c>
      <c r="D646" s="2" t="s">
        <v>1648</v>
      </c>
      <c r="E646" s="2" t="s">
        <v>1649</v>
      </c>
      <c r="F646" s="2" t="s">
        <v>16</v>
      </c>
      <c r="G646" s="2" t="s">
        <v>26</v>
      </c>
      <c r="H646" s="2"/>
      <c r="I646" s="2"/>
      <c r="J646" s="2" t="s">
        <v>19</v>
      </c>
      <c r="K646" s="2"/>
      <c r="L646" s="2" t="s">
        <v>63</v>
      </c>
    </row>
    <row r="647" customFormat="false" ht="11.9" hidden="false" customHeight="true" outlineLevel="0" collapsed="false">
      <c r="A647" s="2" t="str">
        <f aca="false">HYPERLINK("https://www.fabsurplus.com/sdi_catalog/salesItemDetails.do?id=115204")</f>
        <v>https://www.fabsurplus.com/sdi_catalog/salesItemDetails.do?id=115204</v>
      </c>
      <c r="B647" s="2" t="s">
        <v>1650</v>
      </c>
      <c r="C647" s="2" t="s">
        <v>1050</v>
      </c>
      <c r="D647" s="2" t="s">
        <v>1651</v>
      </c>
      <c r="E647" s="2" t="s">
        <v>1652</v>
      </c>
      <c r="F647" s="2" t="s">
        <v>16</v>
      </c>
      <c r="G647" s="2" t="s">
        <v>26</v>
      </c>
      <c r="H647" s="2"/>
      <c r="I647" s="2"/>
      <c r="J647" s="2" t="s">
        <v>19</v>
      </c>
      <c r="K647" s="2"/>
      <c r="L647" s="2" t="s">
        <v>63</v>
      </c>
    </row>
    <row r="648" customFormat="false" ht="11.9" hidden="false" customHeight="true" outlineLevel="0" collapsed="false">
      <c r="A648" s="3" t="str">
        <f aca="false">HYPERLINK("https://www.fabsurplus.com/sdi_catalog/salesItemDetails.do?id=114653")</f>
        <v>https://www.fabsurplus.com/sdi_catalog/salesItemDetails.do?id=114653</v>
      </c>
      <c r="B648" s="3" t="s">
        <v>1653</v>
      </c>
      <c r="C648" s="3" t="s">
        <v>1050</v>
      </c>
      <c r="D648" s="3" t="s">
        <v>1654</v>
      </c>
      <c r="E648" s="3" t="s">
        <v>1243</v>
      </c>
      <c r="F648" s="3" t="s">
        <v>16</v>
      </c>
      <c r="G648" s="3" t="s">
        <v>26</v>
      </c>
      <c r="H648" s="3"/>
      <c r="I648" s="3"/>
      <c r="J648" s="3" t="s">
        <v>19</v>
      </c>
      <c r="K648" s="3"/>
      <c r="L648" s="3" t="s">
        <v>63</v>
      </c>
    </row>
    <row r="649" customFormat="false" ht="11.9" hidden="false" customHeight="true" outlineLevel="0" collapsed="false">
      <c r="A649" s="2" t="str">
        <f aca="false">HYPERLINK("https://www.fabsurplus.com/sdi_catalog/salesItemDetails.do?id=115041")</f>
        <v>https://www.fabsurplus.com/sdi_catalog/salesItemDetails.do?id=115041</v>
      </c>
      <c r="B649" s="2" t="s">
        <v>1655</v>
      </c>
      <c r="C649" s="2" t="s">
        <v>1050</v>
      </c>
      <c r="D649" s="2" t="s">
        <v>1656</v>
      </c>
      <c r="E649" s="2" t="s">
        <v>1657</v>
      </c>
      <c r="F649" s="2" t="s">
        <v>16</v>
      </c>
      <c r="G649" s="2" t="s">
        <v>26</v>
      </c>
      <c r="H649" s="2"/>
      <c r="I649" s="2"/>
      <c r="J649" s="2" t="s">
        <v>19</v>
      </c>
      <c r="K649" s="2"/>
      <c r="L649" s="2" t="s">
        <v>63</v>
      </c>
    </row>
    <row r="650" customFormat="false" ht="11.9" hidden="false" customHeight="true" outlineLevel="0" collapsed="false">
      <c r="A650" s="2" t="str">
        <f aca="false">HYPERLINK("https://www.fabsurplus.com/sdi_catalog/salesItemDetails.do?id=115042")</f>
        <v>https://www.fabsurplus.com/sdi_catalog/salesItemDetails.do?id=115042</v>
      </c>
      <c r="B650" s="2" t="s">
        <v>1658</v>
      </c>
      <c r="C650" s="2" t="s">
        <v>1050</v>
      </c>
      <c r="D650" s="2" t="s">
        <v>1659</v>
      </c>
      <c r="E650" s="2" t="s">
        <v>1660</v>
      </c>
      <c r="F650" s="2" t="s">
        <v>16</v>
      </c>
      <c r="G650" s="2" t="s">
        <v>26</v>
      </c>
      <c r="H650" s="2"/>
      <c r="I650" s="2"/>
      <c r="J650" s="2" t="s">
        <v>19</v>
      </c>
      <c r="K650" s="2"/>
      <c r="L650" s="2" t="s">
        <v>63</v>
      </c>
    </row>
    <row r="651" customFormat="false" ht="11.9" hidden="false" customHeight="true" outlineLevel="0" collapsed="false">
      <c r="A651" s="2" t="str">
        <f aca="false">HYPERLINK("https://www.fabsurplus.com/sdi_catalog/salesItemDetails.do?id=115043")</f>
        <v>https://www.fabsurplus.com/sdi_catalog/salesItemDetails.do?id=115043</v>
      </c>
      <c r="B651" s="2" t="s">
        <v>1661</v>
      </c>
      <c r="C651" s="2" t="s">
        <v>1050</v>
      </c>
      <c r="D651" s="2" t="s">
        <v>1662</v>
      </c>
      <c r="E651" s="2" t="s">
        <v>1663</v>
      </c>
      <c r="F651" s="2" t="s">
        <v>16</v>
      </c>
      <c r="G651" s="2" t="s">
        <v>26</v>
      </c>
      <c r="H651" s="2"/>
      <c r="I651" s="2"/>
      <c r="J651" s="2" t="s">
        <v>19</v>
      </c>
      <c r="K651" s="2"/>
      <c r="L651" s="2" t="s">
        <v>63</v>
      </c>
    </row>
    <row r="652" customFormat="false" ht="11.9" hidden="false" customHeight="true" outlineLevel="0" collapsed="false">
      <c r="A652" s="3" t="str">
        <f aca="false">HYPERLINK("https://www.fabsurplus.com/sdi_catalog/salesItemDetails.do?id=114817")</f>
        <v>https://www.fabsurplus.com/sdi_catalog/salesItemDetails.do?id=114817</v>
      </c>
      <c r="B652" s="3" t="s">
        <v>1664</v>
      </c>
      <c r="C652" s="3" t="s">
        <v>1050</v>
      </c>
      <c r="D652" s="3" t="s">
        <v>1665</v>
      </c>
      <c r="E652" s="3" t="s">
        <v>1666</v>
      </c>
      <c r="F652" s="3" t="s">
        <v>16</v>
      </c>
      <c r="G652" s="3" t="s">
        <v>26</v>
      </c>
      <c r="H652" s="3"/>
      <c r="I652" s="3"/>
      <c r="J652" s="3" t="s">
        <v>19</v>
      </c>
      <c r="K652" s="3"/>
      <c r="L652" s="3" t="s">
        <v>63</v>
      </c>
    </row>
    <row r="653" customFormat="false" ht="11.9" hidden="false" customHeight="true" outlineLevel="0" collapsed="false">
      <c r="A653" s="3" t="str">
        <f aca="false">HYPERLINK("https://www.fabsurplus.com/sdi_catalog/salesItemDetails.do?id=115044")</f>
        <v>https://www.fabsurplus.com/sdi_catalog/salesItemDetails.do?id=115044</v>
      </c>
      <c r="B653" s="3" t="s">
        <v>1667</v>
      </c>
      <c r="C653" s="3" t="s">
        <v>1050</v>
      </c>
      <c r="D653" s="3" t="s">
        <v>1668</v>
      </c>
      <c r="E653" s="3" t="s">
        <v>1669</v>
      </c>
      <c r="F653" s="3" t="s">
        <v>16</v>
      </c>
      <c r="G653" s="3" t="s">
        <v>26</v>
      </c>
      <c r="H653" s="3"/>
      <c r="I653" s="3"/>
      <c r="J653" s="3" t="s">
        <v>19</v>
      </c>
      <c r="K653" s="3"/>
      <c r="L653" s="3" t="s">
        <v>63</v>
      </c>
    </row>
    <row r="654" customFormat="false" ht="11.9" hidden="false" customHeight="true" outlineLevel="0" collapsed="false">
      <c r="A654" s="2" t="str">
        <f aca="false">HYPERLINK("https://www.fabsurplus.com/sdi_catalog/salesItemDetails.do?id=115139")</f>
        <v>https://www.fabsurplus.com/sdi_catalog/salesItemDetails.do?id=115139</v>
      </c>
      <c r="B654" s="2" t="s">
        <v>1670</v>
      </c>
      <c r="C654" s="2" t="s">
        <v>1050</v>
      </c>
      <c r="D654" s="2" t="s">
        <v>1671</v>
      </c>
      <c r="E654" s="2" t="s">
        <v>1672</v>
      </c>
      <c r="F654" s="2" t="s">
        <v>16</v>
      </c>
      <c r="G654" s="2" t="s">
        <v>26</v>
      </c>
      <c r="H654" s="2"/>
      <c r="I654" s="2"/>
      <c r="J654" s="2" t="s">
        <v>19</v>
      </c>
      <c r="K654" s="2"/>
      <c r="L654" s="2" t="s">
        <v>63</v>
      </c>
    </row>
    <row r="655" customFormat="false" ht="11.9" hidden="false" customHeight="true" outlineLevel="0" collapsed="false">
      <c r="A655" s="3" t="str">
        <f aca="false">HYPERLINK("https://www.fabsurplus.com/sdi_catalog/salesItemDetails.do?id=115006")</f>
        <v>https://www.fabsurplus.com/sdi_catalog/salesItemDetails.do?id=115006</v>
      </c>
      <c r="B655" s="3" t="s">
        <v>1673</v>
      </c>
      <c r="C655" s="3" t="s">
        <v>1050</v>
      </c>
      <c r="D655" s="3" t="s">
        <v>1674</v>
      </c>
      <c r="E655" s="3" t="s">
        <v>1675</v>
      </c>
      <c r="F655" s="3" t="s">
        <v>16</v>
      </c>
      <c r="G655" s="3" t="s">
        <v>26</v>
      </c>
      <c r="H655" s="3"/>
      <c r="I655" s="3"/>
      <c r="J655" s="3" t="s">
        <v>19</v>
      </c>
      <c r="K655" s="3"/>
      <c r="L655" s="3" t="s">
        <v>63</v>
      </c>
    </row>
    <row r="656" customFormat="false" ht="11.9" hidden="false" customHeight="true" outlineLevel="0" collapsed="false">
      <c r="A656" s="3" t="str">
        <f aca="false">HYPERLINK("https://www.fabsurplus.com/sdi_catalog/salesItemDetails.do?id=114785")</f>
        <v>https://www.fabsurplus.com/sdi_catalog/salesItemDetails.do?id=114785</v>
      </c>
      <c r="B656" s="3" t="s">
        <v>1676</v>
      </c>
      <c r="C656" s="3" t="s">
        <v>1050</v>
      </c>
      <c r="D656" s="3" t="s">
        <v>1677</v>
      </c>
      <c r="E656" s="3" t="s">
        <v>1678</v>
      </c>
      <c r="F656" s="3" t="s">
        <v>16</v>
      </c>
      <c r="G656" s="3" t="s">
        <v>26</v>
      </c>
      <c r="H656" s="3"/>
      <c r="I656" s="3"/>
      <c r="J656" s="3" t="s">
        <v>19</v>
      </c>
      <c r="K656" s="3"/>
      <c r="L656" s="3" t="s">
        <v>63</v>
      </c>
    </row>
    <row r="657" customFormat="false" ht="11.9" hidden="false" customHeight="true" outlineLevel="0" collapsed="false">
      <c r="A657" s="3" t="str">
        <f aca="false">HYPERLINK("https://www.fabsurplus.com/sdi_catalog/salesItemDetails.do?id=115045")</f>
        <v>https://www.fabsurplus.com/sdi_catalog/salesItemDetails.do?id=115045</v>
      </c>
      <c r="B657" s="3" t="s">
        <v>1679</v>
      </c>
      <c r="C657" s="3" t="s">
        <v>1050</v>
      </c>
      <c r="D657" s="3" t="s">
        <v>1680</v>
      </c>
      <c r="E657" s="3" t="s">
        <v>1681</v>
      </c>
      <c r="F657" s="3" t="s">
        <v>16</v>
      </c>
      <c r="G657" s="3" t="s">
        <v>26</v>
      </c>
      <c r="H657" s="3"/>
      <c r="I657" s="3"/>
      <c r="J657" s="3" t="s">
        <v>19</v>
      </c>
      <c r="K657" s="3"/>
      <c r="L657" s="3" t="s">
        <v>63</v>
      </c>
    </row>
    <row r="658" customFormat="false" ht="11.9" hidden="false" customHeight="true" outlineLevel="0" collapsed="false">
      <c r="A658" s="2" t="str">
        <f aca="false">HYPERLINK("https://www.fabsurplus.com/sdi_catalog/salesItemDetails.do?id=115140")</f>
        <v>https://www.fabsurplus.com/sdi_catalog/salesItemDetails.do?id=115140</v>
      </c>
      <c r="B658" s="2" t="s">
        <v>1682</v>
      </c>
      <c r="C658" s="2" t="s">
        <v>1050</v>
      </c>
      <c r="D658" s="2" t="s">
        <v>1683</v>
      </c>
      <c r="E658" s="2" t="s">
        <v>1684</v>
      </c>
      <c r="F658" s="2" t="s">
        <v>101</v>
      </c>
      <c r="G658" s="2" t="s">
        <v>26</v>
      </c>
      <c r="H658" s="2"/>
      <c r="I658" s="2"/>
      <c r="J658" s="2" t="s">
        <v>19</v>
      </c>
      <c r="K658" s="2"/>
      <c r="L658" s="2" t="s">
        <v>63</v>
      </c>
    </row>
    <row r="659" customFormat="false" ht="11.9" hidden="false" customHeight="true" outlineLevel="0" collapsed="false">
      <c r="A659" s="3" t="str">
        <f aca="false">HYPERLINK("https://www.fabsurplus.com/sdi_catalog/salesItemDetails.do?id=114885")</f>
        <v>https://www.fabsurplus.com/sdi_catalog/salesItemDetails.do?id=114885</v>
      </c>
      <c r="B659" s="3" t="s">
        <v>1685</v>
      </c>
      <c r="C659" s="3" t="s">
        <v>1050</v>
      </c>
      <c r="D659" s="3" t="s">
        <v>1686</v>
      </c>
      <c r="E659" s="3" t="s">
        <v>1687</v>
      </c>
      <c r="F659" s="3" t="s">
        <v>69</v>
      </c>
      <c r="G659" s="3" t="s">
        <v>26</v>
      </c>
      <c r="H659" s="3"/>
      <c r="I659" s="3"/>
      <c r="J659" s="3" t="s">
        <v>19</v>
      </c>
      <c r="K659" s="3"/>
      <c r="L659" s="3" t="s">
        <v>63</v>
      </c>
    </row>
    <row r="660" customFormat="false" ht="11.9" hidden="false" customHeight="true" outlineLevel="0" collapsed="false">
      <c r="A660" s="2" t="str">
        <f aca="false">HYPERLINK("https://www.fabsurplus.com/sdi_catalog/salesItemDetails.do?id=106215")</f>
        <v>https://www.fabsurplus.com/sdi_catalog/salesItemDetails.do?id=106215</v>
      </c>
      <c r="B660" s="2" t="s">
        <v>1688</v>
      </c>
      <c r="C660" s="2" t="s">
        <v>1050</v>
      </c>
      <c r="D660" s="2" t="s">
        <v>1689</v>
      </c>
      <c r="E660" s="2" t="s">
        <v>1690</v>
      </c>
      <c r="F660" s="2" t="s">
        <v>77</v>
      </c>
      <c r="G660" s="2" t="s">
        <v>26</v>
      </c>
      <c r="H660" s="2" t="s">
        <v>1691</v>
      </c>
      <c r="I660" s="7" t="n">
        <v>35947</v>
      </c>
      <c r="J660" s="2" t="s">
        <v>19</v>
      </c>
      <c r="K660" s="2" t="s">
        <v>20</v>
      </c>
      <c r="L660" s="6" t="s">
        <v>1692</v>
      </c>
    </row>
    <row r="661" customFormat="false" ht="11.9" hidden="false" customHeight="true" outlineLevel="0" collapsed="false">
      <c r="A661" s="2" t="str">
        <f aca="false">HYPERLINK("https://www.fabsurplus.com/sdi_catalog/salesItemDetails.do?id=106217")</f>
        <v>https://www.fabsurplus.com/sdi_catalog/salesItemDetails.do?id=106217</v>
      </c>
      <c r="B661" s="2" t="s">
        <v>1693</v>
      </c>
      <c r="C661" s="2" t="s">
        <v>1050</v>
      </c>
      <c r="D661" s="2" t="s">
        <v>1694</v>
      </c>
      <c r="E661" s="2" t="s">
        <v>1695</v>
      </c>
      <c r="F661" s="2" t="s">
        <v>16</v>
      </c>
      <c r="G661" s="2" t="s">
        <v>26</v>
      </c>
      <c r="H661" s="2" t="s">
        <v>27</v>
      </c>
      <c r="I661" s="7" t="n">
        <v>36312</v>
      </c>
      <c r="J661" s="2" t="s">
        <v>19</v>
      </c>
      <c r="K661" s="2" t="s">
        <v>20</v>
      </c>
      <c r="L661" s="6" t="s">
        <v>1696</v>
      </c>
    </row>
    <row r="662" customFormat="false" ht="11.9" hidden="false" customHeight="true" outlineLevel="0" collapsed="false">
      <c r="A662" s="2" t="str">
        <f aca="false">HYPERLINK("https://www.fabsurplus.com/sdi_catalog/salesItemDetails.do?id=106213")</f>
        <v>https://www.fabsurplus.com/sdi_catalog/salesItemDetails.do?id=106213</v>
      </c>
      <c r="B662" s="2" t="s">
        <v>1697</v>
      </c>
      <c r="C662" s="2" t="s">
        <v>1050</v>
      </c>
      <c r="D662" s="2" t="s">
        <v>1698</v>
      </c>
      <c r="E662" s="2" t="s">
        <v>1699</v>
      </c>
      <c r="F662" s="2" t="s">
        <v>77</v>
      </c>
      <c r="G662" s="2" t="s">
        <v>26</v>
      </c>
      <c r="H662" s="2" t="s">
        <v>1691</v>
      </c>
      <c r="I662" s="7" t="n">
        <v>36312</v>
      </c>
      <c r="J662" s="2" t="s">
        <v>19</v>
      </c>
      <c r="K662" s="2" t="s">
        <v>20</v>
      </c>
      <c r="L662" s="6" t="s">
        <v>1692</v>
      </c>
    </row>
    <row r="663" customFormat="false" ht="11.9" hidden="false" customHeight="true" outlineLevel="0" collapsed="false">
      <c r="A663" s="2" t="str">
        <f aca="false">HYPERLINK("https://www.fabsurplus.com/sdi_catalog/salesItemDetails.do?id=106223")</f>
        <v>https://www.fabsurplus.com/sdi_catalog/salesItemDetails.do?id=106223</v>
      </c>
      <c r="B663" s="2" t="s">
        <v>1700</v>
      </c>
      <c r="C663" s="2" t="s">
        <v>1050</v>
      </c>
      <c r="D663" s="2" t="s">
        <v>1698</v>
      </c>
      <c r="E663" s="2" t="s">
        <v>1699</v>
      </c>
      <c r="F663" s="2" t="s">
        <v>16</v>
      </c>
      <c r="G663" s="2" t="s">
        <v>26</v>
      </c>
      <c r="H663" s="2" t="s">
        <v>1691</v>
      </c>
      <c r="I663" s="7" t="n">
        <v>35947</v>
      </c>
      <c r="J663" s="2" t="s">
        <v>19</v>
      </c>
      <c r="K663" s="2" t="s">
        <v>20</v>
      </c>
      <c r="L663" s="6" t="s">
        <v>1692</v>
      </c>
    </row>
    <row r="664" customFormat="false" ht="11.9" hidden="false" customHeight="true" outlineLevel="0" collapsed="false">
      <c r="A664" s="3" t="str">
        <f aca="false">HYPERLINK("https://www.fabsurplus.com/sdi_catalog/salesItemDetails.do?id=106228")</f>
        <v>https://www.fabsurplus.com/sdi_catalog/salesItemDetails.do?id=106228</v>
      </c>
      <c r="B664" s="3" t="s">
        <v>1701</v>
      </c>
      <c r="C664" s="3" t="s">
        <v>1050</v>
      </c>
      <c r="D664" s="3" t="s">
        <v>1698</v>
      </c>
      <c r="E664" s="3" t="s">
        <v>1699</v>
      </c>
      <c r="F664" s="3" t="s">
        <v>16</v>
      </c>
      <c r="G664" s="3" t="s">
        <v>26</v>
      </c>
      <c r="H664" s="3" t="s">
        <v>1691</v>
      </c>
      <c r="I664" s="4" t="n">
        <v>35947</v>
      </c>
      <c r="J664" s="3" t="s">
        <v>19</v>
      </c>
      <c r="K664" s="3" t="s">
        <v>20</v>
      </c>
      <c r="L664" s="5" t="s">
        <v>1692</v>
      </c>
    </row>
    <row r="665" customFormat="false" ht="11.9" hidden="false" customHeight="true" outlineLevel="0" collapsed="false">
      <c r="A665" s="2" t="str">
        <f aca="false">HYPERLINK("https://www.fabsurplus.com/sdi_catalog/salesItemDetails.do?id=114981")</f>
        <v>https://www.fabsurplus.com/sdi_catalog/salesItemDetails.do?id=114981</v>
      </c>
      <c r="B665" s="2" t="s">
        <v>1702</v>
      </c>
      <c r="C665" s="2" t="s">
        <v>1050</v>
      </c>
      <c r="D665" s="2" t="s">
        <v>1703</v>
      </c>
      <c r="E665" s="2" t="s">
        <v>1704</v>
      </c>
      <c r="F665" s="2" t="s">
        <v>16</v>
      </c>
      <c r="G665" s="2" t="s">
        <v>26</v>
      </c>
      <c r="H665" s="2"/>
      <c r="I665" s="2"/>
      <c r="J665" s="2" t="s">
        <v>19</v>
      </c>
      <c r="K665" s="2"/>
      <c r="L665" s="2" t="s">
        <v>63</v>
      </c>
    </row>
    <row r="666" customFormat="false" ht="11.9" hidden="false" customHeight="true" outlineLevel="0" collapsed="false">
      <c r="A666" s="2" t="str">
        <f aca="false">HYPERLINK("https://www.fabsurplus.com/sdi_catalog/salesItemDetails.do?id=115001")</f>
        <v>https://www.fabsurplus.com/sdi_catalog/salesItemDetails.do?id=115001</v>
      </c>
      <c r="B666" s="2" t="s">
        <v>1705</v>
      </c>
      <c r="C666" s="2" t="s">
        <v>1050</v>
      </c>
      <c r="D666" s="2" t="s">
        <v>1706</v>
      </c>
      <c r="E666" s="2" t="s">
        <v>1707</v>
      </c>
      <c r="F666" s="2" t="s">
        <v>77</v>
      </c>
      <c r="G666" s="2" t="s">
        <v>26</v>
      </c>
      <c r="H666" s="2"/>
      <c r="I666" s="2"/>
      <c r="J666" s="2" t="s">
        <v>19</v>
      </c>
      <c r="K666" s="2"/>
      <c r="L666" s="2" t="s">
        <v>63</v>
      </c>
    </row>
    <row r="667" customFormat="false" ht="11.9" hidden="false" customHeight="true" outlineLevel="0" collapsed="false">
      <c r="A667" s="3" t="str">
        <f aca="false">HYPERLINK("https://www.fabsurplus.com/sdi_catalog/salesItemDetails.do?id=71932")</f>
        <v>https://www.fabsurplus.com/sdi_catalog/salesItemDetails.do?id=71932</v>
      </c>
      <c r="B667" s="3" t="s">
        <v>1708</v>
      </c>
      <c r="C667" s="3" t="s">
        <v>1050</v>
      </c>
      <c r="D667" s="3" t="s">
        <v>1709</v>
      </c>
      <c r="E667" s="3" t="s">
        <v>1710</v>
      </c>
      <c r="F667" s="3" t="s">
        <v>16</v>
      </c>
      <c r="G667" s="3" t="s">
        <v>17</v>
      </c>
      <c r="H667" s="3" t="s">
        <v>1691</v>
      </c>
      <c r="I667" s="4" t="n">
        <v>36311.9166666667</v>
      </c>
      <c r="J667" s="3" t="s">
        <v>19</v>
      </c>
      <c r="K667" s="3" t="s">
        <v>20</v>
      </c>
      <c r="L667" s="5" t="s">
        <v>1711</v>
      </c>
    </row>
    <row r="668" customFormat="false" ht="11.9" hidden="false" customHeight="true" outlineLevel="0" collapsed="false">
      <c r="A668" s="2" t="str">
        <f aca="false">HYPERLINK("https://www.fabsurplus.com/sdi_catalog/salesItemDetails.do?id=106209")</f>
        <v>https://www.fabsurplus.com/sdi_catalog/salesItemDetails.do?id=106209</v>
      </c>
      <c r="B668" s="2" t="s">
        <v>1712</v>
      </c>
      <c r="C668" s="2" t="s">
        <v>1050</v>
      </c>
      <c r="D668" s="2" t="s">
        <v>1713</v>
      </c>
      <c r="E668" s="2" t="s">
        <v>1714</v>
      </c>
      <c r="F668" s="2" t="s">
        <v>16</v>
      </c>
      <c r="G668" s="2" t="s">
        <v>26</v>
      </c>
      <c r="H668" s="2" t="s">
        <v>35</v>
      </c>
      <c r="I668" s="7" t="n">
        <v>36312</v>
      </c>
      <c r="J668" s="2" t="s">
        <v>19</v>
      </c>
      <c r="K668" s="2" t="s">
        <v>20</v>
      </c>
      <c r="L668" s="6" t="s">
        <v>1715</v>
      </c>
    </row>
    <row r="669" customFormat="false" ht="11.9" hidden="false" customHeight="true" outlineLevel="0" collapsed="false">
      <c r="A669" s="2" t="str">
        <f aca="false">HYPERLINK("https://www.fabsurplus.com/sdi_catalog/salesItemDetails.do?id=115141")</f>
        <v>https://www.fabsurplus.com/sdi_catalog/salesItemDetails.do?id=115141</v>
      </c>
      <c r="B669" s="2" t="s">
        <v>1716</v>
      </c>
      <c r="C669" s="2" t="s">
        <v>1050</v>
      </c>
      <c r="D669" s="2" t="s">
        <v>1717</v>
      </c>
      <c r="E669" s="2" t="s">
        <v>1718</v>
      </c>
      <c r="F669" s="2" t="s">
        <v>16</v>
      </c>
      <c r="G669" s="2" t="s">
        <v>26</v>
      </c>
      <c r="H669" s="2"/>
      <c r="I669" s="2"/>
      <c r="J669" s="2" t="s">
        <v>19</v>
      </c>
      <c r="K669" s="2"/>
      <c r="L669" s="2" t="s">
        <v>63</v>
      </c>
    </row>
    <row r="670" customFormat="false" ht="11.9" hidden="false" customHeight="true" outlineLevel="0" collapsed="false">
      <c r="A670" s="3" t="str">
        <f aca="false">HYPERLINK("https://www.fabsurplus.com/sdi_catalog/salesItemDetails.do?id=114940")</f>
        <v>https://www.fabsurplus.com/sdi_catalog/salesItemDetails.do?id=114940</v>
      </c>
      <c r="B670" s="3" t="s">
        <v>1719</v>
      </c>
      <c r="C670" s="3" t="s">
        <v>1050</v>
      </c>
      <c r="D670" s="3" t="s">
        <v>1717</v>
      </c>
      <c r="E670" s="3" t="s">
        <v>1720</v>
      </c>
      <c r="F670" s="3" t="s">
        <v>69</v>
      </c>
      <c r="G670" s="3" t="s">
        <v>26</v>
      </c>
      <c r="H670" s="3"/>
      <c r="I670" s="3"/>
      <c r="J670" s="3" t="s">
        <v>19</v>
      </c>
      <c r="K670" s="3"/>
      <c r="L670" s="3" t="s">
        <v>63</v>
      </c>
    </row>
    <row r="671" customFormat="false" ht="11.9" hidden="false" customHeight="true" outlineLevel="0" collapsed="false">
      <c r="A671" s="2" t="str">
        <f aca="false">HYPERLINK("https://www.fabsurplus.com/sdi_catalog/salesItemDetails.do?id=115205")</f>
        <v>https://www.fabsurplus.com/sdi_catalog/salesItemDetails.do?id=115205</v>
      </c>
      <c r="B671" s="2" t="s">
        <v>1721</v>
      </c>
      <c r="C671" s="2" t="s">
        <v>1050</v>
      </c>
      <c r="D671" s="2" t="s">
        <v>1722</v>
      </c>
      <c r="E671" s="2" t="s">
        <v>1723</v>
      </c>
      <c r="F671" s="2" t="s">
        <v>16</v>
      </c>
      <c r="G671" s="2" t="s">
        <v>26</v>
      </c>
      <c r="H671" s="2"/>
      <c r="I671" s="2"/>
      <c r="J671" s="2" t="s">
        <v>19</v>
      </c>
      <c r="K671" s="2"/>
      <c r="L671" s="2" t="s">
        <v>63</v>
      </c>
    </row>
    <row r="672" customFormat="false" ht="11.9" hidden="false" customHeight="true" outlineLevel="0" collapsed="false">
      <c r="A672" s="2" t="str">
        <f aca="false">HYPERLINK("https://www.fabsurplus.com/sdi_catalog/salesItemDetails.do?id=115206")</f>
        <v>https://www.fabsurplus.com/sdi_catalog/salesItemDetails.do?id=115206</v>
      </c>
      <c r="B672" s="2" t="s">
        <v>1724</v>
      </c>
      <c r="C672" s="2" t="s">
        <v>1050</v>
      </c>
      <c r="D672" s="2" t="s">
        <v>1725</v>
      </c>
      <c r="E672" s="2" t="s">
        <v>1726</v>
      </c>
      <c r="F672" s="2" t="s">
        <v>262</v>
      </c>
      <c r="G672" s="2" t="s">
        <v>26</v>
      </c>
      <c r="H672" s="2"/>
      <c r="I672" s="2"/>
      <c r="J672" s="2" t="s">
        <v>19</v>
      </c>
      <c r="K672" s="2"/>
      <c r="L672" s="2" t="s">
        <v>63</v>
      </c>
    </row>
    <row r="673" customFormat="false" ht="11.9" hidden="false" customHeight="true" outlineLevel="0" collapsed="false">
      <c r="A673" s="3" t="str">
        <f aca="false">HYPERLINK("https://www.fabsurplus.com/sdi_catalog/salesItemDetails.do?id=115046")</f>
        <v>https://www.fabsurplus.com/sdi_catalog/salesItemDetails.do?id=115046</v>
      </c>
      <c r="B673" s="3" t="s">
        <v>1727</v>
      </c>
      <c r="C673" s="3" t="s">
        <v>1050</v>
      </c>
      <c r="D673" s="3" t="s">
        <v>1728</v>
      </c>
      <c r="E673" s="3" t="s">
        <v>1729</v>
      </c>
      <c r="F673" s="3" t="s">
        <v>77</v>
      </c>
      <c r="G673" s="3" t="s">
        <v>26</v>
      </c>
      <c r="H673" s="3"/>
      <c r="I673" s="3"/>
      <c r="J673" s="3" t="s">
        <v>19</v>
      </c>
      <c r="K673" s="3"/>
      <c r="L673" s="3" t="s">
        <v>63</v>
      </c>
    </row>
    <row r="674" customFormat="false" ht="11.9" hidden="false" customHeight="true" outlineLevel="0" collapsed="false">
      <c r="A674" s="2" t="str">
        <f aca="false">HYPERLINK("https://www.fabsurplus.com/sdi_catalog/salesItemDetails.do?id=115047")</f>
        <v>https://www.fabsurplus.com/sdi_catalog/salesItemDetails.do?id=115047</v>
      </c>
      <c r="B674" s="2" t="s">
        <v>1730</v>
      </c>
      <c r="C674" s="2" t="s">
        <v>1050</v>
      </c>
      <c r="D674" s="2" t="s">
        <v>1731</v>
      </c>
      <c r="E674" s="2" t="s">
        <v>1732</v>
      </c>
      <c r="F674" s="2" t="s">
        <v>16</v>
      </c>
      <c r="G674" s="2" t="s">
        <v>26</v>
      </c>
      <c r="H674" s="2"/>
      <c r="I674" s="2"/>
      <c r="J674" s="2" t="s">
        <v>19</v>
      </c>
      <c r="K674" s="2"/>
      <c r="L674" s="2" t="s">
        <v>63</v>
      </c>
    </row>
    <row r="675" customFormat="false" ht="11.9" hidden="false" customHeight="true" outlineLevel="0" collapsed="false">
      <c r="A675" s="2" t="str">
        <f aca="false">HYPERLINK("https://www.fabsurplus.com/sdi_catalog/salesItemDetails.do?id=115207")</f>
        <v>https://www.fabsurplus.com/sdi_catalog/salesItemDetails.do?id=115207</v>
      </c>
      <c r="B675" s="2" t="s">
        <v>1733</v>
      </c>
      <c r="C675" s="2" t="s">
        <v>1050</v>
      </c>
      <c r="D675" s="2" t="s">
        <v>1734</v>
      </c>
      <c r="E675" s="2" t="s">
        <v>1275</v>
      </c>
      <c r="F675" s="2" t="s">
        <v>16</v>
      </c>
      <c r="G675" s="2" t="s">
        <v>26</v>
      </c>
      <c r="H675" s="2"/>
      <c r="I675" s="2"/>
      <c r="J675" s="2" t="s">
        <v>19</v>
      </c>
      <c r="K675" s="2"/>
      <c r="L675" s="2" t="s">
        <v>63</v>
      </c>
    </row>
    <row r="676" customFormat="false" ht="11.9" hidden="false" customHeight="true" outlineLevel="0" collapsed="false">
      <c r="A676" s="3" t="str">
        <f aca="false">HYPERLINK("https://www.fabsurplus.com/sdi_catalog/salesItemDetails.do?id=115142")</f>
        <v>https://www.fabsurplus.com/sdi_catalog/salesItemDetails.do?id=115142</v>
      </c>
      <c r="B676" s="3" t="s">
        <v>1735</v>
      </c>
      <c r="C676" s="3" t="s">
        <v>1050</v>
      </c>
      <c r="D676" s="3" t="s">
        <v>1736</v>
      </c>
      <c r="E676" s="3" t="s">
        <v>1737</v>
      </c>
      <c r="F676" s="3" t="s">
        <v>16</v>
      </c>
      <c r="G676" s="3" t="s">
        <v>26</v>
      </c>
      <c r="H676" s="3"/>
      <c r="I676" s="3"/>
      <c r="J676" s="3" t="s">
        <v>19</v>
      </c>
      <c r="K676" s="3"/>
      <c r="L676" s="3" t="s">
        <v>63</v>
      </c>
    </row>
    <row r="677" customFormat="false" ht="11.9" hidden="false" customHeight="true" outlineLevel="0" collapsed="false">
      <c r="A677" s="3" t="str">
        <f aca="false">HYPERLINK("https://www.fabsurplus.com/sdi_catalog/salesItemDetails.do?id=114915")</f>
        <v>https://www.fabsurplus.com/sdi_catalog/salesItemDetails.do?id=114915</v>
      </c>
      <c r="B677" s="3" t="s">
        <v>1738</v>
      </c>
      <c r="C677" s="3" t="s">
        <v>1050</v>
      </c>
      <c r="D677" s="3" t="s">
        <v>1739</v>
      </c>
      <c r="E677" s="3" t="s">
        <v>1740</v>
      </c>
      <c r="F677" s="3" t="s">
        <v>16</v>
      </c>
      <c r="G677" s="3" t="s">
        <v>26</v>
      </c>
      <c r="H677" s="3"/>
      <c r="I677" s="3"/>
      <c r="J677" s="3" t="s">
        <v>19</v>
      </c>
      <c r="K677" s="3"/>
      <c r="L677" s="3" t="s">
        <v>63</v>
      </c>
    </row>
    <row r="678" customFormat="false" ht="11.9" hidden="false" customHeight="true" outlineLevel="0" collapsed="false">
      <c r="A678" s="3" t="str">
        <f aca="false">HYPERLINK("https://www.fabsurplus.com/sdi_catalog/salesItemDetails.do?id=115048")</f>
        <v>https://www.fabsurplus.com/sdi_catalog/salesItemDetails.do?id=115048</v>
      </c>
      <c r="B678" s="3" t="s">
        <v>1741</v>
      </c>
      <c r="C678" s="3" t="s">
        <v>1050</v>
      </c>
      <c r="D678" s="3" t="s">
        <v>1742</v>
      </c>
      <c r="E678" s="3" t="s">
        <v>1743</v>
      </c>
      <c r="F678" s="3" t="s">
        <v>16</v>
      </c>
      <c r="G678" s="3" t="s">
        <v>26</v>
      </c>
      <c r="H678" s="3"/>
      <c r="I678" s="3"/>
      <c r="J678" s="3" t="s">
        <v>19</v>
      </c>
      <c r="K678" s="3"/>
      <c r="L678" s="3" t="s">
        <v>63</v>
      </c>
    </row>
    <row r="679" customFormat="false" ht="11.9" hidden="false" customHeight="true" outlineLevel="0" collapsed="false">
      <c r="A679" s="3" t="str">
        <f aca="false">HYPERLINK("https://www.fabsurplus.com/sdi_catalog/salesItemDetails.do?id=115208")</f>
        <v>https://www.fabsurplus.com/sdi_catalog/salesItemDetails.do?id=115208</v>
      </c>
      <c r="B679" s="3" t="s">
        <v>1744</v>
      </c>
      <c r="C679" s="3" t="s">
        <v>1050</v>
      </c>
      <c r="D679" s="3" t="s">
        <v>1742</v>
      </c>
      <c r="E679" s="3" t="s">
        <v>1745</v>
      </c>
      <c r="F679" s="3" t="s">
        <v>16</v>
      </c>
      <c r="G679" s="3" t="s">
        <v>26</v>
      </c>
      <c r="H679" s="3"/>
      <c r="I679" s="3"/>
      <c r="J679" s="3" t="s">
        <v>19</v>
      </c>
      <c r="K679" s="3"/>
      <c r="L679" s="3" t="s">
        <v>63</v>
      </c>
    </row>
    <row r="680" customFormat="false" ht="11.9" hidden="false" customHeight="true" outlineLevel="0" collapsed="false">
      <c r="A680" s="2" t="str">
        <f aca="false">HYPERLINK("https://www.fabsurplus.com/sdi_catalog/salesItemDetails.do?id=114764")</f>
        <v>https://www.fabsurplus.com/sdi_catalog/salesItemDetails.do?id=114764</v>
      </c>
      <c r="B680" s="2" t="s">
        <v>1746</v>
      </c>
      <c r="C680" s="2" t="s">
        <v>1050</v>
      </c>
      <c r="D680" s="2" t="s">
        <v>1747</v>
      </c>
      <c r="E680" s="2" t="s">
        <v>1748</v>
      </c>
      <c r="F680" s="2" t="s">
        <v>16</v>
      </c>
      <c r="G680" s="2" t="s">
        <v>26</v>
      </c>
      <c r="H680" s="2"/>
      <c r="I680" s="2"/>
      <c r="J680" s="2" t="s">
        <v>19</v>
      </c>
      <c r="K680" s="2"/>
      <c r="L680" s="2" t="s">
        <v>63</v>
      </c>
    </row>
    <row r="681" customFormat="false" ht="11.9" hidden="false" customHeight="true" outlineLevel="0" collapsed="false">
      <c r="A681" s="3" t="str">
        <f aca="false">HYPERLINK("https://www.fabsurplus.com/sdi_catalog/salesItemDetails.do?id=115049")</f>
        <v>https://www.fabsurplus.com/sdi_catalog/salesItemDetails.do?id=115049</v>
      </c>
      <c r="B681" s="3" t="s">
        <v>1749</v>
      </c>
      <c r="C681" s="3" t="s">
        <v>1050</v>
      </c>
      <c r="D681" s="3" t="s">
        <v>1750</v>
      </c>
      <c r="E681" s="3" t="s">
        <v>1751</v>
      </c>
      <c r="F681" s="3" t="s">
        <v>77</v>
      </c>
      <c r="G681" s="3" t="s">
        <v>26</v>
      </c>
      <c r="H681" s="3"/>
      <c r="I681" s="3"/>
      <c r="J681" s="3" t="s">
        <v>19</v>
      </c>
      <c r="K681" s="3"/>
      <c r="L681" s="3" t="s">
        <v>63</v>
      </c>
    </row>
    <row r="682" customFormat="false" ht="11.9" hidden="false" customHeight="true" outlineLevel="0" collapsed="false">
      <c r="A682" s="3" t="str">
        <f aca="false">HYPERLINK("https://www.fabsurplus.com/sdi_catalog/salesItemDetails.do?id=114982")</f>
        <v>https://www.fabsurplus.com/sdi_catalog/salesItemDetails.do?id=114982</v>
      </c>
      <c r="B682" s="3" t="s">
        <v>1752</v>
      </c>
      <c r="C682" s="3" t="s">
        <v>1050</v>
      </c>
      <c r="D682" s="3" t="s">
        <v>1753</v>
      </c>
      <c r="E682" s="3" t="s">
        <v>1754</v>
      </c>
      <c r="F682" s="3" t="s">
        <v>16</v>
      </c>
      <c r="G682" s="3" t="s">
        <v>26</v>
      </c>
      <c r="H682" s="3"/>
      <c r="I682" s="3"/>
      <c r="J682" s="3" t="s">
        <v>19</v>
      </c>
      <c r="K682" s="3"/>
      <c r="L682" s="3" t="s">
        <v>63</v>
      </c>
    </row>
    <row r="683" customFormat="false" ht="11.9" hidden="false" customHeight="true" outlineLevel="0" collapsed="false">
      <c r="A683" s="3" t="str">
        <f aca="false">HYPERLINK("https://www.fabsurplus.com/sdi_catalog/salesItemDetails.do?id=114983")</f>
        <v>https://www.fabsurplus.com/sdi_catalog/salesItemDetails.do?id=114983</v>
      </c>
      <c r="B683" s="3" t="s">
        <v>1755</v>
      </c>
      <c r="C683" s="3" t="s">
        <v>1050</v>
      </c>
      <c r="D683" s="3" t="s">
        <v>1753</v>
      </c>
      <c r="E683" s="3" t="s">
        <v>1756</v>
      </c>
      <c r="F683" s="3" t="s">
        <v>16</v>
      </c>
      <c r="G683" s="3" t="s">
        <v>26</v>
      </c>
      <c r="H683" s="3"/>
      <c r="I683" s="3"/>
      <c r="J683" s="3" t="s">
        <v>19</v>
      </c>
      <c r="K683" s="3"/>
      <c r="L683" s="3" t="s">
        <v>63</v>
      </c>
    </row>
    <row r="684" customFormat="false" ht="11.9" hidden="false" customHeight="true" outlineLevel="0" collapsed="false">
      <c r="A684" s="3" t="str">
        <f aca="false">HYPERLINK("https://www.fabsurplus.com/sdi_catalog/salesItemDetails.do?id=115209")</f>
        <v>https://www.fabsurplus.com/sdi_catalog/salesItemDetails.do?id=115209</v>
      </c>
      <c r="B684" s="3" t="s">
        <v>1757</v>
      </c>
      <c r="C684" s="3" t="s">
        <v>1050</v>
      </c>
      <c r="D684" s="3" t="s">
        <v>1758</v>
      </c>
      <c r="E684" s="3" t="s">
        <v>1759</v>
      </c>
      <c r="F684" s="3" t="s">
        <v>16</v>
      </c>
      <c r="G684" s="3" t="s">
        <v>26</v>
      </c>
      <c r="H684" s="3"/>
      <c r="I684" s="3"/>
      <c r="J684" s="3" t="s">
        <v>19</v>
      </c>
      <c r="K684" s="3"/>
      <c r="L684" s="3" t="s">
        <v>63</v>
      </c>
    </row>
    <row r="685" customFormat="false" ht="11.9" hidden="false" customHeight="true" outlineLevel="0" collapsed="false">
      <c r="A685" s="2" t="str">
        <f aca="false">HYPERLINK("https://www.fabsurplus.com/sdi_catalog/salesItemDetails.do?id=114886")</f>
        <v>https://www.fabsurplus.com/sdi_catalog/salesItemDetails.do?id=114886</v>
      </c>
      <c r="B685" s="2" t="s">
        <v>1760</v>
      </c>
      <c r="C685" s="2" t="s">
        <v>1050</v>
      </c>
      <c r="D685" s="2" t="s">
        <v>1761</v>
      </c>
      <c r="E685" s="2" t="s">
        <v>1762</v>
      </c>
      <c r="F685" s="2" t="s">
        <v>69</v>
      </c>
      <c r="G685" s="2" t="s">
        <v>26</v>
      </c>
      <c r="H685" s="2"/>
      <c r="I685" s="2"/>
      <c r="J685" s="2" t="s">
        <v>19</v>
      </c>
      <c r="K685" s="2"/>
      <c r="L685" s="2" t="s">
        <v>63</v>
      </c>
    </row>
    <row r="686" customFormat="false" ht="11.9" hidden="false" customHeight="true" outlineLevel="0" collapsed="false">
      <c r="A686" s="3" t="str">
        <f aca="false">HYPERLINK("https://www.fabsurplus.com/sdi_catalog/salesItemDetails.do?id=114941")</f>
        <v>https://www.fabsurplus.com/sdi_catalog/salesItemDetails.do?id=114941</v>
      </c>
      <c r="B686" s="3" t="s">
        <v>1763</v>
      </c>
      <c r="C686" s="3" t="s">
        <v>1050</v>
      </c>
      <c r="D686" s="3" t="s">
        <v>1764</v>
      </c>
      <c r="E686" s="3" t="s">
        <v>1765</v>
      </c>
      <c r="F686" s="3" t="s">
        <v>16</v>
      </c>
      <c r="G686" s="3" t="s">
        <v>26</v>
      </c>
      <c r="H686" s="3"/>
      <c r="I686" s="3"/>
      <c r="J686" s="3" t="s">
        <v>19</v>
      </c>
      <c r="K686" s="3"/>
      <c r="L686" s="3" t="s">
        <v>63</v>
      </c>
    </row>
    <row r="687" customFormat="false" ht="11.9" hidden="false" customHeight="true" outlineLevel="0" collapsed="false">
      <c r="A687" s="2" t="str">
        <f aca="false">HYPERLINK("https://www.fabsurplus.com/sdi_catalog/salesItemDetails.do?id=114942")</f>
        <v>https://www.fabsurplus.com/sdi_catalog/salesItemDetails.do?id=114942</v>
      </c>
      <c r="B687" s="2" t="s">
        <v>1766</v>
      </c>
      <c r="C687" s="2" t="s">
        <v>1050</v>
      </c>
      <c r="D687" s="2" t="s">
        <v>1764</v>
      </c>
      <c r="E687" s="2" t="s">
        <v>1767</v>
      </c>
      <c r="F687" s="2" t="s">
        <v>77</v>
      </c>
      <c r="G687" s="2" t="s">
        <v>26</v>
      </c>
      <c r="H687" s="2"/>
      <c r="I687" s="2"/>
      <c r="J687" s="2" t="s">
        <v>19</v>
      </c>
      <c r="K687" s="2"/>
      <c r="L687" s="2" t="s">
        <v>63</v>
      </c>
    </row>
    <row r="688" customFormat="false" ht="11.9" hidden="false" customHeight="true" outlineLevel="0" collapsed="false">
      <c r="A688" s="2" t="str">
        <f aca="false">HYPERLINK("https://www.fabsurplus.com/sdi_catalog/salesItemDetails.do?id=115050")</f>
        <v>https://www.fabsurplus.com/sdi_catalog/salesItemDetails.do?id=115050</v>
      </c>
      <c r="B688" s="2" t="s">
        <v>1768</v>
      </c>
      <c r="C688" s="2" t="s">
        <v>1050</v>
      </c>
      <c r="D688" s="2" t="s">
        <v>1764</v>
      </c>
      <c r="E688" s="2" t="s">
        <v>1769</v>
      </c>
      <c r="F688" s="2" t="s">
        <v>16</v>
      </c>
      <c r="G688" s="2" t="s">
        <v>26</v>
      </c>
      <c r="H688" s="2"/>
      <c r="I688" s="2"/>
      <c r="J688" s="2" t="s">
        <v>19</v>
      </c>
      <c r="K688" s="2"/>
      <c r="L688" s="2" t="s">
        <v>63</v>
      </c>
    </row>
    <row r="689" customFormat="false" ht="11.9" hidden="false" customHeight="true" outlineLevel="0" collapsed="false">
      <c r="A689" s="3" t="str">
        <f aca="false">HYPERLINK("https://www.fabsurplus.com/sdi_catalog/salesItemDetails.do?id=115100")</f>
        <v>https://www.fabsurplus.com/sdi_catalog/salesItemDetails.do?id=115100</v>
      </c>
      <c r="B689" s="3" t="s">
        <v>1770</v>
      </c>
      <c r="C689" s="3" t="s">
        <v>1050</v>
      </c>
      <c r="D689" s="3" t="s">
        <v>1771</v>
      </c>
      <c r="E689" s="3" t="s">
        <v>1772</v>
      </c>
      <c r="F689" s="3" t="s">
        <v>16</v>
      </c>
      <c r="G689" s="3" t="s">
        <v>26</v>
      </c>
      <c r="H689" s="3"/>
      <c r="I689" s="3"/>
      <c r="J689" s="3" t="s">
        <v>19</v>
      </c>
      <c r="K689" s="3"/>
      <c r="L689" s="3" t="s">
        <v>63</v>
      </c>
    </row>
    <row r="690" customFormat="false" ht="11.9" hidden="false" customHeight="true" outlineLevel="0" collapsed="false">
      <c r="A690" s="2" t="str">
        <f aca="false">HYPERLINK("https://www.fabsurplus.com/sdi_catalog/salesItemDetails.do?id=115143")</f>
        <v>https://www.fabsurplus.com/sdi_catalog/salesItemDetails.do?id=115143</v>
      </c>
      <c r="B690" s="2" t="s">
        <v>1773</v>
      </c>
      <c r="C690" s="2" t="s">
        <v>1050</v>
      </c>
      <c r="D690" s="2" t="s">
        <v>1774</v>
      </c>
      <c r="E690" s="2" t="s">
        <v>1775</v>
      </c>
      <c r="F690" s="2" t="s">
        <v>69</v>
      </c>
      <c r="G690" s="2" t="s">
        <v>26</v>
      </c>
      <c r="H690" s="2"/>
      <c r="I690" s="2"/>
      <c r="J690" s="2" t="s">
        <v>19</v>
      </c>
      <c r="K690" s="2"/>
      <c r="L690" s="2" t="s">
        <v>63</v>
      </c>
    </row>
    <row r="691" customFormat="false" ht="11.9" hidden="false" customHeight="true" outlineLevel="0" collapsed="false">
      <c r="A691" s="2" t="str">
        <f aca="false">HYPERLINK("https://www.fabsurplus.com/sdi_catalog/salesItemDetails.do?id=115101")</f>
        <v>https://www.fabsurplus.com/sdi_catalog/salesItemDetails.do?id=115101</v>
      </c>
      <c r="B691" s="2" t="s">
        <v>1776</v>
      </c>
      <c r="C691" s="2" t="s">
        <v>1050</v>
      </c>
      <c r="D691" s="2" t="s">
        <v>1777</v>
      </c>
      <c r="E691" s="2" t="s">
        <v>1778</v>
      </c>
      <c r="F691" s="2" t="s">
        <v>16</v>
      </c>
      <c r="G691" s="2" t="s">
        <v>26</v>
      </c>
      <c r="H691" s="2"/>
      <c r="I691" s="2"/>
      <c r="J691" s="2" t="s">
        <v>19</v>
      </c>
      <c r="K691" s="2"/>
      <c r="L691" s="2" t="s">
        <v>63</v>
      </c>
    </row>
    <row r="692" customFormat="false" ht="11.9" hidden="false" customHeight="true" outlineLevel="0" collapsed="false">
      <c r="A692" s="3" t="str">
        <f aca="false">HYPERLINK("https://www.fabsurplus.com/sdi_catalog/salesItemDetails.do?id=115210")</f>
        <v>https://www.fabsurplus.com/sdi_catalog/salesItemDetails.do?id=115210</v>
      </c>
      <c r="B692" s="3" t="s">
        <v>1779</v>
      </c>
      <c r="C692" s="3" t="s">
        <v>1050</v>
      </c>
      <c r="D692" s="3" t="s">
        <v>1780</v>
      </c>
      <c r="E692" s="3" t="s">
        <v>1781</v>
      </c>
      <c r="F692" s="3" t="s">
        <v>77</v>
      </c>
      <c r="G692" s="3" t="s">
        <v>26</v>
      </c>
      <c r="H692" s="3"/>
      <c r="I692" s="3"/>
      <c r="J692" s="3" t="s">
        <v>19</v>
      </c>
      <c r="K692" s="3"/>
      <c r="L692" s="3" t="s">
        <v>63</v>
      </c>
    </row>
    <row r="693" customFormat="false" ht="11.9" hidden="false" customHeight="true" outlineLevel="0" collapsed="false">
      <c r="A693" s="3" t="str">
        <f aca="false">HYPERLINK("https://www.fabsurplus.com/sdi_catalog/salesItemDetails.do?id=114887")</f>
        <v>https://www.fabsurplus.com/sdi_catalog/salesItemDetails.do?id=114887</v>
      </c>
      <c r="B693" s="3" t="s">
        <v>1782</v>
      </c>
      <c r="C693" s="3" t="s">
        <v>1050</v>
      </c>
      <c r="D693" s="3" t="s">
        <v>1783</v>
      </c>
      <c r="E693" s="3" t="s">
        <v>1784</v>
      </c>
      <c r="F693" s="3" t="s">
        <v>69</v>
      </c>
      <c r="G693" s="3" t="s">
        <v>26</v>
      </c>
      <c r="H693" s="3"/>
      <c r="I693" s="3"/>
      <c r="J693" s="3" t="s">
        <v>19</v>
      </c>
      <c r="K693" s="3"/>
      <c r="L693" s="3" t="s">
        <v>63</v>
      </c>
    </row>
    <row r="694" customFormat="false" ht="11.9" hidden="false" customHeight="true" outlineLevel="0" collapsed="false">
      <c r="A694" s="3" t="str">
        <f aca="false">HYPERLINK("https://www.fabsurplus.com/sdi_catalog/salesItemDetails.do?id=115007")</f>
        <v>https://www.fabsurplus.com/sdi_catalog/salesItemDetails.do?id=115007</v>
      </c>
      <c r="B694" s="3" t="s">
        <v>1785</v>
      </c>
      <c r="C694" s="3" t="s">
        <v>1050</v>
      </c>
      <c r="D694" s="3" t="s">
        <v>1786</v>
      </c>
      <c r="E694" s="3" t="s">
        <v>1787</v>
      </c>
      <c r="F694" s="3" t="s">
        <v>77</v>
      </c>
      <c r="G694" s="3" t="s">
        <v>26</v>
      </c>
      <c r="H694" s="3"/>
      <c r="I694" s="3"/>
      <c r="J694" s="3" t="s">
        <v>19</v>
      </c>
      <c r="K694" s="3"/>
      <c r="L694" s="3" t="s">
        <v>63</v>
      </c>
    </row>
    <row r="695" customFormat="false" ht="11.9" hidden="false" customHeight="true" outlineLevel="0" collapsed="false">
      <c r="A695" s="2" t="str">
        <f aca="false">HYPERLINK("https://www.fabsurplus.com/sdi_catalog/salesItemDetails.do?id=114921")</f>
        <v>https://www.fabsurplus.com/sdi_catalog/salesItemDetails.do?id=114921</v>
      </c>
      <c r="B695" s="2" t="s">
        <v>1788</v>
      </c>
      <c r="C695" s="2" t="s">
        <v>1050</v>
      </c>
      <c r="D695" s="2" t="s">
        <v>1789</v>
      </c>
      <c r="E695" s="2" t="s">
        <v>1790</v>
      </c>
      <c r="F695" s="2" t="s">
        <v>16</v>
      </c>
      <c r="G695" s="2" t="s">
        <v>26</v>
      </c>
      <c r="H695" s="2"/>
      <c r="I695" s="2"/>
      <c r="J695" s="2" t="s">
        <v>19</v>
      </c>
      <c r="K695" s="2"/>
      <c r="L695" s="2" t="s">
        <v>63</v>
      </c>
    </row>
    <row r="696" customFormat="false" ht="11.9" hidden="false" customHeight="true" outlineLevel="0" collapsed="false">
      <c r="A696" s="3" t="str">
        <f aca="false">HYPERLINK("https://www.fabsurplus.com/sdi_catalog/salesItemDetails.do?id=115051")</f>
        <v>https://www.fabsurplus.com/sdi_catalog/salesItemDetails.do?id=115051</v>
      </c>
      <c r="B696" s="3" t="s">
        <v>1791</v>
      </c>
      <c r="C696" s="3" t="s">
        <v>1050</v>
      </c>
      <c r="D696" s="3" t="s">
        <v>1789</v>
      </c>
      <c r="E696" s="3" t="s">
        <v>1792</v>
      </c>
      <c r="F696" s="3" t="s">
        <v>77</v>
      </c>
      <c r="G696" s="3" t="s">
        <v>26</v>
      </c>
      <c r="H696" s="3"/>
      <c r="I696" s="3"/>
      <c r="J696" s="3" t="s">
        <v>19</v>
      </c>
      <c r="K696" s="3"/>
      <c r="L696" s="3" t="s">
        <v>63</v>
      </c>
    </row>
    <row r="697" customFormat="false" ht="11.9" hidden="false" customHeight="true" outlineLevel="0" collapsed="false">
      <c r="A697" s="3" t="str">
        <f aca="false">HYPERLINK("https://www.fabsurplus.com/sdi_catalog/salesItemDetails.do?id=115211")</f>
        <v>https://www.fabsurplus.com/sdi_catalog/salesItemDetails.do?id=115211</v>
      </c>
      <c r="B697" s="3" t="s">
        <v>1793</v>
      </c>
      <c r="C697" s="3" t="s">
        <v>1050</v>
      </c>
      <c r="D697" s="3" t="s">
        <v>1794</v>
      </c>
      <c r="E697" s="3" t="s">
        <v>1795</v>
      </c>
      <c r="F697" s="3" t="s">
        <v>16</v>
      </c>
      <c r="G697" s="3" t="s">
        <v>26</v>
      </c>
      <c r="H697" s="3"/>
      <c r="I697" s="3"/>
      <c r="J697" s="3" t="s">
        <v>19</v>
      </c>
      <c r="K697" s="3"/>
      <c r="L697" s="3" t="s">
        <v>63</v>
      </c>
    </row>
    <row r="698" customFormat="false" ht="11.9" hidden="false" customHeight="true" outlineLevel="0" collapsed="false">
      <c r="A698" s="2" t="str">
        <f aca="false">HYPERLINK("https://www.fabsurplus.com/sdi_catalog/salesItemDetails.do?id=115212")</f>
        <v>https://www.fabsurplus.com/sdi_catalog/salesItemDetails.do?id=115212</v>
      </c>
      <c r="B698" s="2" t="s">
        <v>1796</v>
      </c>
      <c r="C698" s="2" t="s">
        <v>1050</v>
      </c>
      <c r="D698" s="2" t="s">
        <v>1797</v>
      </c>
      <c r="E698" s="2" t="s">
        <v>1798</v>
      </c>
      <c r="F698" s="2" t="s">
        <v>16</v>
      </c>
      <c r="G698" s="2" t="s">
        <v>26</v>
      </c>
      <c r="H698" s="2"/>
      <c r="I698" s="2"/>
      <c r="J698" s="2" t="s">
        <v>19</v>
      </c>
      <c r="K698" s="2"/>
      <c r="L698" s="2" t="s">
        <v>63</v>
      </c>
    </row>
    <row r="699" customFormat="false" ht="11.9" hidden="false" customHeight="true" outlineLevel="0" collapsed="false">
      <c r="A699" s="3" t="str">
        <f aca="false">HYPERLINK("https://www.fabsurplus.com/sdi_catalog/salesItemDetails.do?id=115118")</f>
        <v>https://www.fabsurplus.com/sdi_catalog/salesItemDetails.do?id=115118</v>
      </c>
      <c r="B699" s="3" t="s">
        <v>1799</v>
      </c>
      <c r="C699" s="3" t="s">
        <v>1050</v>
      </c>
      <c r="D699" s="3" t="s">
        <v>1800</v>
      </c>
      <c r="E699" s="3" t="s">
        <v>1801</v>
      </c>
      <c r="F699" s="3" t="s">
        <v>16</v>
      </c>
      <c r="G699" s="3" t="s">
        <v>26</v>
      </c>
      <c r="H699" s="3"/>
      <c r="I699" s="3"/>
      <c r="J699" s="3" t="s">
        <v>19</v>
      </c>
      <c r="K699" s="3"/>
      <c r="L699" s="3" t="s">
        <v>63</v>
      </c>
    </row>
    <row r="700" customFormat="false" ht="11.9" hidden="false" customHeight="true" outlineLevel="0" collapsed="false">
      <c r="A700" s="2" t="str">
        <f aca="false">HYPERLINK("https://www.fabsurplus.com/sdi_catalog/salesItemDetails.do?id=114795")</f>
        <v>https://www.fabsurplus.com/sdi_catalog/salesItemDetails.do?id=114795</v>
      </c>
      <c r="B700" s="2" t="s">
        <v>1802</v>
      </c>
      <c r="C700" s="2" t="s">
        <v>1050</v>
      </c>
      <c r="D700" s="2" t="s">
        <v>1803</v>
      </c>
      <c r="E700" s="2" t="s">
        <v>1804</v>
      </c>
      <c r="F700" s="2" t="s">
        <v>16</v>
      </c>
      <c r="G700" s="2" t="s">
        <v>26</v>
      </c>
      <c r="H700" s="2"/>
      <c r="I700" s="2"/>
      <c r="J700" s="2" t="s">
        <v>19</v>
      </c>
      <c r="K700" s="2"/>
      <c r="L700" s="2" t="s">
        <v>63</v>
      </c>
    </row>
    <row r="701" customFormat="false" ht="11.9" hidden="false" customHeight="true" outlineLevel="0" collapsed="false">
      <c r="A701" s="3" t="str">
        <f aca="false">HYPERLINK("https://www.fabsurplus.com/sdi_catalog/salesItemDetails.do?id=115213")</f>
        <v>https://www.fabsurplus.com/sdi_catalog/salesItemDetails.do?id=115213</v>
      </c>
      <c r="B701" s="3" t="s">
        <v>1805</v>
      </c>
      <c r="C701" s="3" t="s">
        <v>1050</v>
      </c>
      <c r="D701" s="3" t="s">
        <v>1806</v>
      </c>
      <c r="E701" s="3" t="s">
        <v>1807</v>
      </c>
      <c r="F701" s="3" t="s">
        <v>16</v>
      </c>
      <c r="G701" s="3" t="s">
        <v>26</v>
      </c>
      <c r="H701" s="3"/>
      <c r="I701" s="3"/>
      <c r="J701" s="3" t="s">
        <v>19</v>
      </c>
      <c r="K701" s="3"/>
      <c r="L701" s="3" t="s">
        <v>63</v>
      </c>
    </row>
    <row r="702" customFormat="false" ht="11.9" hidden="false" customHeight="true" outlineLevel="0" collapsed="false">
      <c r="A702" s="2" t="str">
        <f aca="false">HYPERLINK("https://www.fabsurplus.com/sdi_catalog/salesItemDetails.do?id=114854")</f>
        <v>https://www.fabsurplus.com/sdi_catalog/salesItemDetails.do?id=114854</v>
      </c>
      <c r="B702" s="2" t="s">
        <v>1808</v>
      </c>
      <c r="C702" s="2" t="s">
        <v>1050</v>
      </c>
      <c r="D702" s="2" t="s">
        <v>1809</v>
      </c>
      <c r="E702" s="2" t="s">
        <v>1810</v>
      </c>
      <c r="F702" s="2" t="s">
        <v>77</v>
      </c>
      <c r="G702" s="2" t="s">
        <v>26</v>
      </c>
      <c r="H702" s="2"/>
      <c r="I702" s="2"/>
      <c r="J702" s="2" t="s">
        <v>19</v>
      </c>
      <c r="K702" s="2"/>
      <c r="L702" s="2" t="s">
        <v>63</v>
      </c>
    </row>
    <row r="703" customFormat="false" ht="11.9" hidden="false" customHeight="true" outlineLevel="0" collapsed="false">
      <c r="A703" s="3" t="str">
        <f aca="false">HYPERLINK("https://www.fabsurplus.com/sdi_catalog/salesItemDetails.do?id=114855")</f>
        <v>https://www.fabsurplus.com/sdi_catalog/salesItemDetails.do?id=114855</v>
      </c>
      <c r="B703" s="3" t="s">
        <v>1811</v>
      </c>
      <c r="C703" s="3" t="s">
        <v>1050</v>
      </c>
      <c r="D703" s="3" t="s">
        <v>1809</v>
      </c>
      <c r="E703" s="3" t="s">
        <v>1812</v>
      </c>
      <c r="F703" s="3" t="s">
        <v>69</v>
      </c>
      <c r="G703" s="3" t="s">
        <v>26</v>
      </c>
      <c r="H703" s="3"/>
      <c r="I703" s="3"/>
      <c r="J703" s="3" t="s">
        <v>19</v>
      </c>
      <c r="K703" s="3"/>
      <c r="L703" s="3" t="s">
        <v>63</v>
      </c>
    </row>
    <row r="704" customFormat="false" ht="11.9" hidden="false" customHeight="true" outlineLevel="0" collapsed="false">
      <c r="A704" s="2" t="str">
        <f aca="false">HYPERLINK("https://www.fabsurplus.com/sdi_catalog/salesItemDetails.do?id=114999")</f>
        <v>https://www.fabsurplus.com/sdi_catalog/salesItemDetails.do?id=114999</v>
      </c>
      <c r="B704" s="2" t="s">
        <v>1813</v>
      </c>
      <c r="C704" s="2" t="s">
        <v>1050</v>
      </c>
      <c r="D704" s="2" t="s">
        <v>1809</v>
      </c>
      <c r="E704" s="2" t="s">
        <v>1814</v>
      </c>
      <c r="F704" s="2" t="s">
        <v>77</v>
      </c>
      <c r="G704" s="2" t="s">
        <v>26</v>
      </c>
      <c r="H704" s="2"/>
      <c r="I704" s="2"/>
      <c r="J704" s="2" t="s">
        <v>19</v>
      </c>
      <c r="K704" s="2"/>
      <c r="L704" s="2" t="s">
        <v>63</v>
      </c>
    </row>
    <row r="705" customFormat="false" ht="11.9" hidden="false" customHeight="true" outlineLevel="0" collapsed="false">
      <c r="A705" s="3" t="str">
        <f aca="false">HYPERLINK("https://www.fabsurplus.com/sdi_catalog/salesItemDetails.do?id=114798")</f>
        <v>https://www.fabsurplus.com/sdi_catalog/salesItemDetails.do?id=114798</v>
      </c>
      <c r="B705" s="3" t="s">
        <v>1815</v>
      </c>
      <c r="C705" s="3" t="s">
        <v>1050</v>
      </c>
      <c r="D705" s="3" t="s">
        <v>1816</v>
      </c>
      <c r="E705" s="3" t="s">
        <v>1817</v>
      </c>
      <c r="F705" s="3" t="s">
        <v>77</v>
      </c>
      <c r="G705" s="3" t="s">
        <v>26</v>
      </c>
      <c r="H705" s="3"/>
      <c r="I705" s="3"/>
      <c r="J705" s="3" t="s">
        <v>19</v>
      </c>
      <c r="K705" s="3"/>
      <c r="L705" s="3" t="s">
        <v>63</v>
      </c>
    </row>
    <row r="706" customFormat="false" ht="11.9" hidden="false" customHeight="true" outlineLevel="0" collapsed="false">
      <c r="A706" s="2" t="str">
        <f aca="false">HYPERLINK("https://www.fabsurplus.com/sdi_catalog/salesItemDetails.do?id=114943")</f>
        <v>https://www.fabsurplus.com/sdi_catalog/salesItemDetails.do?id=114943</v>
      </c>
      <c r="B706" s="2" t="s">
        <v>1818</v>
      </c>
      <c r="C706" s="2" t="s">
        <v>1050</v>
      </c>
      <c r="D706" s="2" t="s">
        <v>1816</v>
      </c>
      <c r="E706" s="2" t="s">
        <v>1819</v>
      </c>
      <c r="F706" s="2" t="s">
        <v>16</v>
      </c>
      <c r="G706" s="2" t="s">
        <v>26</v>
      </c>
      <c r="H706" s="2"/>
      <c r="I706" s="2"/>
      <c r="J706" s="2" t="s">
        <v>19</v>
      </c>
      <c r="K706" s="2"/>
      <c r="L706" s="2" t="s">
        <v>63</v>
      </c>
    </row>
    <row r="707" customFormat="false" ht="11.9" hidden="false" customHeight="true" outlineLevel="0" collapsed="false">
      <c r="A707" s="3" t="str">
        <f aca="false">HYPERLINK("https://www.fabsurplus.com/sdi_catalog/salesItemDetails.do?id=114869")</f>
        <v>https://www.fabsurplus.com/sdi_catalog/salesItemDetails.do?id=114869</v>
      </c>
      <c r="B707" s="3" t="s">
        <v>1820</v>
      </c>
      <c r="C707" s="3" t="s">
        <v>1050</v>
      </c>
      <c r="D707" s="3" t="s">
        <v>1821</v>
      </c>
      <c r="E707" s="3" t="s">
        <v>1822</v>
      </c>
      <c r="F707" s="3" t="s">
        <v>16</v>
      </c>
      <c r="G707" s="3" t="s">
        <v>26</v>
      </c>
      <c r="H707" s="3"/>
      <c r="I707" s="3"/>
      <c r="J707" s="3" t="s">
        <v>19</v>
      </c>
      <c r="K707" s="3"/>
      <c r="L707" s="3" t="s">
        <v>63</v>
      </c>
    </row>
    <row r="708" customFormat="false" ht="11.9" hidden="false" customHeight="true" outlineLevel="0" collapsed="false">
      <c r="A708" s="3" t="str">
        <f aca="false">HYPERLINK("https://www.fabsurplus.com/sdi_catalog/salesItemDetails.do?id=115008")</f>
        <v>https://www.fabsurplus.com/sdi_catalog/salesItemDetails.do?id=115008</v>
      </c>
      <c r="B708" s="3" t="s">
        <v>1823</v>
      </c>
      <c r="C708" s="3" t="s">
        <v>1050</v>
      </c>
      <c r="D708" s="3" t="s">
        <v>1821</v>
      </c>
      <c r="E708" s="3" t="s">
        <v>1824</v>
      </c>
      <c r="F708" s="3" t="s">
        <v>77</v>
      </c>
      <c r="G708" s="3" t="s">
        <v>26</v>
      </c>
      <c r="H708" s="3"/>
      <c r="I708" s="3"/>
      <c r="J708" s="3" t="s">
        <v>19</v>
      </c>
      <c r="K708" s="3"/>
      <c r="L708" s="3" t="s">
        <v>63</v>
      </c>
    </row>
    <row r="709" customFormat="false" ht="11.9" hidden="false" customHeight="true" outlineLevel="0" collapsed="false">
      <c r="A709" s="3" t="str">
        <f aca="false">HYPERLINK("https://www.fabsurplus.com/sdi_catalog/salesItemDetails.do?id=115119")</f>
        <v>https://www.fabsurplus.com/sdi_catalog/salesItemDetails.do?id=115119</v>
      </c>
      <c r="B709" s="3" t="s">
        <v>1825</v>
      </c>
      <c r="C709" s="3" t="s">
        <v>1050</v>
      </c>
      <c r="D709" s="3" t="s">
        <v>1826</v>
      </c>
      <c r="E709" s="3" t="s">
        <v>1827</v>
      </c>
      <c r="F709" s="3" t="s">
        <v>16</v>
      </c>
      <c r="G709" s="3" t="s">
        <v>26</v>
      </c>
      <c r="H709" s="3"/>
      <c r="I709" s="3"/>
      <c r="J709" s="3" t="s">
        <v>19</v>
      </c>
      <c r="K709" s="3"/>
      <c r="L709" s="3" t="s">
        <v>63</v>
      </c>
    </row>
    <row r="710" customFormat="false" ht="11.9" hidden="false" customHeight="true" outlineLevel="0" collapsed="false">
      <c r="A710" s="2" t="str">
        <f aca="false">HYPERLINK("https://www.fabsurplus.com/sdi_catalog/salesItemDetails.do?id=115120")</f>
        <v>https://www.fabsurplus.com/sdi_catalog/salesItemDetails.do?id=115120</v>
      </c>
      <c r="B710" s="2" t="s">
        <v>1828</v>
      </c>
      <c r="C710" s="2" t="s">
        <v>1050</v>
      </c>
      <c r="D710" s="2" t="s">
        <v>1829</v>
      </c>
      <c r="E710" s="2" t="s">
        <v>1830</v>
      </c>
      <c r="F710" s="2" t="s">
        <v>77</v>
      </c>
      <c r="G710" s="2" t="s">
        <v>26</v>
      </c>
      <c r="H710" s="2"/>
      <c r="I710" s="2"/>
      <c r="J710" s="2" t="s">
        <v>19</v>
      </c>
      <c r="K710" s="2"/>
      <c r="L710" s="2" t="s">
        <v>63</v>
      </c>
    </row>
    <row r="711" customFormat="false" ht="11.9" hidden="false" customHeight="true" outlineLevel="0" collapsed="false">
      <c r="A711" s="2" t="str">
        <f aca="false">HYPERLINK("https://www.fabsurplus.com/sdi_catalog/salesItemDetails.do?id=114870")</f>
        <v>https://www.fabsurplus.com/sdi_catalog/salesItemDetails.do?id=114870</v>
      </c>
      <c r="B711" s="2" t="s">
        <v>1831</v>
      </c>
      <c r="C711" s="2" t="s">
        <v>1050</v>
      </c>
      <c r="D711" s="2" t="s">
        <v>1829</v>
      </c>
      <c r="E711" s="2" t="s">
        <v>1832</v>
      </c>
      <c r="F711" s="2" t="s">
        <v>77</v>
      </c>
      <c r="G711" s="2" t="s">
        <v>26</v>
      </c>
      <c r="H711" s="2"/>
      <c r="I711" s="2"/>
      <c r="J711" s="2" t="s">
        <v>19</v>
      </c>
      <c r="K711" s="2"/>
      <c r="L711" s="2" t="s">
        <v>63</v>
      </c>
    </row>
    <row r="712" customFormat="false" ht="11.9" hidden="false" customHeight="true" outlineLevel="0" collapsed="false">
      <c r="A712" s="2" t="str">
        <f aca="false">HYPERLINK("https://www.fabsurplus.com/sdi_catalog/salesItemDetails.do?id=115009")</f>
        <v>https://www.fabsurplus.com/sdi_catalog/salesItemDetails.do?id=115009</v>
      </c>
      <c r="B712" s="2" t="s">
        <v>1833</v>
      </c>
      <c r="C712" s="2" t="s">
        <v>1050</v>
      </c>
      <c r="D712" s="2" t="s">
        <v>1829</v>
      </c>
      <c r="E712" s="2" t="s">
        <v>1834</v>
      </c>
      <c r="F712" s="2" t="s">
        <v>16</v>
      </c>
      <c r="G712" s="2" t="s">
        <v>26</v>
      </c>
      <c r="H712" s="2"/>
      <c r="I712" s="2"/>
      <c r="J712" s="2" t="s">
        <v>19</v>
      </c>
      <c r="K712" s="2"/>
      <c r="L712" s="2" t="s">
        <v>63</v>
      </c>
    </row>
    <row r="713" customFormat="false" ht="11.9" hidden="false" customHeight="true" outlineLevel="0" collapsed="false">
      <c r="A713" s="2" t="str">
        <f aca="false">HYPERLINK("https://www.fabsurplus.com/sdi_catalog/salesItemDetails.do?id=114984")</f>
        <v>https://www.fabsurplus.com/sdi_catalog/salesItemDetails.do?id=114984</v>
      </c>
      <c r="B713" s="2" t="s">
        <v>1835</v>
      </c>
      <c r="C713" s="2" t="s">
        <v>1050</v>
      </c>
      <c r="D713" s="2" t="s">
        <v>1836</v>
      </c>
      <c r="E713" s="2" t="s">
        <v>1837</v>
      </c>
      <c r="F713" s="2" t="s">
        <v>16</v>
      </c>
      <c r="G713" s="2" t="s">
        <v>26</v>
      </c>
      <c r="H713" s="2"/>
      <c r="I713" s="2"/>
      <c r="J713" s="2" t="s">
        <v>19</v>
      </c>
      <c r="K713" s="2"/>
      <c r="L713" s="2" t="s">
        <v>63</v>
      </c>
    </row>
    <row r="714" customFormat="false" ht="11.9" hidden="false" customHeight="true" outlineLevel="0" collapsed="false">
      <c r="A714" s="3" t="str">
        <f aca="false">HYPERLINK("https://www.fabsurplus.com/sdi_catalog/salesItemDetails.do?id=115144")</f>
        <v>https://www.fabsurplus.com/sdi_catalog/salesItemDetails.do?id=115144</v>
      </c>
      <c r="B714" s="3" t="s">
        <v>1838</v>
      </c>
      <c r="C714" s="3" t="s">
        <v>1050</v>
      </c>
      <c r="D714" s="3" t="s">
        <v>1839</v>
      </c>
      <c r="E714" s="3" t="s">
        <v>1840</v>
      </c>
      <c r="F714" s="3" t="s">
        <v>101</v>
      </c>
      <c r="G714" s="3" t="s">
        <v>26</v>
      </c>
      <c r="H714" s="3"/>
      <c r="I714" s="3"/>
      <c r="J714" s="3" t="s">
        <v>19</v>
      </c>
      <c r="K714" s="3"/>
      <c r="L714" s="3" t="s">
        <v>63</v>
      </c>
    </row>
    <row r="715" customFormat="false" ht="11.9" hidden="false" customHeight="true" outlineLevel="0" collapsed="false">
      <c r="A715" s="2" t="str">
        <f aca="false">HYPERLINK("https://www.fabsurplus.com/sdi_catalog/salesItemDetails.do?id=115052")</f>
        <v>https://www.fabsurplus.com/sdi_catalog/salesItemDetails.do?id=115052</v>
      </c>
      <c r="B715" s="2" t="s">
        <v>1841</v>
      </c>
      <c r="C715" s="2" t="s">
        <v>1050</v>
      </c>
      <c r="D715" s="2" t="s">
        <v>1842</v>
      </c>
      <c r="E715" s="2" t="s">
        <v>1843</v>
      </c>
      <c r="F715" s="2" t="s">
        <v>16</v>
      </c>
      <c r="G715" s="2" t="s">
        <v>26</v>
      </c>
      <c r="H715" s="2"/>
      <c r="I715" s="2"/>
      <c r="J715" s="2" t="s">
        <v>19</v>
      </c>
      <c r="K715" s="2"/>
      <c r="L715" s="2" t="s">
        <v>63</v>
      </c>
    </row>
    <row r="716" customFormat="false" ht="11.9" hidden="false" customHeight="true" outlineLevel="0" collapsed="false">
      <c r="A716" s="2" t="str">
        <f aca="false">HYPERLINK("https://www.fabsurplus.com/sdi_catalog/salesItemDetails.do?id=115145")</f>
        <v>https://www.fabsurplus.com/sdi_catalog/salesItemDetails.do?id=115145</v>
      </c>
      <c r="B716" s="2" t="s">
        <v>1844</v>
      </c>
      <c r="C716" s="2" t="s">
        <v>1050</v>
      </c>
      <c r="D716" s="2" t="s">
        <v>1845</v>
      </c>
      <c r="E716" s="2" t="s">
        <v>1846</v>
      </c>
      <c r="F716" s="2" t="s">
        <v>16</v>
      </c>
      <c r="G716" s="2" t="s">
        <v>26</v>
      </c>
      <c r="H716" s="2"/>
      <c r="I716" s="2"/>
      <c r="J716" s="2" t="s">
        <v>19</v>
      </c>
      <c r="K716" s="2"/>
      <c r="L716" s="2" t="s">
        <v>63</v>
      </c>
    </row>
    <row r="717" customFormat="false" ht="11.9" hidden="false" customHeight="true" outlineLevel="0" collapsed="false">
      <c r="A717" s="2" t="str">
        <f aca="false">HYPERLINK("https://www.fabsurplus.com/sdi_catalog/salesItemDetails.do?id=114797")</f>
        <v>https://www.fabsurplus.com/sdi_catalog/salesItemDetails.do?id=114797</v>
      </c>
      <c r="B717" s="2" t="s">
        <v>1847</v>
      </c>
      <c r="C717" s="2" t="s">
        <v>1050</v>
      </c>
      <c r="D717" s="2" t="s">
        <v>1848</v>
      </c>
      <c r="E717" s="2" t="s">
        <v>1849</v>
      </c>
      <c r="F717" s="2" t="s">
        <v>16</v>
      </c>
      <c r="G717" s="2" t="s">
        <v>26</v>
      </c>
      <c r="H717" s="2"/>
      <c r="I717" s="2"/>
      <c r="J717" s="2" t="s">
        <v>19</v>
      </c>
      <c r="K717" s="2"/>
      <c r="L717" s="2" t="s">
        <v>63</v>
      </c>
    </row>
    <row r="718" customFormat="false" ht="11.9" hidden="false" customHeight="true" outlineLevel="0" collapsed="false">
      <c r="A718" s="3" t="str">
        <f aca="false">HYPERLINK("https://www.fabsurplus.com/sdi_catalog/salesItemDetails.do?id=114922")</f>
        <v>https://www.fabsurplus.com/sdi_catalog/salesItemDetails.do?id=114922</v>
      </c>
      <c r="B718" s="3" t="s">
        <v>1850</v>
      </c>
      <c r="C718" s="3" t="s">
        <v>1050</v>
      </c>
      <c r="D718" s="3" t="s">
        <v>1851</v>
      </c>
      <c r="E718" s="3" t="s">
        <v>1852</v>
      </c>
      <c r="F718" s="3" t="s">
        <v>16</v>
      </c>
      <c r="G718" s="3" t="s">
        <v>26</v>
      </c>
      <c r="H718" s="3"/>
      <c r="I718" s="3"/>
      <c r="J718" s="3" t="s">
        <v>19</v>
      </c>
      <c r="K718" s="3"/>
      <c r="L718" s="3" t="s">
        <v>63</v>
      </c>
    </row>
    <row r="719" customFormat="false" ht="11.9" hidden="false" customHeight="true" outlineLevel="0" collapsed="false">
      <c r="A719" s="2" t="str">
        <f aca="false">HYPERLINK("https://www.fabsurplus.com/sdi_catalog/salesItemDetails.do?id=115010")</f>
        <v>https://www.fabsurplus.com/sdi_catalog/salesItemDetails.do?id=115010</v>
      </c>
      <c r="B719" s="2" t="s">
        <v>1853</v>
      </c>
      <c r="C719" s="2" t="s">
        <v>1050</v>
      </c>
      <c r="D719" s="2" t="s">
        <v>1854</v>
      </c>
      <c r="E719" s="2" t="s">
        <v>1855</v>
      </c>
      <c r="F719" s="2" t="s">
        <v>101</v>
      </c>
      <c r="G719" s="2" t="s">
        <v>26</v>
      </c>
      <c r="H719" s="2"/>
      <c r="I719" s="2"/>
      <c r="J719" s="2" t="s">
        <v>19</v>
      </c>
      <c r="K719" s="2"/>
      <c r="L719" s="2" t="s">
        <v>63</v>
      </c>
    </row>
    <row r="720" customFormat="false" ht="11.9" hidden="false" customHeight="true" outlineLevel="0" collapsed="false">
      <c r="A720" s="3" t="str">
        <f aca="false">HYPERLINK("https://www.fabsurplus.com/sdi_catalog/salesItemDetails.do?id=114799")</f>
        <v>https://www.fabsurplus.com/sdi_catalog/salesItemDetails.do?id=114799</v>
      </c>
      <c r="B720" s="3" t="s">
        <v>1856</v>
      </c>
      <c r="C720" s="3" t="s">
        <v>1050</v>
      </c>
      <c r="D720" s="3" t="s">
        <v>1857</v>
      </c>
      <c r="E720" s="3" t="s">
        <v>1858</v>
      </c>
      <c r="F720" s="3" t="s">
        <v>16</v>
      </c>
      <c r="G720" s="3" t="s">
        <v>26</v>
      </c>
      <c r="H720" s="3"/>
      <c r="I720" s="3"/>
      <c r="J720" s="3" t="s">
        <v>19</v>
      </c>
      <c r="K720" s="3"/>
      <c r="L720" s="3" t="s">
        <v>63</v>
      </c>
    </row>
    <row r="721" customFormat="false" ht="11.9" hidden="false" customHeight="true" outlineLevel="0" collapsed="false">
      <c r="A721" s="2" t="str">
        <f aca="false">HYPERLINK("https://www.fabsurplus.com/sdi_catalog/salesItemDetails.do?id=114856")</f>
        <v>https://www.fabsurplus.com/sdi_catalog/salesItemDetails.do?id=114856</v>
      </c>
      <c r="B721" s="2" t="s">
        <v>1859</v>
      </c>
      <c r="C721" s="2" t="s">
        <v>1050</v>
      </c>
      <c r="D721" s="2" t="s">
        <v>1860</v>
      </c>
      <c r="E721" s="2" t="s">
        <v>1861</v>
      </c>
      <c r="F721" s="2" t="s">
        <v>16</v>
      </c>
      <c r="G721" s="2" t="s">
        <v>26</v>
      </c>
      <c r="H721" s="2"/>
      <c r="I721" s="2"/>
      <c r="J721" s="2" t="s">
        <v>19</v>
      </c>
      <c r="K721" s="2"/>
      <c r="L721" s="2" t="s">
        <v>63</v>
      </c>
    </row>
    <row r="722" customFormat="false" ht="11.9" hidden="false" customHeight="true" outlineLevel="0" collapsed="false">
      <c r="A722" s="2" t="str">
        <f aca="false">HYPERLINK("https://www.fabsurplus.com/sdi_catalog/salesItemDetails.do?id=115026")</f>
        <v>https://www.fabsurplus.com/sdi_catalog/salesItemDetails.do?id=115026</v>
      </c>
      <c r="B722" s="2" t="s">
        <v>1862</v>
      </c>
      <c r="C722" s="2" t="s">
        <v>1050</v>
      </c>
      <c r="D722" s="2" t="s">
        <v>1863</v>
      </c>
      <c r="E722" s="2" t="s">
        <v>1864</v>
      </c>
      <c r="F722" s="2" t="s">
        <v>77</v>
      </c>
      <c r="G722" s="2" t="s">
        <v>26</v>
      </c>
      <c r="H722" s="2"/>
      <c r="I722" s="2"/>
      <c r="J722" s="2" t="s">
        <v>19</v>
      </c>
      <c r="K722" s="2"/>
      <c r="L722" s="2" t="s">
        <v>63</v>
      </c>
    </row>
    <row r="723" customFormat="false" ht="11.9" hidden="false" customHeight="true" outlineLevel="0" collapsed="false">
      <c r="A723" s="2" t="str">
        <f aca="false">HYPERLINK("https://www.fabsurplus.com/sdi_catalog/salesItemDetails.do?id=115214")</f>
        <v>https://www.fabsurplus.com/sdi_catalog/salesItemDetails.do?id=115214</v>
      </c>
      <c r="B723" s="2" t="s">
        <v>1865</v>
      </c>
      <c r="C723" s="2" t="s">
        <v>1050</v>
      </c>
      <c r="D723" s="2" t="s">
        <v>1866</v>
      </c>
      <c r="E723" s="2" t="s">
        <v>1867</v>
      </c>
      <c r="F723" s="2" t="s">
        <v>77</v>
      </c>
      <c r="G723" s="2" t="s">
        <v>26</v>
      </c>
      <c r="H723" s="2"/>
      <c r="I723" s="2"/>
      <c r="J723" s="2" t="s">
        <v>19</v>
      </c>
      <c r="K723" s="2"/>
      <c r="L723" s="2" t="s">
        <v>63</v>
      </c>
    </row>
    <row r="724" customFormat="false" ht="11.9" hidden="false" customHeight="true" outlineLevel="0" collapsed="false">
      <c r="A724" s="2" t="str">
        <f aca="false">HYPERLINK("https://www.fabsurplus.com/sdi_catalog/salesItemDetails.do?id=115215")</f>
        <v>https://www.fabsurplus.com/sdi_catalog/salesItemDetails.do?id=115215</v>
      </c>
      <c r="B724" s="2" t="s">
        <v>1868</v>
      </c>
      <c r="C724" s="2" t="s">
        <v>1050</v>
      </c>
      <c r="D724" s="2" t="s">
        <v>1866</v>
      </c>
      <c r="E724" s="2" t="s">
        <v>1869</v>
      </c>
      <c r="F724" s="2" t="s">
        <v>199</v>
      </c>
      <c r="G724" s="2" t="s">
        <v>26</v>
      </c>
      <c r="H724" s="2"/>
      <c r="I724" s="2"/>
      <c r="J724" s="2" t="s">
        <v>19</v>
      </c>
      <c r="K724" s="2"/>
      <c r="L724" s="2" t="s">
        <v>63</v>
      </c>
    </row>
    <row r="725" customFormat="false" ht="11.9" hidden="false" customHeight="true" outlineLevel="0" collapsed="false">
      <c r="A725" s="2" t="str">
        <f aca="false">HYPERLINK("https://www.fabsurplus.com/sdi_catalog/salesItemDetails.do?id=114674")</f>
        <v>https://www.fabsurplus.com/sdi_catalog/salesItemDetails.do?id=114674</v>
      </c>
      <c r="B725" s="2" t="s">
        <v>1870</v>
      </c>
      <c r="C725" s="2" t="s">
        <v>1050</v>
      </c>
      <c r="D725" s="2" t="s">
        <v>1871</v>
      </c>
      <c r="E725" s="2" t="s">
        <v>1872</v>
      </c>
      <c r="F725" s="2" t="s">
        <v>16</v>
      </c>
      <c r="G725" s="2" t="s">
        <v>26</v>
      </c>
      <c r="H725" s="2"/>
      <c r="I725" s="2"/>
      <c r="J725" s="2" t="s">
        <v>19</v>
      </c>
      <c r="K725" s="2"/>
      <c r="L725" s="2" t="s">
        <v>63</v>
      </c>
    </row>
    <row r="726" customFormat="false" ht="11.9" hidden="false" customHeight="true" outlineLevel="0" collapsed="false">
      <c r="A726" s="2" t="str">
        <f aca="false">HYPERLINK("https://www.fabsurplus.com/sdi_catalog/salesItemDetails.do?id=114675")</f>
        <v>https://www.fabsurplus.com/sdi_catalog/salesItemDetails.do?id=114675</v>
      </c>
      <c r="B726" s="2" t="s">
        <v>1873</v>
      </c>
      <c r="C726" s="2" t="s">
        <v>1050</v>
      </c>
      <c r="D726" s="2" t="s">
        <v>1871</v>
      </c>
      <c r="E726" s="2" t="s">
        <v>1874</v>
      </c>
      <c r="F726" s="2" t="s">
        <v>16</v>
      </c>
      <c r="G726" s="2" t="s">
        <v>26</v>
      </c>
      <c r="H726" s="2"/>
      <c r="I726" s="2"/>
      <c r="J726" s="2" t="s">
        <v>19</v>
      </c>
      <c r="K726" s="2"/>
      <c r="L726" s="2" t="s">
        <v>63</v>
      </c>
    </row>
    <row r="727" customFormat="false" ht="11.9" hidden="false" customHeight="true" outlineLevel="0" collapsed="false">
      <c r="A727" s="3" t="str">
        <f aca="false">HYPERLINK("https://www.fabsurplus.com/sdi_catalog/salesItemDetails.do?id=115146")</f>
        <v>https://www.fabsurplus.com/sdi_catalog/salesItemDetails.do?id=115146</v>
      </c>
      <c r="B727" s="3" t="s">
        <v>1875</v>
      </c>
      <c r="C727" s="3" t="s">
        <v>1050</v>
      </c>
      <c r="D727" s="3" t="s">
        <v>1876</v>
      </c>
      <c r="E727" s="3" t="s">
        <v>1877</v>
      </c>
      <c r="F727" s="3" t="s">
        <v>16</v>
      </c>
      <c r="G727" s="3" t="s">
        <v>26</v>
      </c>
      <c r="H727" s="3"/>
      <c r="I727" s="3"/>
      <c r="J727" s="3" t="s">
        <v>19</v>
      </c>
      <c r="K727" s="3"/>
      <c r="L727" s="3" t="s">
        <v>63</v>
      </c>
    </row>
    <row r="728" customFormat="false" ht="11.9" hidden="false" customHeight="true" outlineLevel="0" collapsed="false">
      <c r="A728" s="2" t="str">
        <f aca="false">HYPERLINK("https://www.fabsurplus.com/sdi_catalog/salesItemDetails.do?id=114850")</f>
        <v>https://www.fabsurplus.com/sdi_catalog/salesItemDetails.do?id=114850</v>
      </c>
      <c r="B728" s="2" t="s">
        <v>1878</v>
      </c>
      <c r="C728" s="2" t="s">
        <v>1050</v>
      </c>
      <c r="D728" s="2" t="s">
        <v>1879</v>
      </c>
      <c r="E728" s="2" t="s">
        <v>1880</v>
      </c>
      <c r="F728" s="2" t="s">
        <v>16</v>
      </c>
      <c r="G728" s="2" t="s">
        <v>26</v>
      </c>
      <c r="H728" s="2"/>
      <c r="I728" s="2"/>
      <c r="J728" s="2" t="s">
        <v>19</v>
      </c>
      <c r="K728" s="2"/>
      <c r="L728" s="2" t="s">
        <v>63</v>
      </c>
    </row>
    <row r="729" customFormat="false" ht="11.9" hidden="false" customHeight="true" outlineLevel="0" collapsed="false">
      <c r="A729" s="2" t="str">
        <f aca="false">HYPERLINK("https://www.fabsurplus.com/sdi_catalog/salesItemDetails.do?id=114944")</f>
        <v>https://www.fabsurplus.com/sdi_catalog/salesItemDetails.do?id=114944</v>
      </c>
      <c r="B729" s="2" t="s">
        <v>1881</v>
      </c>
      <c r="C729" s="2" t="s">
        <v>1050</v>
      </c>
      <c r="D729" s="2" t="s">
        <v>1882</v>
      </c>
      <c r="E729" s="2" t="s">
        <v>1883</v>
      </c>
      <c r="F729" s="2" t="s">
        <v>16</v>
      </c>
      <c r="G729" s="2" t="s">
        <v>26</v>
      </c>
      <c r="H729" s="2"/>
      <c r="I729" s="2"/>
      <c r="J729" s="2" t="s">
        <v>19</v>
      </c>
      <c r="K729" s="2"/>
      <c r="L729" s="2" t="s">
        <v>63</v>
      </c>
    </row>
    <row r="730" customFormat="false" ht="11.9" hidden="false" customHeight="true" outlineLevel="0" collapsed="false">
      <c r="A730" s="3" t="str">
        <f aca="false">HYPERLINK("https://www.fabsurplus.com/sdi_catalog/salesItemDetails.do?id=114916")</f>
        <v>https://www.fabsurplus.com/sdi_catalog/salesItemDetails.do?id=114916</v>
      </c>
      <c r="B730" s="3" t="s">
        <v>1884</v>
      </c>
      <c r="C730" s="3" t="s">
        <v>1050</v>
      </c>
      <c r="D730" s="3" t="s">
        <v>1885</v>
      </c>
      <c r="E730" s="3" t="s">
        <v>1886</v>
      </c>
      <c r="F730" s="3" t="s">
        <v>77</v>
      </c>
      <c r="G730" s="3" t="s">
        <v>26</v>
      </c>
      <c r="H730" s="3"/>
      <c r="I730" s="3"/>
      <c r="J730" s="3" t="s">
        <v>19</v>
      </c>
      <c r="K730" s="3"/>
      <c r="L730" s="3" t="s">
        <v>63</v>
      </c>
    </row>
    <row r="731" customFormat="false" ht="11.9" hidden="false" customHeight="true" outlineLevel="0" collapsed="false">
      <c r="A731" s="2" t="str">
        <f aca="false">HYPERLINK("https://www.fabsurplus.com/sdi_catalog/salesItemDetails.do?id=114971")</f>
        <v>https://www.fabsurplus.com/sdi_catalog/salesItemDetails.do?id=114971</v>
      </c>
      <c r="B731" s="2" t="s">
        <v>1887</v>
      </c>
      <c r="C731" s="2" t="s">
        <v>1050</v>
      </c>
      <c r="D731" s="2" t="s">
        <v>1888</v>
      </c>
      <c r="E731" s="2" t="s">
        <v>1889</v>
      </c>
      <c r="F731" s="2" t="s">
        <v>16</v>
      </c>
      <c r="G731" s="2" t="s">
        <v>26</v>
      </c>
      <c r="H731" s="2"/>
      <c r="I731" s="2"/>
      <c r="J731" s="2" t="s">
        <v>19</v>
      </c>
      <c r="K731" s="2"/>
      <c r="L731" s="2" t="s">
        <v>63</v>
      </c>
    </row>
    <row r="732" customFormat="false" ht="11.9" hidden="false" customHeight="true" outlineLevel="0" collapsed="false">
      <c r="A732" s="3" t="str">
        <f aca="false">HYPERLINK("https://www.fabsurplus.com/sdi_catalog/salesItemDetails.do?id=115121")</f>
        <v>https://www.fabsurplus.com/sdi_catalog/salesItemDetails.do?id=115121</v>
      </c>
      <c r="B732" s="3" t="s">
        <v>1890</v>
      </c>
      <c r="C732" s="3" t="s">
        <v>1050</v>
      </c>
      <c r="D732" s="3" t="s">
        <v>1891</v>
      </c>
      <c r="E732" s="3" t="s">
        <v>1892</v>
      </c>
      <c r="F732" s="3" t="s">
        <v>16</v>
      </c>
      <c r="G732" s="3" t="s">
        <v>26</v>
      </c>
      <c r="H732" s="3"/>
      <c r="I732" s="3"/>
      <c r="J732" s="3" t="s">
        <v>19</v>
      </c>
      <c r="K732" s="3"/>
      <c r="L732" s="3" t="s">
        <v>63</v>
      </c>
    </row>
    <row r="733" customFormat="false" ht="11.9" hidden="false" customHeight="true" outlineLevel="0" collapsed="false">
      <c r="A733" s="3" t="str">
        <f aca="false">HYPERLINK("https://www.fabsurplus.com/sdi_catalog/salesItemDetails.do?id=115177")</f>
        <v>https://www.fabsurplus.com/sdi_catalog/salesItemDetails.do?id=115177</v>
      </c>
      <c r="B733" s="3" t="s">
        <v>1893</v>
      </c>
      <c r="C733" s="3" t="s">
        <v>1050</v>
      </c>
      <c r="D733" s="3" t="s">
        <v>1894</v>
      </c>
      <c r="E733" s="3" t="s">
        <v>1895</v>
      </c>
      <c r="F733" s="3" t="s">
        <v>16</v>
      </c>
      <c r="G733" s="3" t="s">
        <v>26</v>
      </c>
      <c r="H733" s="3"/>
      <c r="I733" s="3"/>
      <c r="J733" s="3" t="s">
        <v>19</v>
      </c>
      <c r="K733" s="3"/>
      <c r="L733" s="3" t="s">
        <v>63</v>
      </c>
    </row>
    <row r="734" customFormat="false" ht="11.9" hidden="false" customHeight="true" outlineLevel="0" collapsed="false">
      <c r="A734" s="2" t="str">
        <f aca="false">HYPERLINK("https://www.fabsurplus.com/sdi_catalog/salesItemDetails.do?id=115147")</f>
        <v>https://www.fabsurplus.com/sdi_catalog/salesItemDetails.do?id=115147</v>
      </c>
      <c r="B734" s="2" t="s">
        <v>1896</v>
      </c>
      <c r="C734" s="2" t="s">
        <v>1050</v>
      </c>
      <c r="D734" s="2" t="s">
        <v>1897</v>
      </c>
      <c r="E734" s="2" t="s">
        <v>1898</v>
      </c>
      <c r="F734" s="2" t="s">
        <v>77</v>
      </c>
      <c r="G734" s="2" t="s">
        <v>26</v>
      </c>
      <c r="H734" s="2"/>
      <c r="I734" s="2"/>
      <c r="J734" s="2" t="s">
        <v>19</v>
      </c>
      <c r="K734" s="2"/>
      <c r="L734" s="2" t="s">
        <v>63</v>
      </c>
    </row>
    <row r="735" customFormat="false" ht="11.9" hidden="false" customHeight="true" outlineLevel="0" collapsed="false">
      <c r="A735" s="2" t="str">
        <f aca="false">HYPERLINK("https://www.fabsurplus.com/sdi_catalog/salesItemDetails.do?id=115174")</f>
        <v>https://www.fabsurplus.com/sdi_catalog/salesItemDetails.do?id=115174</v>
      </c>
      <c r="B735" s="2" t="s">
        <v>1899</v>
      </c>
      <c r="C735" s="2" t="s">
        <v>1050</v>
      </c>
      <c r="D735" s="2" t="s">
        <v>1900</v>
      </c>
      <c r="E735" s="2" t="s">
        <v>1901</v>
      </c>
      <c r="F735" s="2" t="s">
        <v>16</v>
      </c>
      <c r="G735" s="2" t="s">
        <v>26</v>
      </c>
      <c r="H735" s="2"/>
      <c r="I735" s="2"/>
      <c r="J735" s="2" t="s">
        <v>19</v>
      </c>
      <c r="K735" s="2"/>
      <c r="L735" s="2" t="s">
        <v>63</v>
      </c>
    </row>
    <row r="736" customFormat="false" ht="11.9" hidden="false" customHeight="true" outlineLevel="0" collapsed="false">
      <c r="A736" s="2" t="str">
        <f aca="false">HYPERLINK("https://www.fabsurplus.com/sdi_catalog/salesItemDetails.do?id=114923")</f>
        <v>https://www.fabsurplus.com/sdi_catalog/salesItemDetails.do?id=114923</v>
      </c>
      <c r="B736" s="2" t="s">
        <v>1902</v>
      </c>
      <c r="C736" s="2" t="s">
        <v>1050</v>
      </c>
      <c r="D736" s="2" t="s">
        <v>1903</v>
      </c>
      <c r="E736" s="2" t="s">
        <v>1904</v>
      </c>
      <c r="F736" s="2" t="s">
        <v>77</v>
      </c>
      <c r="G736" s="2" t="s">
        <v>26</v>
      </c>
      <c r="H736" s="2"/>
      <c r="I736" s="2"/>
      <c r="J736" s="2" t="s">
        <v>19</v>
      </c>
      <c r="K736" s="2"/>
      <c r="L736" s="2" t="s">
        <v>63</v>
      </c>
    </row>
    <row r="737" customFormat="false" ht="11.9" hidden="false" customHeight="true" outlineLevel="0" collapsed="false">
      <c r="A737" s="2" t="str">
        <f aca="false">HYPERLINK("https://www.fabsurplus.com/sdi_catalog/salesItemDetails.do?id=114888")</f>
        <v>https://www.fabsurplus.com/sdi_catalog/salesItemDetails.do?id=114888</v>
      </c>
      <c r="B737" s="2" t="s">
        <v>1905</v>
      </c>
      <c r="C737" s="2" t="s">
        <v>1050</v>
      </c>
      <c r="D737" s="2" t="s">
        <v>1906</v>
      </c>
      <c r="E737" s="2" t="s">
        <v>1907</v>
      </c>
      <c r="F737" s="2" t="s">
        <v>104</v>
      </c>
      <c r="G737" s="2" t="s">
        <v>26</v>
      </c>
      <c r="H737" s="2"/>
      <c r="I737" s="2"/>
      <c r="J737" s="2" t="s">
        <v>19</v>
      </c>
      <c r="K737" s="2"/>
      <c r="L737" s="2" t="s">
        <v>63</v>
      </c>
    </row>
    <row r="738" customFormat="false" ht="11.9" hidden="false" customHeight="true" outlineLevel="0" collapsed="false">
      <c r="A738" s="2" t="str">
        <f aca="false">HYPERLINK("https://www.fabsurplus.com/sdi_catalog/salesItemDetails.do?id=115216")</f>
        <v>https://www.fabsurplus.com/sdi_catalog/salesItemDetails.do?id=115216</v>
      </c>
      <c r="B738" s="2" t="s">
        <v>1908</v>
      </c>
      <c r="C738" s="2" t="s">
        <v>1050</v>
      </c>
      <c r="D738" s="2" t="s">
        <v>1909</v>
      </c>
      <c r="E738" s="2" t="s">
        <v>1910</v>
      </c>
      <c r="F738" s="2" t="s">
        <v>16</v>
      </c>
      <c r="G738" s="2" t="s">
        <v>26</v>
      </c>
      <c r="H738" s="2"/>
      <c r="I738" s="2"/>
      <c r="J738" s="2" t="s">
        <v>19</v>
      </c>
      <c r="K738" s="2"/>
      <c r="L738" s="2" t="s">
        <v>63</v>
      </c>
    </row>
    <row r="739" customFormat="false" ht="11.9" hidden="false" customHeight="true" outlineLevel="0" collapsed="false">
      <c r="A739" s="3" t="str">
        <f aca="false">HYPERLINK("https://www.fabsurplus.com/sdi_catalog/salesItemDetails.do?id=115188")</f>
        <v>https://www.fabsurplus.com/sdi_catalog/salesItemDetails.do?id=115188</v>
      </c>
      <c r="B739" s="3" t="s">
        <v>1911</v>
      </c>
      <c r="C739" s="3" t="s">
        <v>1050</v>
      </c>
      <c r="D739" s="3" t="s">
        <v>1912</v>
      </c>
      <c r="E739" s="3" t="s">
        <v>1913</v>
      </c>
      <c r="F739" s="3" t="s">
        <v>77</v>
      </c>
      <c r="G739" s="3" t="s">
        <v>26</v>
      </c>
      <c r="H739" s="3"/>
      <c r="I739" s="3"/>
      <c r="J739" s="3" t="s">
        <v>19</v>
      </c>
      <c r="K739" s="3"/>
      <c r="L739" s="3" t="s">
        <v>63</v>
      </c>
    </row>
    <row r="740" customFormat="false" ht="11.9" hidden="false" customHeight="true" outlineLevel="0" collapsed="false">
      <c r="A740" s="3" t="str">
        <f aca="false">HYPERLINK("https://www.fabsurplus.com/sdi_catalog/salesItemDetails.do?id=114749")</f>
        <v>https://www.fabsurplus.com/sdi_catalog/salesItemDetails.do?id=114749</v>
      </c>
      <c r="B740" s="3" t="s">
        <v>1914</v>
      </c>
      <c r="C740" s="3" t="s">
        <v>1050</v>
      </c>
      <c r="D740" s="3" t="s">
        <v>1915</v>
      </c>
      <c r="E740" s="3" t="s">
        <v>1916</v>
      </c>
      <c r="F740" s="3" t="s">
        <v>77</v>
      </c>
      <c r="G740" s="3" t="s">
        <v>26</v>
      </c>
      <c r="H740" s="3"/>
      <c r="I740" s="3"/>
      <c r="J740" s="3" t="s">
        <v>19</v>
      </c>
      <c r="K740" s="3"/>
      <c r="L740" s="3" t="s">
        <v>63</v>
      </c>
    </row>
    <row r="741" customFormat="false" ht="11.9" hidden="false" customHeight="true" outlineLevel="0" collapsed="false">
      <c r="A741" s="3" t="str">
        <f aca="false">HYPERLINK("https://www.fabsurplus.com/sdi_catalog/salesItemDetails.do?id=114851")</f>
        <v>https://www.fabsurplus.com/sdi_catalog/salesItemDetails.do?id=114851</v>
      </c>
      <c r="B741" s="3" t="s">
        <v>1917</v>
      </c>
      <c r="C741" s="3" t="s">
        <v>1050</v>
      </c>
      <c r="D741" s="3" t="s">
        <v>1915</v>
      </c>
      <c r="E741" s="3" t="s">
        <v>1918</v>
      </c>
      <c r="F741" s="3" t="s">
        <v>16</v>
      </c>
      <c r="G741" s="3" t="s">
        <v>26</v>
      </c>
      <c r="H741" s="3"/>
      <c r="I741" s="3"/>
      <c r="J741" s="3" t="s">
        <v>19</v>
      </c>
      <c r="K741" s="3"/>
      <c r="L741" s="3" t="s">
        <v>63</v>
      </c>
    </row>
    <row r="742" customFormat="false" ht="11.9" hidden="false" customHeight="true" outlineLevel="0" collapsed="false">
      <c r="A742" s="3" t="str">
        <f aca="false">HYPERLINK("https://www.fabsurplus.com/sdi_catalog/salesItemDetails.do?id=115102")</f>
        <v>https://www.fabsurplus.com/sdi_catalog/salesItemDetails.do?id=115102</v>
      </c>
      <c r="B742" s="3" t="s">
        <v>1919</v>
      </c>
      <c r="C742" s="3" t="s">
        <v>1050</v>
      </c>
      <c r="D742" s="3" t="s">
        <v>1920</v>
      </c>
      <c r="E742" s="3" t="s">
        <v>1921</v>
      </c>
      <c r="F742" s="3" t="s">
        <v>77</v>
      </c>
      <c r="G742" s="3" t="s">
        <v>26</v>
      </c>
      <c r="H742" s="3"/>
      <c r="I742" s="3"/>
      <c r="J742" s="3" t="s">
        <v>19</v>
      </c>
      <c r="K742" s="3"/>
      <c r="L742" s="3" t="s">
        <v>63</v>
      </c>
    </row>
    <row r="743" customFormat="false" ht="11.9" hidden="false" customHeight="true" outlineLevel="0" collapsed="false">
      <c r="A743" s="2" t="str">
        <f aca="false">HYPERLINK("https://www.fabsurplus.com/sdi_catalog/salesItemDetails.do?id=115011")</f>
        <v>https://www.fabsurplus.com/sdi_catalog/salesItemDetails.do?id=115011</v>
      </c>
      <c r="B743" s="2" t="s">
        <v>1922</v>
      </c>
      <c r="C743" s="2" t="s">
        <v>1050</v>
      </c>
      <c r="D743" s="2" t="s">
        <v>1923</v>
      </c>
      <c r="E743" s="2" t="s">
        <v>1924</v>
      </c>
      <c r="F743" s="2" t="s">
        <v>77</v>
      </c>
      <c r="G743" s="2" t="s">
        <v>26</v>
      </c>
      <c r="H743" s="2"/>
      <c r="I743" s="2"/>
      <c r="J743" s="2" t="s">
        <v>19</v>
      </c>
      <c r="K743" s="2"/>
      <c r="L743" s="2" t="s">
        <v>63</v>
      </c>
    </row>
    <row r="744" customFormat="false" ht="11.9" hidden="false" customHeight="true" outlineLevel="0" collapsed="false">
      <c r="A744" s="3" t="str">
        <f aca="false">HYPERLINK("https://www.fabsurplus.com/sdi_catalog/salesItemDetails.do?id=115053")</f>
        <v>https://www.fabsurplus.com/sdi_catalog/salesItemDetails.do?id=115053</v>
      </c>
      <c r="B744" s="3" t="s">
        <v>1925</v>
      </c>
      <c r="C744" s="3" t="s">
        <v>1050</v>
      </c>
      <c r="D744" s="3" t="s">
        <v>1926</v>
      </c>
      <c r="E744" s="3" t="s">
        <v>1927</v>
      </c>
      <c r="F744" s="3" t="s">
        <v>16</v>
      </c>
      <c r="G744" s="3" t="s">
        <v>26</v>
      </c>
      <c r="H744" s="3"/>
      <c r="I744" s="3"/>
      <c r="J744" s="3" t="s">
        <v>19</v>
      </c>
      <c r="K744" s="3"/>
      <c r="L744" s="3" t="s">
        <v>63</v>
      </c>
    </row>
    <row r="745" customFormat="false" ht="11.9" hidden="false" customHeight="true" outlineLevel="0" collapsed="false">
      <c r="A745" s="2" t="str">
        <f aca="false">HYPERLINK("https://www.fabsurplus.com/sdi_catalog/salesItemDetails.do?id=114972")</f>
        <v>https://www.fabsurplus.com/sdi_catalog/salesItemDetails.do?id=114972</v>
      </c>
      <c r="B745" s="2" t="s">
        <v>1928</v>
      </c>
      <c r="C745" s="2" t="s">
        <v>1050</v>
      </c>
      <c r="D745" s="2" t="s">
        <v>1926</v>
      </c>
      <c r="E745" s="2" t="s">
        <v>1929</v>
      </c>
      <c r="F745" s="2" t="s">
        <v>16</v>
      </c>
      <c r="G745" s="2" t="s">
        <v>26</v>
      </c>
      <c r="H745" s="2"/>
      <c r="I745" s="2"/>
      <c r="J745" s="2" t="s">
        <v>19</v>
      </c>
      <c r="K745" s="2"/>
      <c r="L745" s="2" t="s">
        <v>63</v>
      </c>
    </row>
    <row r="746" customFormat="false" ht="11.9" hidden="false" customHeight="true" outlineLevel="0" collapsed="false">
      <c r="A746" s="3" t="str">
        <f aca="false">HYPERLINK("https://www.fabsurplus.com/sdi_catalog/salesItemDetails.do?id=115112")</f>
        <v>https://www.fabsurplus.com/sdi_catalog/salesItemDetails.do?id=115112</v>
      </c>
      <c r="B746" s="3" t="s">
        <v>1930</v>
      </c>
      <c r="C746" s="3" t="s">
        <v>1050</v>
      </c>
      <c r="D746" s="3" t="s">
        <v>1931</v>
      </c>
      <c r="E746" s="3" t="s">
        <v>1932</v>
      </c>
      <c r="F746" s="3" t="s">
        <v>16</v>
      </c>
      <c r="G746" s="3" t="s">
        <v>26</v>
      </c>
      <c r="H746" s="3"/>
      <c r="I746" s="3"/>
      <c r="J746" s="3" t="s">
        <v>19</v>
      </c>
      <c r="K746" s="3"/>
      <c r="L746" s="3" t="s">
        <v>63</v>
      </c>
    </row>
    <row r="747" customFormat="false" ht="11.9" hidden="false" customHeight="true" outlineLevel="0" collapsed="false">
      <c r="A747" s="3" t="str">
        <f aca="false">HYPERLINK("https://www.fabsurplus.com/sdi_catalog/salesItemDetails.do?id=114889")</f>
        <v>https://www.fabsurplus.com/sdi_catalog/salesItemDetails.do?id=114889</v>
      </c>
      <c r="B747" s="3" t="s">
        <v>1933</v>
      </c>
      <c r="C747" s="3" t="s">
        <v>1050</v>
      </c>
      <c r="D747" s="3" t="s">
        <v>1934</v>
      </c>
      <c r="E747" s="3" t="s">
        <v>1935</v>
      </c>
      <c r="F747" s="3" t="s">
        <v>16</v>
      </c>
      <c r="G747" s="3" t="s">
        <v>26</v>
      </c>
      <c r="H747" s="3"/>
      <c r="I747" s="3"/>
      <c r="J747" s="3" t="s">
        <v>19</v>
      </c>
      <c r="K747" s="3"/>
      <c r="L747" s="3" t="s">
        <v>63</v>
      </c>
    </row>
    <row r="748" customFormat="false" ht="11.9" hidden="false" customHeight="true" outlineLevel="0" collapsed="false">
      <c r="A748" s="2" t="str">
        <f aca="false">HYPERLINK("https://www.fabsurplus.com/sdi_catalog/salesItemDetails.do?id=114985")</f>
        <v>https://www.fabsurplus.com/sdi_catalog/salesItemDetails.do?id=114985</v>
      </c>
      <c r="B748" s="2" t="s">
        <v>1936</v>
      </c>
      <c r="C748" s="2" t="s">
        <v>1050</v>
      </c>
      <c r="D748" s="2" t="s">
        <v>1937</v>
      </c>
      <c r="E748" s="2" t="s">
        <v>1938</v>
      </c>
      <c r="F748" s="2" t="s">
        <v>16</v>
      </c>
      <c r="G748" s="2" t="s">
        <v>26</v>
      </c>
      <c r="H748" s="2"/>
      <c r="I748" s="2"/>
      <c r="J748" s="2" t="s">
        <v>19</v>
      </c>
      <c r="K748" s="2"/>
      <c r="L748" s="2" t="s">
        <v>63</v>
      </c>
    </row>
    <row r="749" customFormat="false" ht="11.9" hidden="false" customHeight="true" outlineLevel="0" collapsed="false">
      <c r="A749" s="3" t="str">
        <f aca="false">HYPERLINK("https://www.fabsurplus.com/sdi_catalog/salesItemDetails.do?id=115217")</f>
        <v>https://www.fabsurplus.com/sdi_catalog/salesItemDetails.do?id=115217</v>
      </c>
      <c r="B749" s="3" t="s">
        <v>1939</v>
      </c>
      <c r="C749" s="3" t="s">
        <v>1050</v>
      </c>
      <c r="D749" s="3" t="s">
        <v>1940</v>
      </c>
      <c r="E749" s="3" t="s">
        <v>1941</v>
      </c>
      <c r="F749" s="3" t="s">
        <v>16</v>
      </c>
      <c r="G749" s="3" t="s">
        <v>26</v>
      </c>
      <c r="H749" s="3"/>
      <c r="I749" s="3"/>
      <c r="J749" s="3" t="s">
        <v>19</v>
      </c>
      <c r="K749" s="3"/>
      <c r="L749" s="3" t="s">
        <v>63</v>
      </c>
    </row>
    <row r="750" customFormat="false" ht="11.9" hidden="false" customHeight="true" outlineLevel="0" collapsed="false">
      <c r="A750" s="2" t="str">
        <f aca="false">HYPERLINK("https://www.fabsurplus.com/sdi_catalog/salesItemDetails.do?id=115054")</f>
        <v>https://www.fabsurplus.com/sdi_catalog/salesItemDetails.do?id=115054</v>
      </c>
      <c r="B750" s="2" t="s">
        <v>1942</v>
      </c>
      <c r="C750" s="2" t="s">
        <v>1050</v>
      </c>
      <c r="D750" s="2" t="s">
        <v>1943</v>
      </c>
      <c r="E750" s="2" t="s">
        <v>1944</v>
      </c>
      <c r="F750" s="2" t="s">
        <v>77</v>
      </c>
      <c r="G750" s="2" t="s">
        <v>26</v>
      </c>
      <c r="H750" s="2"/>
      <c r="I750" s="2"/>
      <c r="J750" s="2" t="s">
        <v>19</v>
      </c>
      <c r="K750" s="2"/>
      <c r="L750" s="2" t="s">
        <v>63</v>
      </c>
    </row>
    <row r="751" customFormat="false" ht="11.9" hidden="false" customHeight="true" outlineLevel="0" collapsed="false">
      <c r="A751" s="2" t="str">
        <f aca="false">HYPERLINK("https://www.fabsurplus.com/sdi_catalog/salesItemDetails.do?id=114890")</f>
        <v>https://www.fabsurplus.com/sdi_catalog/salesItemDetails.do?id=114890</v>
      </c>
      <c r="B751" s="2" t="s">
        <v>1945</v>
      </c>
      <c r="C751" s="2" t="s">
        <v>1050</v>
      </c>
      <c r="D751" s="2" t="s">
        <v>1946</v>
      </c>
      <c r="E751" s="2" t="s">
        <v>1947</v>
      </c>
      <c r="F751" s="2" t="s">
        <v>16</v>
      </c>
      <c r="G751" s="2" t="s">
        <v>26</v>
      </c>
      <c r="H751" s="2"/>
      <c r="I751" s="2"/>
      <c r="J751" s="2" t="s">
        <v>19</v>
      </c>
      <c r="K751" s="2"/>
      <c r="L751" s="2" t="s">
        <v>63</v>
      </c>
    </row>
    <row r="752" customFormat="false" ht="11.9" hidden="false" customHeight="true" outlineLevel="0" collapsed="false">
      <c r="A752" s="2" t="str">
        <f aca="false">HYPERLINK("https://www.fabsurplus.com/sdi_catalog/salesItemDetails.do?id=115172")</f>
        <v>https://www.fabsurplus.com/sdi_catalog/salesItemDetails.do?id=115172</v>
      </c>
      <c r="B752" s="2" t="s">
        <v>1948</v>
      </c>
      <c r="C752" s="2" t="s">
        <v>1050</v>
      </c>
      <c r="D752" s="2" t="s">
        <v>1949</v>
      </c>
      <c r="E752" s="2" t="s">
        <v>1950</v>
      </c>
      <c r="F752" s="2" t="s">
        <v>77</v>
      </c>
      <c r="G752" s="2" t="s">
        <v>26</v>
      </c>
      <c r="H752" s="2"/>
      <c r="I752" s="2"/>
      <c r="J752" s="2" t="s">
        <v>19</v>
      </c>
      <c r="K752" s="2"/>
      <c r="L752" s="2" t="s">
        <v>63</v>
      </c>
    </row>
    <row r="753" customFormat="false" ht="11.9" hidden="false" customHeight="true" outlineLevel="0" collapsed="false">
      <c r="A753" s="3" t="str">
        <f aca="false">HYPERLINK("https://www.fabsurplus.com/sdi_catalog/salesItemDetails.do?id=114924")</f>
        <v>https://www.fabsurplus.com/sdi_catalog/salesItemDetails.do?id=114924</v>
      </c>
      <c r="B753" s="3" t="s">
        <v>1951</v>
      </c>
      <c r="C753" s="3" t="s">
        <v>1050</v>
      </c>
      <c r="D753" s="3" t="s">
        <v>1952</v>
      </c>
      <c r="E753" s="3" t="s">
        <v>1953</v>
      </c>
      <c r="F753" s="3" t="s">
        <v>16</v>
      </c>
      <c r="G753" s="3" t="s">
        <v>26</v>
      </c>
      <c r="H753" s="3"/>
      <c r="I753" s="3"/>
      <c r="J753" s="3" t="s">
        <v>19</v>
      </c>
      <c r="K753" s="3"/>
      <c r="L753" s="3" t="s">
        <v>63</v>
      </c>
    </row>
    <row r="754" customFormat="false" ht="11.9" hidden="false" customHeight="true" outlineLevel="0" collapsed="false">
      <c r="A754" s="2" t="str">
        <f aca="false">HYPERLINK("https://www.fabsurplus.com/sdi_catalog/salesItemDetails.do?id=115055")</f>
        <v>https://www.fabsurplus.com/sdi_catalog/salesItemDetails.do?id=115055</v>
      </c>
      <c r="B754" s="2" t="s">
        <v>1954</v>
      </c>
      <c r="C754" s="2" t="s">
        <v>1050</v>
      </c>
      <c r="D754" s="2" t="s">
        <v>1955</v>
      </c>
      <c r="E754" s="2" t="s">
        <v>1956</v>
      </c>
      <c r="F754" s="2" t="s">
        <v>77</v>
      </c>
      <c r="G754" s="2" t="s">
        <v>26</v>
      </c>
      <c r="H754" s="2"/>
      <c r="I754" s="2"/>
      <c r="J754" s="2" t="s">
        <v>19</v>
      </c>
      <c r="K754" s="2"/>
      <c r="L754" s="2" t="s">
        <v>63</v>
      </c>
    </row>
    <row r="755" customFormat="false" ht="11.9" hidden="false" customHeight="true" outlineLevel="0" collapsed="false">
      <c r="A755" s="3" t="str">
        <f aca="false">HYPERLINK("https://www.fabsurplus.com/sdi_catalog/salesItemDetails.do?id=114818")</f>
        <v>https://www.fabsurplus.com/sdi_catalog/salesItemDetails.do?id=114818</v>
      </c>
      <c r="B755" s="3" t="s">
        <v>1957</v>
      </c>
      <c r="C755" s="3" t="s">
        <v>1050</v>
      </c>
      <c r="D755" s="3" t="s">
        <v>1958</v>
      </c>
      <c r="E755" s="3" t="s">
        <v>1959</v>
      </c>
      <c r="F755" s="3" t="s">
        <v>69</v>
      </c>
      <c r="G755" s="3" t="s">
        <v>26</v>
      </c>
      <c r="H755" s="3"/>
      <c r="I755" s="3"/>
      <c r="J755" s="3" t="s">
        <v>19</v>
      </c>
      <c r="K755" s="3"/>
      <c r="L755" s="3" t="s">
        <v>63</v>
      </c>
    </row>
    <row r="756" customFormat="false" ht="11.9" hidden="false" customHeight="true" outlineLevel="0" collapsed="false">
      <c r="A756" s="3" t="str">
        <f aca="false">HYPERLINK("https://www.fabsurplus.com/sdi_catalog/salesItemDetails.do?id=115148")</f>
        <v>https://www.fabsurplus.com/sdi_catalog/salesItemDetails.do?id=115148</v>
      </c>
      <c r="B756" s="3" t="s">
        <v>1960</v>
      </c>
      <c r="C756" s="3" t="s">
        <v>1050</v>
      </c>
      <c r="D756" s="3" t="s">
        <v>1961</v>
      </c>
      <c r="E756" s="3" t="s">
        <v>1962</v>
      </c>
      <c r="F756" s="3" t="s">
        <v>16</v>
      </c>
      <c r="G756" s="3" t="s">
        <v>26</v>
      </c>
      <c r="H756" s="3"/>
      <c r="I756" s="3"/>
      <c r="J756" s="3" t="s">
        <v>19</v>
      </c>
      <c r="K756" s="3"/>
      <c r="L756" s="3" t="s">
        <v>63</v>
      </c>
    </row>
    <row r="757" customFormat="false" ht="11.9" hidden="false" customHeight="true" outlineLevel="0" collapsed="false">
      <c r="A757" s="2" t="str">
        <f aca="false">HYPERLINK("https://www.fabsurplus.com/sdi_catalog/salesItemDetails.do?id=115149")</f>
        <v>https://www.fabsurplus.com/sdi_catalog/salesItemDetails.do?id=115149</v>
      </c>
      <c r="B757" s="2" t="s">
        <v>1963</v>
      </c>
      <c r="C757" s="2" t="s">
        <v>1050</v>
      </c>
      <c r="D757" s="2" t="s">
        <v>1964</v>
      </c>
      <c r="E757" s="2" t="s">
        <v>1965</v>
      </c>
      <c r="F757" s="2" t="s">
        <v>16</v>
      </c>
      <c r="G757" s="2" t="s">
        <v>26</v>
      </c>
      <c r="H757" s="2"/>
      <c r="I757" s="2"/>
      <c r="J757" s="2" t="s">
        <v>19</v>
      </c>
      <c r="K757" s="2"/>
      <c r="L757" s="2" t="s">
        <v>63</v>
      </c>
    </row>
    <row r="758" customFormat="false" ht="11.9" hidden="false" customHeight="true" outlineLevel="0" collapsed="false">
      <c r="A758" s="3" t="str">
        <f aca="false">HYPERLINK("https://www.fabsurplus.com/sdi_catalog/salesItemDetails.do?id=114945")</f>
        <v>https://www.fabsurplus.com/sdi_catalog/salesItemDetails.do?id=114945</v>
      </c>
      <c r="B758" s="3" t="s">
        <v>1966</v>
      </c>
      <c r="C758" s="3" t="s">
        <v>1050</v>
      </c>
      <c r="D758" s="3" t="s">
        <v>1967</v>
      </c>
      <c r="E758" s="3" t="s">
        <v>1968</v>
      </c>
      <c r="F758" s="3" t="s">
        <v>69</v>
      </c>
      <c r="G758" s="3" t="s">
        <v>26</v>
      </c>
      <c r="H758" s="3"/>
      <c r="I758" s="3"/>
      <c r="J758" s="3" t="s">
        <v>19</v>
      </c>
      <c r="K758" s="3"/>
      <c r="L758" s="3" t="s">
        <v>63</v>
      </c>
    </row>
    <row r="759" customFormat="false" ht="11.9" hidden="false" customHeight="true" outlineLevel="0" collapsed="false">
      <c r="A759" s="3" t="str">
        <f aca="false">HYPERLINK("https://www.fabsurplus.com/sdi_catalog/salesItemDetails.do?id=114891")</f>
        <v>https://www.fabsurplus.com/sdi_catalog/salesItemDetails.do?id=114891</v>
      </c>
      <c r="B759" s="3" t="s">
        <v>1969</v>
      </c>
      <c r="C759" s="3" t="s">
        <v>1050</v>
      </c>
      <c r="D759" s="3" t="s">
        <v>1970</v>
      </c>
      <c r="E759" s="3" t="s">
        <v>1971</v>
      </c>
      <c r="F759" s="3" t="s">
        <v>16</v>
      </c>
      <c r="G759" s="3" t="s">
        <v>26</v>
      </c>
      <c r="H759" s="3"/>
      <c r="I759" s="3"/>
      <c r="J759" s="3" t="s">
        <v>19</v>
      </c>
      <c r="K759" s="3"/>
      <c r="L759" s="3" t="s">
        <v>63</v>
      </c>
    </row>
    <row r="760" customFormat="false" ht="11.9" hidden="false" customHeight="true" outlineLevel="0" collapsed="false">
      <c r="A760" s="3" t="str">
        <f aca="false">HYPERLINK("https://www.fabsurplus.com/sdi_catalog/salesItemDetails.do?id=115189")</f>
        <v>https://www.fabsurplus.com/sdi_catalog/salesItemDetails.do?id=115189</v>
      </c>
      <c r="B760" s="3" t="s">
        <v>1972</v>
      </c>
      <c r="C760" s="3" t="s">
        <v>1050</v>
      </c>
      <c r="D760" s="3" t="s">
        <v>1973</v>
      </c>
      <c r="E760" s="3" t="s">
        <v>1974</v>
      </c>
      <c r="F760" s="3" t="s">
        <v>16</v>
      </c>
      <c r="G760" s="3" t="s">
        <v>26</v>
      </c>
      <c r="H760" s="3"/>
      <c r="I760" s="3"/>
      <c r="J760" s="3" t="s">
        <v>19</v>
      </c>
      <c r="K760" s="3"/>
      <c r="L760" s="3" t="s">
        <v>63</v>
      </c>
    </row>
    <row r="761" customFormat="false" ht="11.9" hidden="false" customHeight="true" outlineLevel="0" collapsed="false">
      <c r="A761" s="3" t="str">
        <f aca="false">HYPERLINK("https://www.fabsurplus.com/sdi_catalog/salesItemDetails.do?id=115025")</f>
        <v>https://www.fabsurplus.com/sdi_catalog/salesItemDetails.do?id=115025</v>
      </c>
      <c r="B761" s="3" t="s">
        <v>1975</v>
      </c>
      <c r="C761" s="3" t="s">
        <v>1050</v>
      </c>
      <c r="D761" s="3" t="s">
        <v>1973</v>
      </c>
      <c r="E761" s="3" t="s">
        <v>1976</v>
      </c>
      <c r="F761" s="3" t="s">
        <v>77</v>
      </c>
      <c r="G761" s="3" t="s">
        <v>26</v>
      </c>
      <c r="H761" s="3"/>
      <c r="I761" s="3"/>
      <c r="J761" s="3" t="s">
        <v>19</v>
      </c>
      <c r="K761" s="3"/>
      <c r="L761" s="3" t="s">
        <v>63</v>
      </c>
    </row>
    <row r="762" customFormat="false" ht="11.9" hidden="false" customHeight="true" outlineLevel="0" collapsed="false">
      <c r="A762" s="3" t="str">
        <f aca="false">HYPERLINK("https://www.fabsurplus.com/sdi_catalog/salesItemDetails.do?id=115012")</f>
        <v>https://www.fabsurplus.com/sdi_catalog/salesItemDetails.do?id=115012</v>
      </c>
      <c r="B762" s="3" t="s">
        <v>1977</v>
      </c>
      <c r="C762" s="3" t="s">
        <v>1050</v>
      </c>
      <c r="D762" s="3" t="s">
        <v>1978</v>
      </c>
      <c r="E762" s="3" t="s">
        <v>1979</v>
      </c>
      <c r="F762" s="3" t="s">
        <v>16</v>
      </c>
      <c r="G762" s="3" t="s">
        <v>26</v>
      </c>
      <c r="H762" s="3"/>
      <c r="I762" s="3"/>
      <c r="J762" s="3" t="s">
        <v>19</v>
      </c>
      <c r="K762" s="3"/>
      <c r="L762" s="3" t="s">
        <v>63</v>
      </c>
    </row>
    <row r="763" customFormat="false" ht="11.9" hidden="false" customHeight="true" outlineLevel="0" collapsed="false">
      <c r="A763" s="2" t="str">
        <f aca="false">HYPERLINK("https://www.fabsurplus.com/sdi_catalog/salesItemDetails.do?id=115218")</f>
        <v>https://www.fabsurplus.com/sdi_catalog/salesItemDetails.do?id=115218</v>
      </c>
      <c r="B763" s="2" t="s">
        <v>1980</v>
      </c>
      <c r="C763" s="2" t="s">
        <v>1050</v>
      </c>
      <c r="D763" s="2" t="s">
        <v>1981</v>
      </c>
      <c r="E763" s="2" t="s">
        <v>1982</v>
      </c>
      <c r="F763" s="2" t="s">
        <v>1983</v>
      </c>
      <c r="G763" s="2" t="s">
        <v>26</v>
      </c>
      <c r="H763" s="2"/>
      <c r="I763" s="2"/>
      <c r="J763" s="2" t="s">
        <v>19</v>
      </c>
      <c r="K763" s="2"/>
      <c r="L763" s="2" t="s">
        <v>63</v>
      </c>
    </row>
    <row r="764" customFormat="false" ht="11.9" hidden="false" customHeight="true" outlineLevel="0" collapsed="false">
      <c r="A764" s="3" t="str">
        <f aca="false">HYPERLINK("https://www.fabsurplus.com/sdi_catalog/salesItemDetails.do?id=115219")</f>
        <v>https://www.fabsurplus.com/sdi_catalog/salesItemDetails.do?id=115219</v>
      </c>
      <c r="B764" s="3" t="s">
        <v>1984</v>
      </c>
      <c r="C764" s="3" t="s">
        <v>1050</v>
      </c>
      <c r="D764" s="3" t="s">
        <v>1985</v>
      </c>
      <c r="E764" s="3" t="s">
        <v>1986</v>
      </c>
      <c r="F764" s="3" t="s">
        <v>16</v>
      </c>
      <c r="G764" s="3" t="s">
        <v>26</v>
      </c>
      <c r="H764" s="3"/>
      <c r="I764" s="3"/>
      <c r="J764" s="3" t="s">
        <v>19</v>
      </c>
      <c r="K764" s="3"/>
      <c r="L764" s="3" t="s">
        <v>63</v>
      </c>
    </row>
    <row r="765" customFormat="false" ht="11.9" hidden="false" customHeight="true" outlineLevel="0" collapsed="false">
      <c r="A765" s="2" t="str">
        <f aca="false">HYPERLINK("https://www.fabsurplus.com/sdi_catalog/salesItemDetails.do?id=115103")</f>
        <v>https://www.fabsurplus.com/sdi_catalog/salesItemDetails.do?id=115103</v>
      </c>
      <c r="B765" s="2" t="s">
        <v>1987</v>
      </c>
      <c r="C765" s="2" t="s">
        <v>1050</v>
      </c>
      <c r="D765" s="2" t="s">
        <v>1988</v>
      </c>
      <c r="E765" s="2" t="s">
        <v>1989</v>
      </c>
      <c r="F765" s="2" t="s">
        <v>16</v>
      </c>
      <c r="G765" s="2" t="s">
        <v>26</v>
      </c>
      <c r="H765" s="2"/>
      <c r="I765" s="2"/>
      <c r="J765" s="2" t="s">
        <v>19</v>
      </c>
      <c r="K765" s="2"/>
      <c r="L765" s="2" t="s">
        <v>63</v>
      </c>
    </row>
    <row r="766" customFormat="false" ht="11.9" hidden="false" customHeight="true" outlineLevel="0" collapsed="false">
      <c r="A766" s="3" t="str">
        <f aca="false">HYPERLINK("https://www.fabsurplus.com/sdi_catalog/salesItemDetails.do?id=115220")</f>
        <v>https://www.fabsurplus.com/sdi_catalog/salesItemDetails.do?id=115220</v>
      </c>
      <c r="B766" s="3" t="s">
        <v>1990</v>
      </c>
      <c r="C766" s="3" t="s">
        <v>1050</v>
      </c>
      <c r="D766" s="3" t="s">
        <v>1991</v>
      </c>
      <c r="E766" s="3" t="s">
        <v>1992</v>
      </c>
      <c r="F766" s="3" t="s">
        <v>77</v>
      </c>
      <c r="G766" s="3" t="s">
        <v>26</v>
      </c>
      <c r="H766" s="3"/>
      <c r="I766" s="3"/>
      <c r="J766" s="3" t="s">
        <v>19</v>
      </c>
      <c r="K766" s="3"/>
      <c r="L766" s="3" t="s">
        <v>63</v>
      </c>
    </row>
    <row r="767" customFormat="false" ht="11.9" hidden="false" customHeight="true" outlineLevel="0" collapsed="false">
      <c r="A767" s="3" t="str">
        <f aca="false">HYPERLINK("https://www.fabsurplus.com/sdi_catalog/salesItemDetails.do?id=115104")</f>
        <v>https://www.fabsurplus.com/sdi_catalog/salesItemDetails.do?id=115104</v>
      </c>
      <c r="B767" s="3" t="s">
        <v>1993</v>
      </c>
      <c r="C767" s="3" t="s">
        <v>1050</v>
      </c>
      <c r="D767" s="3" t="s">
        <v>1994</v>
      </c>
      <c r="E767" s="3" t="s">
        <v>1995</v>
      </c>
      <c r="F767" s="3" t="s">
        <v>16</v>
      </c>
      <c r="G767" s="3" t="s">
        <v>26</v>
      </c>
      <c r="H767" s="3"/>
      <c r="I767" s="3"/>
      <c r="J767" s="3" t="s">
        <v>19</v>
      </c>
      <c r="K767" s="3"/>
      <c r="L767" s="3" t="s">
        <v>63</v>
      </c>
    </row>
    <row r="768" customFormat="false" ht="11.9" hidden="false" customHeight="true" outlineLevel="0" collapsed="false">
      <c r="A768" s="3" t="str">
        <f aca="false">HYPERLINK("https://www.fabsurplus.com/sdi_catalog/salesItemDetails.do?id=115013")</f>
        <v>https://www.fabsurplus.com/sdi_catalog/salesItemDetails.do?id=115013</v>
      </c>
      <c r="B768" s="3" t="s">
        <v>1996</v>
      </c>
      <c r="C768" s="3" t="s">
        <v>1050</v>
      </c>
      <c r="D768" s="3" t="s">
        <v>1997</v>
      </c>
      <c r="E768" s="3" t="s">
        <v>1998</v>
      </c>
      <c r="F768" s="3" t="s">
        <v>16</v>
      </c>
      <c r="G768" s="3" t="s">
        <v>26</v>
      </c>
      <c r="H768" s="3"/>
      <c r="I768" s="3"/>
      <c r="J768" s="3" t="s">
        <v>19</v>
      </c>
      <c r="K768" s="3"/>
      <c r="L768" s="3" t="s">
        <v>63</v>
      </c>
    </row>
    <row r="769" customFormat="false" ht="11.9" hidden="false" customHeight="true" outlineLevel="0" collapsed="false">
      <c r="A769" s="2" t="str">
        <f aca="false">HYPERLINK("https://www.fabsurplus.com/sdi_catalog/salesItemDetails.do?id=115150")</f>
        <v>https://www.fabsurplus.com/sdi_catalog/salesItemDetails.do?id=115150</v>
      </c>
      <c r="B769" s="2" t="s">
        <v>1999</v>
      </c>
      <c r="C769" s="2" t="s">
        <v>1050</v>
      </c>
      <c r="D769" s="2" t="s">
        <v>2000</v>
      </c>
      <c r="E769" s="2" t="s">
        <v>2001</v>
      </c>
      <c r="F769" s="2" t="s">
        <v>77</v>
      </c>
      <c r="G769" s="2" t="s">
        <v>26</v>
      </c>
      <c r="H769" s="2"/>
      <c r="I769" s="2"/>
      <c r="J769" s="2" t="s">
        <v>19</v>
      </c>
      <c r="K769" s="2"/>
      <c r="L769" s="2" t="s">
        <v>63</v>
      </c>
    </row>
    <row r="770" customFormat="false" ht="11.9" hidden="false" customHeight="true" outlineLevel="0" collapsed="false">
      <c r="A770" s="3" t="str">
        <f aca="false">HYPERLINK("https://www.fabsurplus.com/sdi_catalog/salesItemDetails.do?id=114970")</f>
        <v>https://www.fabsurplus.com/sdi_catalog/salesItemDetails.do?id=114970</v>
      </c>
      <c r="B770" s="3" t="s">
        <v>2002</v>
      </c>
      <c r="C770" s="3" t="s">
        <v>1050</v>
      </c>
      <c r="D770" s="3" t="s">
        <v>2003</v>
      </c>
      <c r="E770" s="3" t="s">
        <v>2004</v>
      </c>
      <c r="F770" s="3" t="s">
        <v>16</v>
      </c>
      <c r="G770" s="3" t="s">
        <v>26</v>
      </c>
      <c r="H770" s="3"/>
      <c r="I770" s="3"/>
      <c r="J770" s="3" t="s">
        <v>19</v>
      </c>
      <c r="K770" s="3"/>
      <c r="L770" s="3" t="s">
        <v>63</v>
      </c>
    </row>
    <row r="771" customFormat="false" ht="11.9" hidden="false" customHeight="true" outlineLevel="0" collapsed="false">
      <c r="A771" s="2" t="str">
        <f aca="false">HYPERLINK("https://www.fabsurplus.com/sdi_catalog/salesItemDetails.do?id=114973")</f>
        <v>https://www.fabsurplus.com/sdi_catalog/salesItemDetails.do?id=114973</v>
      </c>
      <c r="B771" s="2" t="s">
        <v>2005</v>
      </c>
      <c r="C771" s="2" t="s">
        <v>1050</v>
      </c>
      <c r="D771" s="2" t="s">
        <v>2006</v>
      </c>
      <c r="E771" s="2" t="s">
        <v>2007</v>
      </c>
      <c r="F771" s="2" t="s">
        <v>16</v>
      </c>
      <c r="G771" s="2" t="s">
        <v>26</v>
      </c>
      <c r="H771" s="2"/>
      <c r="I771" s="2"/>
      <c r="J771" s="2" t="s">
        <v>19</v>
      </c>
      <c r="K771" s="2"/>
      <c r="L771" s="2" t="s">
        <v>63</v>
      </c>
    </row>
    <row r="772" customFormat="false" ht="11.9" hidden="false" customHeight="true" outlineLevel="0" collapsed="false">
      <c r="A772" s="2" t="str">
        <f aca="false">HYPERLINK("https://www.fabsurplus.com/sdi_catalog/salesItemDetails.do?id=115151")</f>
        <v>https://www.fabsurplus.com/sdi_catalog/salesItemDetails.do?id=115151</v>
      </c>
      <c r="B772" s="2" t="s">
        <v>2008</v>
      </c>
      <c r="C772" s="2" t="s">
        <v>1050</v>
      </c>
      <c r="D772" s="2" t="s">
        <v>2009</v>
      </c>
      <c r="E772" s="2" t="s">
        <v>2010</v>
      </c>
      <c r="F772" s="2" t="s">
        <v>16</v>
      </c>
      <c r="G772" s="2" t="s">
        <v>26</v>
      </c>
      <c r="H772" s="2"/>
      <c r="I772" s="2"/>
      <c r="J772" s="2" t="s">
        <v>19</v>
      </c>
      <c r="K772" s="2"/>
      <c r="L772" s="2" t="s">
        <v>63</v>
      </c>
    </row>
    <row r="773" customFormat="false" ht="11.9" hidden="false" customHeight="true" outlineLevel="0" collapsed="false">
      <c r="A773" s="3" t="str">
        <f aca="false">HYPERLINK("https://www.fabsurplus.com/sdi_catalog/salesItemDetails.do?id=114800")</f>
        <v>https://www.fabsurplus.com/sdi_catalog/salesItemDetails.do?id=114800</v>
      </c>
      <c r="B773" s="3" t="s">
        <v>2011</v>
      </c>
      <c r="C773" s="3" t="s">
        <v>1050</v>
      </c>
      <c r="D773" s="3" t="s">
        <v>2012</v>
      </c>
      <c r="E773" s="3" t="s">
        <v>2013</v>
      </c>
      <c r="F773" s="3" t="s">
        <v>16</v>
      </c>
      <c r="G773" s="3" t="s">
        <v>26</v>
      </c>
      <c r="H773" s="3"/>
      <c r="I773" s="3"/>
      <c r="J773" s="3" t="s">
        <v>19</v>
      </c>
      <c r="K773" s="3"/>
      <c r="L773" s="3" t="s">
        <v>63</v>
      </c>
    </row>
    <row r="774" customFormat="false" ht="11.9" hidden="false" customHeight="true" outlineLevel="0" collapsed="false">
      <c r="A774" s="3" t="str">
        <f aca="false">HYPERLINK("https://www.fabsurplus.com/sdi_catalog/salesItemDetails.do?id=115221")</f>
        <v>https://www.fabsurplus.com/sdi_catalog/salesItemDetails.do?id=115221</v>
      </c>
      <c r="B774" s="3" t="s">
        <v>2014</v>
      </c>
      <c r="C774" s="3" t="s">
        <v>1050</v>
      </c>
      <c r="D774" s="3" t="s">
        <v>2015</v>
      </c>
      <c r="E774" s="3" t="s">
        <v>2016</v>
      </c>
      <c r="F774" s="3" t="s">
        <v>16</v>
      </c>
      <c r="G774" s="3" t="s">
        <v>26</v>
      </c>
      <c r="H774" s="3"/>
      <c r="I774" s="3"/>
      <c r="J774" s="3" t="s">
        <v>19</v>
      </c>
      <c r="K774" s="3"/>
      <c r="L774" s="3" t="s">
        <v>63</v>
      </c>
    </row>
    <row r="775" customFormat="false" ht="11.9" hidden="false" customHeight="true" outlineLevel="0" collapsed="false">
      <c r="A775" s="3" t="str">
        <f aca="false">HYPERLINK("https://www.fabsurplus.com/sdi_catalog/salesItemDetails.do?id=114819")</f>
        <v>https://www.fabsurplus.com/sdi_catalog/salesItemDetails.do?id=114819</v>
      </c>
      <c r="B775" s="3" t="s">
        <v>2017</v>
      </c>
      <c r="C775" s="3" t="s">
        <v>1050</v>
      </c>
      <c r="D775" s="3" t="s">
        <v>2018</v>
      </c>
      <c r="E775" s="3" t="s">
        <v>2019</v>
      </c>
      <c r="F775" s="3" t="s">
        <v>16</v>
      </c>
      <c r="G775" s="3" t="s">
        <v>26</v>
      </c>
      <c r="H775" s="3"/>
      <c r="I775" s="3"/>
      <c r="J775" s="3" t="s">
        <v>19</v>
      </c>
      <c r="K775" s="3"/>
      <c r="L775" s="3" t="s">
        <v>63</v>
      </c>
    </row>
    <row r="776" customFormat="false" ht="11.9" hidden="false" customHeight="true" outlineLevel="0" collapsed="false">
      <c r="A776" s="2" t="str">
        <f aca="false">HYPERLINK("https://www.fabsurplus.com/sdi_catalog/salesItemDetails.do?id=115222")</f>
        <v>https://www.fabsurplus.com/sdi_catalog/salesItemDetails.do?id=115222</v>
      </c>
      <c r="B776" s="2" t="s">
        <v>2020</v>
      </c>
      <c r="C776" s="2" t="s">
        <v>1050</v>
      </c>
      <c r="D776" s="2" t="s">
        <v>2021</v>
      </c>
      <c r="E776" s="2" t="s">
        <v>2022</v>
      </c>
      <c r="F776" s="2" t="s">
        <v>77</v>
      </c>
      <c r="G776" s="2" t="s">
        <v>26</v>
      </c>
      <c r="H776" s="2"/>
      <c r="I776" s="2"/>
      <c r="J776" s="2" t="s">
        <v>19</v>
      </c>
      <c r="K776" s="2"/>
      <c r="L776" s="2" t="s">
        <v>63</v>
      </c>
    </row>
    <row r="777" customFormat="false" ht="11.9" hidden="false" customHeight="true" outlineLevel="0" collapsed="false">
      <c r="A777" s="2" t="str">
        <f aca="false">HYPERLINK("https://www.fabsurplus.com/sdi_catalog/salesItemDetails.do?id=115223")</f>
        <v>https://www.fabsurplus.com/sdi_catalog/salesItemDetails.do?id=115223</v>
      </c>
      <c r="B777" s="2" t="s">
        <v>2023</v>
      </c>
      <c r="C777" s="2" t="s">
        <v>1050</v>
      </c>
      <c r="D777" s="2" t="s">
        <v>2024</v>
      </c>
      <c r="E777" s="2" t="s">
        <v>2025</v>
      </c>
      <c r="F777" s="2" t="s">
        <v>77</v>
      </c>
      <c r="G777" s="2" t="s">
        <v>26</v>
      </c>
      <c r="H777" s="2"/>
      <c r="I777" s="2"/>
      <c r="J777" s="2" t="s">
        <v>19</v>
      </c>
      <c r="K777" s="2"/>
      <c r="L777" s="2" t="s">
        <v>63</v>
      </c>
    </row>
    <row r="778" customFormat="false" ht="11.9" hidden="false" customHeight="true" outlineLevel="0" collapsed="false">
      <c r="A778" s="3" t="str">
        <f aca="false">HYPERLINK("https://www.fabsurplus.com/sdi_catalog/salesItemDetails.do?id=114986")</f>
        <v>https://www.fabsurplus.com/sdi_catalog/salesItemDetails.do?id=114986</v>
      </c>
      <c r="B778" s="3" t="s">
        <v>2026</v>
      </c>
      <c r="C778" s="3" t="s">
        <v>1050</v>
      </c>
      <c r="D778" s="3" t="s">
        <v>2027</v>
      </c>
      <c r="E778" s="3" t="s">
        <v>2028</v>
      </c>
      <c r="F778" s="3" t="s">
        <v>77</v>
      </c>
      <c r="G778" s="3" t="s">
        <v>26</v>
      </c>
      <c r="H778" s="3"/>
      <c r="I778" s="3"/>
      <c r="J778" s="3" t="s">
        <v>19</v>
      </c>
      <c r="K778" s="3"/>
      <c r="L778" s="3" t="s">
        <v>63</v>
      </c>
    </row>
    <row r="779" customFormat="false" ht="11.9" hidden="false" customHeight="true" outlineLevel="0" collapsed="false">
      <c r="A779" s="3" t="str">
        <f aca="false">HYPERLINK("https://www.fabsurplus.com/sdi_catalog/salesItemDetails.do?id=114925")</f>
        <v>https://www.fabsurplus.com/sdi_catalog/salesItemDetails.do?id=114925</v>
      </c>
      <c r="B779" s="3" t="s">
        <v>2029</v>
      </c>
      <c r="C779" s="3" t="s">
        <v>1050</v>
      </c>
      <c r="D779" s="3" t="s">
        <v>2030</v>
      </c>
      <c r="E779" s="3" t="s">
        <v>2031</v>
      </c>
      <c r="F779" s="3" t="s">
        <v>16</v>
      </c>
      <c r="G779" s="3" t="s">
        <v>26</v>
      </c>
      <c r="H779" s="3"/>
      <c r="I779" s="3"/>
      <c r="J779" s="3" t="s">
        <v>19</v>
      </c>
      <c r="K779" s="3"/>
      <c r="L779" s="3" t="s">
        <v>63</v>
      </c>
    </row>
    <row r="780" customFormat="false" ht="11.9" hidden="false" customHeight="true" outlineLevel="0" collapsed="false">
      <c r="A780" s="3" t="str">
        <f aca="false">HYPERLINK("https://www.fabsurplus.com/sdi_catalog/salesItemDetails.do?id=115224")</f>
        <v>https://www.fabsurplus.com/sdi_catalog/salesItemDetails.do?id=115224</v>
      </c>
      <c r="B780" s="3" t="s">
        <v>2032</v>
      </c>
      <c r="C780" s="3" t="s">
        <v>1050</v>
      </c>
      <c r="D780" s="3" t="s">
        <v>2033</v>
      </c>
      <c r="E780" s="3" t="s">
        <v>2034</v>
      </c>
      <c r="F780" s="3" t="s">
        <v>16</v>
      </c>
      <c r="G780" s="3" t="s">
        <v>26</v>
      </c>
      <c r="H780" s="3"/>
      <c r="I780" s="3"/>
      <c r="J780" s="3" t="s">
        <v>19</v>
      </c>
      <c r="K780" s="3"/>
      <c r="L780" s="3" t="s">
        <v>63</v>
      </c>
    </row>
    <row r="781" customFormat="false" ht="11.9" hidden="false" customHeight="true" outlineLevel="0" collapsed="false">
      <c r="A781" s="3" t="str">
        <f aca="false">HYPERLINK("https://www.fabsurplus.com/sdi_catalog/salesItemDetails.do?id=115110")</f>
        <v>https://www.fabsurplus.com/sdi_catalog/salesItemDetails.do?id=115110</v>
      </c>
      <c r="B781" s="3" t="s">
        <v>2035</v>
      </c>
      <c r="C781" s="3" t="s">
        <v>1050</v>
      </c>
      <c r="D781" s="3" t="s">
        <v>2036</v>
      </c>
      <c r="E781" s="3" t="s">
        <v>2037</v>
      </c>
      <c r="F781" s="3" t="s">
        <v>16</v>
      </c>
      <c r="G781" s="3" t="s">
        <v>26</v>
      </c>
      <c r="H781" s="3"/>
      <c r="I781" s="3"/>
      <c r="J781" s="3" t="s">
        <v>19</v>
      </c>
      <c r="K781" s="3"/>
      <c r="L781" s="3" t="s">
        <v>63</v>
      </c>
    </row>
    <row r="782" customFormat="false" ht="11.9" hidden="false" customHeight="true" outlineLevel="0" collapsed="false">
      <c r="A782" s="2" t="str">
        <f aca="false">HYPERLINK("https://www.fabsurplus.com/sdi_catalog/salesItemDetails.do?id=115056")</f>
        <v>https://www.fabsurplus.com/sdi_catalog/salesItemDetails.do?id=115056</v>
      </c>
      <c r="B782" s="2" t="s">
        <v>2038</v>
      </c>
      <c r="C782" s="2" t="s">
        <v>1050</v>
      </c>
      <c r="D782" s="2" t="s">
        <v>2039</v>
      </c>
      <c r="E782" s="2" t="s">
        <v>2040</v>
      </c>
      <c r="F782" s="2" t="s">
        <v>16</v>
      </c>
      <c r="G782" s="2" t="s">
        <v>26</v>
      </c>
      <c r="H782" s="2"/>
      <c r="I782" s="2"/>
      <c r="J782" s="2" t="s">
        <v>19</v>
      </c>
      <c r="K782" s="2"/>
      <c r="L782" s="2" t="s">
        <v>63</v>
      </c>
    </row>
    <row r="783" customFormat="false" ht="11.9" hidden="false" customHeight="true" outlineLevel="0" collapsed="false">
      <c r="A783" s="3" t="str">
        <f aca="false">HYPERLINK("https://www.fabsurplus.com/sdi_catalog/salesItemDetails.do?id=115057")</f>
        <v>https://www.fabsurplus.com/sdi_catalog/salesItemDetails.do?id=115057</v>
      </c>
      <c r="B783" s="3" t="s">
        <v>2041</v>
      </c>
      <c r="C783" s="3" t="s">
        <v>1050</v>
      </c>
      <c r="D783" s="3" t="s">
        <v>2042</v>
      </c>
      <c r="E783" s="3" t="s">
        <v>2043</v>
      </c>
      <c r="F783" s="3" t="s">
        <v>77</v>
      </c>
      <c r="G783" s="3" t="s">
        <v>26</v>
      </c>
      <c r="H783" s="3"/>
      <c r="I783" s="3"/>
      <c r="J783" s="3" t="s">
        <v>19</v>
      </c>
      <c r="K783" s="3"/>
      <c r="L783" s="3" t="s">
        <v>63</v>
      </c>
    </row>
    <row r="784" customFormat="false" ht="11.9" hidden="false" customHeight="true" outlineLevel="0" collapsed="false">
      <c r="A784" s="2" t="str">
        <f aca="false">HYPERLINK("https://www.fabsurplus.com/sdi_catalog/salesItemDetails.do?id=115058")</f>
        <v>https://www.fabsurplus.com/sdi_catalog/salesItemDetails.do?id=115058</v>
      </c>
      <c r="B784" s="2" t="s">
        <v>2044</v>
      </c>
      <c r="C784" s="2" t="s">
        <v>1050</v>
      </c>
      <c r="D784" s="2" t="s">
        <v>2045</v>
      </c>
      <c r="E784" s="2" t="s">
        <v>2046</v>
      </c>
      <c r="F784" s="2" t="s">
        <v>16</v>
      </c>
      <c r="G784" s="2" t="s">
        <v>26</v>
      </c>
      <c r="H784" s="2"/>
      <c r="I784" s="2"/>
      <c r="J784" s="2" t="s">
        <v>19</v>
      </c>
      <c r="K784" s="2"/>
      <c r="L784" s="2" t="s">
        <v>63</v>
      </c>
    </row>
    <row r="785" customFormat="false" ht="11.9" hidden="false" customHeight="true" outlineLevel="0" collapsed="false">
      <c r="A785" s="2" t="str">
        <f aca="false">HYPERLINK("https://www.fabsurplus.com/sdi_catalog/salesItemDetails.do?id=115178")</f>
        <v>https://www.fabsurplus.com/sdi_catalog/salesItemDetails.do?id=115178</v>
      </c>
      <c r="B785" s="2" t="s">
        <v>2047</v>
      </c>
      <c r="C785" s="2" t="s">
        <v>1050</v>
      </c>
      <c r="D785" s="2" t="s">
        <v>2048</v>
      </c>
      <c r="E785" s="2" t="s">
        <v>2049</v>
      </c>
      <c r="F785" s="2" t="s">
        <v>16</v>
      </c>
      <c r="G785" s="2" t="s">
        <v>26</v>
      </c>
      <c r="H785" s="2"/>
      <c r="I785" s="2"/>
      <c r="J785" s="2" t="s">
        <v>19</v>
      </c>
      <c r="K785" s="2"/>
      <c r="L785" s="2" t="s">
        <v>63</v>
      </c>
    </row>
    <row r="786" customFormat="false" ht="11.9" hidden="false" customHeight="true" outlineLevel="0" collapsed="false">
      <c r="A786" s="2" t="str">
        <f aca="false">HYPERLINK("https://www.fabsurplus.com/sdi_catalog/salesItemDetails.do?id=114820")</f>
        <v>https://www.fabsurplus.com/sdi_catalog/salesItemDetails.do?id=114820</v>
      </c>
      <c r="B786" s="2" t="s">
        <v>2050</v>
      </c>
      <c r="C786" s="2" t="s">
        <v>1050</v>
      </c>
      <c r="D786" s="2" t="s">
        <v>2051</v>
      </c>
      <c r="E786" s="2" t="s">
        <v>1275</v>
      </c>
      <c r="F786" s="2" t="s">
        <v>16</v>
      </c>
      <c r="G786" s="2" t="s">
        <v>26</v>
      </c>
      <c r="H786" s="2"/>
      <c r="I786" s="2"/>
      <c r="J786" s="2" t="s">
        <v>19</v>
      </c>
      <c r="K786" s="2"/>
      <c r="L786" s="2" t="s">
        <v>63</v>
      </c>
    </row>
    <row r="787" customFormat="false" ht="11.9" hidden="false" customHeight="true" outlineLevel="0" collapsed="false">
      <c r="A787" s="2" t="str">
        <f aca="false">HYPERLINK("https://www.fabsurplus.com/sdi_catalog/salesItemDetails.do?id=18844")</f>
        <v>https://www.fabsurplus.com/sdi_catalog/salesItemDetails.do?id=18844</v>
      </c>
      <c r="B787" s="2" t="s">
        <v>2052</v>
      </c>
      <c r="C787" s="2" t="s">
        <v>2053</v>
      </c>
      <c r="D787" s="2" t="s">
        <v>2054</v>
      </c>
      <c r="E787" s="2" t="s">
        <v>2055</v>
      </c>
      <c r="F787" s="2" t="s">
        <v>16</v>
      </c>
      <c r="G787" s="2"/>
      <c r="H787" s="2"/>
      <c r="I787" s="2"/>
      <c r="J787" s="2" t="s">
        <v>19</v>
      </c>
      <c r="K787" s="2"/>
      <c r="L787" s="2"/>
    </row>
    <row r="788" customFormat="false" ht="11.9" hidden="false" customHeight="true" outlineLevel="0" collapsed="false">
      <c r="A788" s="2" t="str">
        <f aca="false">HYPERLINK("https://www.fabsurplus.com/sdi_catalog/salesItemDetails.do?id=114822")</f>
        <v>https://www.fabsurplus.com/sdi_catalog/salesItemDetails.do?id=114822</v>
      </c>
      <c r="B788" s="2" t="s">
        <v>2056</v>
      </c>
      <c r="C788" s="2" t="s">
        <v>1050</v>
      </c>
      <c r="D788" s="2" t="s">
        <v>2057</v>
      </c>
      <c r="E788" s="2" t="s">
        <v>1606</v>
      </c>
      <c r="F788" s="2" t="s">
        <v>104</v>
      </c>
      <c r="G788" s="2" t="s">
        <v>26</v>
      </c>
      <c r="H788" s="2"/>
      <c r="I788" s="2"/>
      <c r="J788" s="2" t="s">
        <v>19</v>
      </c>
      <c r="K788" s="2"/>
      <c r="L788" s="2" t="s">
        <v>63</v>
      </c>
    </row>
    <row r="789" customFormat="false" ht="11.9" hidden="false" customHeight="true" outlineLevel="0" collapsed="false">
      <c r="A789" s="2" t="str">
        <f aca="false">HYPERLINK("https://www.fabsurplus.com/sdi_catalog/salesItemDetails.do?id=115059")</f>
        <v>https://www.fabsurplus.com/sdi_catalog/salesItemDetails.do?id=115059</v>
      </c>
      <c r="B789" s="2" t="s">
        <v>2058</v>
      </c>
      <c r="C789" s="2" t="s">
        <v>1050</v>
      </c>
      <c r="D789" s="2" t="s">
        <v>2059</v>
      </c>
      <c r="E789" s="2" t="s">
        <v>2060</v>
      </c>
      <c r="F789" s="2" t="s">
        <v>2061</v>
      </c>
      <c r="G789" s="2" t="s">
        <v>26</v>
      </c>
      <c r="H789" s="2"/>
      <c r="I789" s="2"/>
      <c r="J789" s="2" t="s">
        <v>19</v>
      </c>
      <c r="K789" s="2"/>
      <c r="L789" s="2" t="s">
        <v>63</v>
      </c>
    </row>
    <row r="790" customFormat="false" ht="11.9" hidden="false" customHeight="true" outlineLevel="0" collapsed="false">
      <c r="A790" s="3" t="str">
        <f aca="false">HYPERLINK("https://www.fabsurplus.com/sdi_catalog/salesItemDetails.do?id=115130")</f>
        <v>https://www.fabsurplus.com/sdi_catalog/salesItemDetails.do?id=115130</v>
      </c>
      <c r="B790" s="3" t="s">
        <v>2062</v>
      </c>
      <c r="C790" s="3" t="s">
        <v>1050</v>
      </c>
      <c r="D790" s="3" t="s">
        <v>2063</v>
      </c>
      <c r="E790" s="3" t="s">
        <v>2064</v>
      </c>
      <c r="F790" s="3" t="s">
        <v>104</v>
      </c>
      <c r="G790" s="3" t="s">
        <v>26</v>
      </c>
      <c r="H790" s="3"/>
      <c r="I790" s="3"/>
      <c r="J790" s="3" t="s">
        <v>19</v>
      </c>
      <c r="K790" s="3"/>
      <c r="L790" s="3" t="s">
        <v>63</v>
      </c>
    </row>
    <row r="791" customFormat="false" ht="11.9" hidden="false" customHeight="true" outlineLevel="0" collapsed="false">
      <c r="A791" s="2" t="str">
        <f aca="false">HYPERLINK("https://www.fabsurplus.com/sdi_catalog/salesItemDetails.do?id=115225")</f>
        <v>https://www.fabsurplus.com/sdi_catalog/salesItemDetails.do?id=115225</v>
      </c>
      <c r="B791" s="2" t="s">
        <v>2065</v>
      </c>
      <c r="C791" s="2" t="s">
        <v>1050</v>
      </c>
      <c r="D791" s="2" t="s">
        <v>2066</v>
      </c>
      <c r="E791" s="2" t="s">
        <v>2067</v>
      </c>
      <c r="F791" s="2" t="s">
        <v>235</v>
      </c>
      <c r="G791" s="2" t="s">
        <v>26</v>
      </c>
      <c r="H791" s="2"/>
      <c r="I791" s="2"/>
      <c r="J791" s="2" t="s">
        <v>19</v>
      </c>
      <c r="K791" s="2"/>
      <c r="L791" s="2" t="s">
        <v>63</v>
      </c>
    </row>
    <row r="792" customFormat="false" ht="11.9" hidden="false" customHeight="true" outlineLevel="0" collapsed="false">
      <c r="A792" s="2" t="str">
        <f aca="false">HYPERLINK("https://www.fabsurplus.com/sdi_catalog/salesItemDetails.do?id=114734")</f>
        <v>https://www.fabsurplus.com/sdi_catalog/salesItemDetails.do?id=114734</v>
      </c>
      <c r="B792" s="2" t="s">
        <v>2068</v>
      </c>
      <c r="C792" s="2" t="s">
        <v>1050</v>
      </c>
      <c r="D792" s="2" t="s">
        <v>2069</v>
      </c>
      <c r="E792" s="2" t="s">
        <v>2070</v>
      </c>
      <c r="F792" s="2" t="s">
        <v>16</v>
      </c>
      <c r="G792" s="2" t="s">
        <v>26</v>
      </c>
      <c r="H792" s="2"/>
      <c r="I792" s="2"/>
      <c r="J792" s="2" t="s">
        <v>19</v>
      </c>
      <c r="K792" s="2"/>
      <c r="L792" s="2" t="s">
        <v>63</v>
      </c>
    </row>
    <row r="793" customFormat="false" ht="11.9" hidden="false" customHeight="true" outlineLevel="0" collapsed="false">
      <c r="A793" s="2" t="str">
        <f aca="false">HYPERLINK("https://www.fabsurplus.com/sdi_catalog/salesItemDetails.do?id=114892")</f>
        <v>https://www.fabsurplus.com/sdi_catalog/salesItemDetails.do?id=114892</v>
      </c>
      <c r="B793" s="2" t="s">
        <v>2071</v>
      </c>
      <c r="C793" s="2" t="s">
        <v>1050</v>
      </c>
      <c r="D793" s="2" t="s">
        <v>2072</v>
      </c>
      <c r="E793" s="2" t="s">
        <v>2073</v>
      </c>
      <c r="F793" s="2" t="s">
        <v>16</v>
      </c>
      <c r="G793" s="2" t="s">
        <v>26</v>
      </c>
      <c r="H793" s="2"/>
      <c r="I793" s="2"/>
      <c r="J793" s="2" t="s">
        <v>19</v>
      </c>
      <c r="K793" s="2"/>
      <c r="L793" s="2" t="s">
        <v>63</v>
      </c>
    </row>
    <row r="794" customFormat="false" ht="11.9" hidden="false" customHeight="true" outlineLevel="0" collapsed="false">
      <c r="A794" s="3" t="str">
        <f aca="false">HYPERLINK("https://www.fabsurplus.com/sdi_catalog/salesItemDetails.do?id=106208")</f>
        <v>https://www.fabsurplus.com/sdi_catalog/salesItemDetails.do?id=106208</v>
      </c>
      <c r="B794" s="3" t="s">
        <v>2074</v>
      </c>
      <c r="C794" s="3" t="s">
        <v>1050</v>
      </c>
      <c r="D794" s="3" t="s">
        <v>2075</v>
      </c>
      <c r="E794" s="3" t="s">
        <v>2076</v>
      </c>
      <c r="F794" s="3" t="s">
        <v>16</v>
      </c>
      <c r="G794" s="3" t="s">
        <v>26</v>
      </c>
      <c r="H794" s="3" t="s">
        <v>1691</v>
      </c>
      <c r="I794" s="4" t="n">
        <v>36312</v>
      </c>
      <c r="J794" s="3" t="s">
        <v>19</v>
      </c>
      <c r="K794" s="3" t="s">
        <v>20</v>
      </c>
      <c r="L794" s="5" t="s">
        <v>1692</v>
      </c>
    </row>
    <row r="795" customFormat="false" ht="11.9" hidden="false" customHeight="true" outlineLevel="0" collapsed="false">
      <c r="A795" s="2" t="str">
        <f aca="false">HYPERLINK("https://www.fabsurplus.com/sdi_catalog/salesItemDetails.do?id=115185")</f>
        <v>https://www.fabsurplus.com/sdi_catalog/salesItemDetails.do?id=115185</v>
      </c>
      <c r="B795" s="2" t="s">
        <v>2077</v>
      </c>
      <c r="C795" s="2" t="s">
        <v>1050</v>
      </c>
      <c r="D795" s="2" t="s">
        <v>2078</v>
      </c>
      <c r="E795" s="2" t="s">
        <v>2079</v>
      </c>
      <c r="F795" s="2" t="s">
        <v>16</v>
      </c>
      <c r="G795" s="2" t="s">
        <v>26</v>
      </c>
      <c r="H795" s="2"/>
      <c r="I795" s="2"/>
      <c r="J795" s="2" t="s">
        <v>19</v>
      </c>
      <c r="K795" s="2"/>
      <c r="L795" s="2" t="s">
        <v>63</v>
      </c>
    </row>
    <row r="796" customFormat="false" ht="11.9" hidden="false" customHeight="true" outlineLevel="0" collapsed="false">
      <c r="A796" s="2" t="str">
        <f aca="false">HYPERLINK("https://www.fabsurplus.com/sdi_catalog/salesItemDetails.do?id=115111")</f>
        <v>https://www.fabsurplus.com/sdi_catalog/salesItemDetails.do?id=115111</v>
      </c>
      <c r="B796" s="2" t="s">
        <v>2080</v>
      </c>
      <c r="C796" s="2" t="s">
        <v>1050</v>
      </c>
      <c r="D796" s="2" t="s">
        <v>2081</v>
      </c>
      <c r="E796" s="2" t="s">
        <v>2082</v>
      </c>
      <c r="F796" s="2" t="s">
        <v>16</v>
      </c>
      <c r="G796" s="2" t="s">
        <v>26</v>
      </c>
      <c r="H796" s="2"/>
      <c r="I796" s="2"/>
      <c r="J796" s="2" t="s">
        <v>19</v>
      </c>
      <c r="K796" s="2"/>
      <c r="L796" s="2" t="s">
        <v>63</v>
      </c>
    </row>
    <row r="797" customFormat="false" ht="11.9" hidden="false" customHeight="true" outlineLevel="0" collapsed="false">
      <c r="A797" s="3" t="str">
        <f aca="false">HYPERLINK("https://www.fabsurplus.com/sdi_catalog/salesItemDetails.do?id=115060")</f>
        <v>https://www.fabsurplus.com/sdi_catalog/salesItemDetails.do?id=115060</v>
      </c>
      <c r="B797" s="3" t="s">
        <v>2083</v>
      </c>
      <c r="C797" s="3" t="s">
        <v>1050</v>
      </c>
      <c r="D797" s="3" t="s">
        <v>2084</v>
      </c>
      <c r="E797" s="3" t="s">
        <v>2085</v>
      </c>
      <c r="F797" s="3" t="s">
        <v>16</v>
      </c>
      <c r="G797" s="3" t="s">
        <v>26</v>
      </c>
      <c r="H797" s="3"/>
      <c r="I797" s="3"/>
      <c r="J797" s="3" t="s">
        <v>19</v>
      </c>
      <c r="K797" s="3"/>
      <c r="L797" s="3" t="s">
        <v>63</v>
      </c>
    </row>
    <row r="798" customFormat="false" ht="11.9" hidden="false" customHeight="true" outlineLevel="0" collapsed="false">
      <c r="A798" s="2" t="str">
        <f aca="false">HYPERLINK("https://www.fabsurplus.com/sdi_catalog/salesItemDetails.do?id=114858")</f>
        <v>https://www.fabsurplus.com/sdi_catalog/salesItemDetails.do?id=114858</v>
      </c>
      <c r="B798" s="2" t="s">
        <v>2086</v>
      </c>
      <c r="C798" s="2" t="s">
        <v>1050</v>
      </c>
      <c r="D798" s="2" t="s">
        <v>2087</v>
      </c>
      <c r="E798" s="2" t="s">
        <v>2088</v>
      </c>
      <c r="F798" s="2" t="s">
        <v>77</v>
      </c>
      <c r="G798" s="2" t="s">
        <v>26</v>
      </c>
      <c r="H798" s="2"/>
      <c r="I798" s="2"/>
      <c r="J798" s="2" t="s">
        <v>19</v>
      </c>
      <c r="K798" s="2"/>
      <c r="L798" s="2" t="s">
        <v>63</v>
      </c>
    </row>
    <row r="799" customFormat="false" ht="11.9" hidden="false" customHeight="true" outlineLevel="0" collapsed="false">
      <c r="A799" s="2" t="str">
        <f aca="false">HYPERLINK("https://www.fabsurplus.com/sdi_catalog/salesItemDetails.do?id=114987")</f>
        <v>https://www.fabsurplus.com/sdi_catalog/salesItemDetails.do?id=114987</v>
      </c>
      <c r="B799" s="2" t="s">
        <v>2089</v>
      </c>
      <c r="C799" s="2" t="s">
        <v>1050</v>
      </c>
      <c r="D799" s="2" t="s">
        <v>2090</v>
      </c>
      <c r="E799" s="2" t="s">
        <v>2091</v>
      </c>
      <c r="F799" s="2" t="s">
        <v>16</v>
      </c>
      <c r="G799" s="2" t="s">
        <v>26</v>
      </c>
      <c r="H799" s="2"/>
      <c r="I799" s="2"/>
      <c r="J799" s="2" t="s">
        <v>19</v>
      </c>
      <c r="K799" s="2"/>
      <c r="L799" s="2" t="s">
        <v>63</v>
      </c>
    </row>
    <row r="800" customFormat="false" ht="11.9" hidden="false" customHeight="true" outlineLevel="0" collapsed="false">
      <c r="A800" s="2" t="str">
        <f aca="false">HYPERLINK("https://www.fabsurplus.com/sdi_catalog/salesItemDetails.do?id=114998")</f>
        <v>https://www.fabsurplus.com/sdi_catalog/salesItemDetails.do?id=114998</v>
      </c>
      <c r="B800" s="2" t="s">
        <v>2092</v>
      </c>
      <c r="C800" s="2" t="s">
        <v>1050</v>
      </c>
      <c r="D800" s="2" t="s">
        <v>2093</v>
      </c>
      <c r="E800" s="2" t="s">
        <v>2094</v>
      </c>
      <c r="F800" s="2" t="s">
        <v>104</v>
      </c>
      <c r="G800" s="2" t="s">
        <v>26</v>
      </c>
      <c r="H800" s="2"/>
      <c r="I800" s="2"/>
      <c r="J800" s="2" t="s">
        <v>19</v>
      </c>
      <c r="K800" s="2"/>
      <c r="L800" s="2" t="s">
        <v>63</v>
      </c>
    </row>
    <row r="801" customFormat="false" ht="11.9" hidden="false" customHeight="true" outlineLevel="0" collapsed="false">
      <c r="A801" s="3" t="str">
        <f aca="false">HYPERLINK("https://www.fabsurplus.com/sdi_catalog/salesItemDetails.do?id=115061")</f>
        <v>https://www.fabsurplus.com/sdi_catalog/salesItemDetails.do?id=115061</v>
      </c>
      <c r="B801" s="3" t="s">
        <v>2095</v>
      </c>
      <c r="C801" s="3" t="s">
        <v>1050</v>
      </c>
      <c r="D801" s="3" t="s">
        <v>2096</v>
      </c>
      <c r="E801" s="3" t="s">
        <v>2097</v>
      </c>
      <c r="F801" s="3" t="s">
        <v>16</v>
      </c>
      <c r="G801" s="3" t="s">
        <v>26</v>
      </c>
      <c r="H801" s="3"/>
      <c r="I801" s="3"/>
      <c r="J801" s="3" t="s">
        <v>19</v>
      </c>
      <c r="K801" s="3"/>
      <c r="L801" s="3" t="s">
        <v>63</v>
      </c>
    </row>
    <row r="802" customFormat="false" ht="11.9" hidden="false" customHeight="true" outlineLevel="0" collapsed="false">
      <c r="A802" s="3" t="str">
        <f aca="false">HYPERLINK("https://www.fabsurplus.com/sdi_catalog/salesItemDetails.do?id=114786")</f>
        <v>https://www.fabsurplus.com/sdi_catalog/salesItemDetails.do?id=114786</v>
      </c>
      <c r="B802" s="3" t="s">
        <v>2098</v>
      </c>
      <c r="C802" s="3" t="s">
        <v>1050</v>
      </c>
      <c r="D802" s="3" t="s">
        <v>2099</v>
      </c>
      <c r="E802" s="3" t="s">
        <v>1222</v>
      </c>
      <c r="F802" s="3" t="s">
        <v>16</v>
      </c>
      <c r="G802" s="3" t="s">
        <v>26</v>
      </c>
      <c r="H802" s="3"/>
      <c r="I802" s="3"/>
      <c r="J802" s="3" t="s">
        <v>19</v>
      </c>
      <c r="K802" s="3"/>
      <c r="L802" s="3" t="s">
        <v>63</v>
      </c>
    </row>
    <row r="803" customFormat="false" ht="11.9" hidden="false" customHeight="true" outlineLevel="0" collapsed="false">
      <c r="A803" s="3" t="str">
        <f aca="false">HYPERLINK("https://www.fabsurplus.com/sdi_catalog/salesItemDetails.do?id=114946")</f>
        <v>https://www.fabsurplus.com/sdi_catalog/salesItemDetails.do?id=114946</v>
      </c>
      <c r="B803" s="3" t="s">
        <v>2100</v>
      </c>
      <c r="C803" s="3" t="s">
        <v>1050</v>
      </c>
      <c r="D803" s="3" t="s">
        <v>2101</v>
      </c>
      <c r="E803" s="3" t="s">
        <v>2102</v>
      </c>
      <c r="F803" s="3" t="s">
        <v>16</v>
      </c>
      <c r="G803" s="3" t="s">
        <v>26</v>
      </c>
      <c r="H803" s="3"/>
      <c r="I803" s="3"/>
      <c r="J803" s="3" t="s">
        <v>19</v>
      </c>
      <c r="K803" s="3"/>
      <c r="L803" s="3" t="s">
        <v>63</v>
      </c>
    </row>
    <row r="804" customFormat="false" ht="11.9" hidden="false" customHeight="true" outlineLevel="0" collapsed="false">
      <c r="A804" s="3" t="str">
        <f aca="false">HYPERLINK("https://www.fabsurplus.com/sdi_catalog/salesItemDetails.do?id=114988")</f>
        <v>https://www.fabsurplus.com/sdi_catalog/salesItemDetails.do?id=114988</v>
      </c>
      <c r="B804" s="3" t="s">
        <v>2103</v>
      </c>
      <c r="C804" s="3" t="s">
        <v>1050</v>
      </c>
      <c r="D804" s="3" t="s">
        <v>2104</v>
      </c>
      <c r="E804" s="3" t="s">
        <v>2105</v>
      </c>
      <c r="F804" s="3" t="s">
        <v>77</v>
      </c>
      <c r="G804" s="3" t="s">
        <v>26</v>
      </c>
      <c r="H804" s="3"/>
      <c r="I804" s="3"/>
      <c r="J804" s="3" t="s">
        <v>19</v>
      </c>
      <c r="K804" s="3"/>
      <c r="L804" s="3" t="s">
        <v>63</v>
      </c>
    </row>
    <row r="805" customFormat="false" ht="11.9" hidden="false" customHeight="true" outlineLevel="0" collapsed="false">
      <c r="A805" s="2" t="str">
        <f aca="false">HYPERLINK("https://www.fabsurplus.com/sdi_catalog/salesItemDetails.do?id=115062")</f>
        <v>https://www.fabsurplus.com/sdi_catalog/salesItemDetails.do?id=115062</v>
      </c>
      <c r="B805" s="2" t="s">
        <v>2106</v>
      </c>
      <c r="C805" s="2" t="s">
        <v>1050</v>
      </c>
      <c r="D805" s="2" t="s">
        <v>2107</v>
      </c>
      <c r="E805" s="2" t="s">
        <v>2108</v>
      </c>
      <c r="F805" s="2" t="s">
        <v>77</v>
      </c>
      <c r="G805" s="2" t="s">
        <v>26</v>
      </c>
      <c r="H805" s="2"/>
      <c r="I805" s="2"/>
      <c r="J805" s="2" t="s">
        <v>19</v>
      </c>
      <c r="K805" s="2"/>
      <c r="L805" s="2" t="s">
        <v>63</v>
      </c>
    </row>
    <row r="806" customFormat="false" ht="11.9" hidden="false" customHeight="true" outlineLevel="0" collapsed="false">
      <c r="A806" s="2" t="str">
        <f aca="false">HYPERLINK("https://www.fabsurplus.com/sdi_catalog/salesItemDetails.do?id=115122")</f>
        <v>https://www.fabsurplus.com/sdi_catalog/salesItemDetails.do?id=115122</v>
      </c>
      <c r="B806" s="2" t="s">
        <v>2109</v>
      </c>
      <c r="C806" s="2" t="s">
        <v>1050</v>
      </c>
      <c r="D806" s="2" t="s">
        <v>2110</v>
      </c>
      <c r="E806" s="2" t="s">
        <v>2111</v>
      </c>
      <c r="F806" s="2" t="s">
        <v>16</v>
      </c>
      <c r="G806" s="2" t="s">
        <v>26</v>
      </c>
      <c r="H806" s="2"/>
      <c r="I806" s="2"/>
      <c r="J806" s="2" t="s">
        <v>19</v>
      </c>
      <c r="K806" s="2"/>
      <c r="L806" s="2" t="s">
        <v>63</v>
      </c>
    </row>
    <row r="807" customFormat="false" ht="11.9" hidden="false" customHeight="true" outlineLevel="0" collapsed="false">
      <c r="A807" s="3" t="str">
        <f aca="false">HYPERLINK("https://www.fabsurplus.com/sdi_catalog/salesItemDetails.do?id=114857")</f>
        <v>https://www.fabsurplus.com/sdi_catalog/salesItemDetails.do?id=114857</v>
      </c>
      <c r="B807" s="3" t="s">
        <v>2112</v>
      </c>
      <c r="C807" s="3" t="s">
        <v>1050</v>
      </c>
      <c r="D807" s="3" t="s">
        <v>2113</v>
      </c>
      <c r="E807" s="3" t="s">
        <v>2114</v>
      </c>
      <c r="F807" s="3" t="s">
        <v>16</v>
      </c>
      <c r="G807" s="3" t="s">
        <v>26</v>
      </c>
      <c r="H807" s="3"/>
      <c r="I807" s="3"/>
      <c r="J807" s="3" t="s">
        <v>19</v>
      </c>
      <c r="K807" s="3"/>
      <c r="L807" s="3" t="s">
        <v>63</v>
      </c>
    </row>
    <row r="808" customFormat="false" ht="11.9" hidden="false" customHeight="true" outlineLevel="0" collapsed="false">
      <c r="A808" s="2" t="str">
        <f aca="false">HYPERLINK("https://www.fabsurplus.com/sdi_catalog/salesItemDetails.do?id=114690")</f>
        <v>https://www.fabsurplus.com/sdi_catalog/salesItemDetails.do?id=114690</v>
      </c>
      <c r="B808" s="2" t="s">
        <v>2115</v>
      </c>
      <c r="C808" s="2" t="s">
        <v>1050</v>
      </c>
      <c r="D808" s="2" t="s">
        <v>2116</v>
      </c>
      <c r="E808" s="2" t="s">
        <v>2117</v>
      </c>
      <c r="F808" s="2" t="s">
        <v>16</v>
      </c>
      <c r="G808" s="2" t="s">
        <v>26</v>
      </c>
      <c r="H808" s="2"/>
      <c r="I808" s="2"/>
      <c r="J808" s="2" t="s">
        <v>19</v>
      </c>
      <c r="K808" s="2"/>
      <c r="L808" s="2" t="s">
        <v>63</v>
      </c>
    </row>
    <row r="809" customFormat="false" ht="11.9" hidden="false" customHeight="true" outlineLevel="0" collapsed="false">
      <c r="A809" s="3" t="str">
        <f aca="false">HYPERLINK("https://www.fabsurplus.com/sdi_catalog/salesItemDetails.do?id=115063")</f>
        <v>https://www.fabsurplus.com/sdi_catalog/salesItemDetails.do?id=115063</v>
      </c>
      <c r="B809" s="3" t="s">
        <v>2118</v>
      </c>
      <c r="C809" s="3" t="s">
        <v>1050</v>
      </c>
      <c r="D809" s="3" t="s">
        <v>2119</v>
      </c>
      <c r="E809" s="3" t="s">
        <v>2120</v>
      </c>
      <c r="F809" s="3" t="s">
        <v>77</v>
      </c>
      <c r="G809" s="3" t="s">
        <v>26</v>
      </c>
      <c r="H809" s="3"/>
      <c r="I809" s="3"/>
      <c r="J809" s="3" t="s">
        <v>19</v>
      </c>
      <c r="K809" s="3"/>
      <c r="L809" s="3" t="s">
        <v>63</v>
      </c>
    </row>
    <row r="810" customFormat="false" ht="11.9" hidden="false" customHeight="true" outlineLevel="0" collapsed="false">
      <c r="A810" s="3" t="str">
        <f aca="false">HYPERLINK("https://www.fabsurplus.com/sdi_catalog/salesItemDetails.do?id=115064")</f>
        <v>https://www.fabsurplus.com/sdi_catalog/salesItemDetails.do?id=115064</v>
      </c>
      <c r="B810" s="3" t="s">
        <v>2121</v>
      </c>
      <c r="C810" s="3" t="s">
        <v>1050</v>
      </c>
      <c r="D810" s="3" t="s">
        <v>2122</v>
      </c>
      <c r="E810" s="3" t="s">
        <v>1606</v>
      </c>
      <c r="F810" s="3" t="s">
        <v>77</v>
      </c>
      <c r="G810" s="3" t="s">
        <v>26</v>
      </c>
      <c r="H810" s="3"/>
      <c r="I810" s="3"/>
      <c r="J810" s="3" t="s">
        <v>19</v>
      </c>
      <c r="K810" s="3"/>
      <c r="L810" s="3" t="s">
        <v>63</v>
      </c>
    </row>
    <row r="811" customFormat="false" ht="11.9" hidden="false" customHeight="true" outlineLevel="0" collapsed="false">
      <c r="A811" s="3" t="str">
        <f aca="false">HYPERLINK("https://www.fabsurplus.com/sdi_catalog/salesItemDetails.do?id=115179")</f>
        <v>https://www.fabsurplus.com/sdi_catalog/salesItemDetails.do?id=115179</v>
      </c>
      <c r="B811" s="3" t="s">
        <v>2123</v>
      </c>
      <c r="C811" s="3" t="s">
        <v>1050</v>
      </c>
      <c r="D811" s="3" t="s">
        <v>2124</v>
      </c>
      <c r="E811" s="3" t="s">
        <v>1606</v>
      </c>
      <c r="F811" s="3" t="s">
        <v>16</v>
      </c>
      <c r="G811" s="3" t="s">
        <v>26</v>
      </c>
      <c r="H811" s="3"/>
      <c r="I811" s="3"/>
      <c r="J811" s="3" t="s">
        <v>19</v>
      </c>
      <c r="K811" s="3"/>
      <c r="L811" s="3" t="s">
        <v>63</v>
      </c>
    </row>
    <row r="812" customFormat="false" ht="11.9" hidden="false" customHeight="true" outlineLevel="0" collapsed="false">
      <c r="A812" s="2" t="str">
        <f aca="false">HYPERLINK("https://www.fabsurplus.com/sdi_catalog/salesItemDetails.do?id=115226")</f>
        <v>https://www.fabsurplus.com/sdi_catalog/salesItemDetails.do?id=115226</v>
      </c>
      <c r="B812" s="2" t="s">
        <v>2125</v>
      </c>
      <c r="C812" s="2" t="s">
        <v>1050</v>
      </c>
      <c r="D812" s="2" t="s">
        <v>2126</v>
      </c>
      <c r="E812" s="2" t="s">
        <v>2127</v>
      </c>
      <c r="F812" s="2" t="s">
        <v>16</v>
      </c>
      <c r="G812" s="2" t="s">
        <v>26</v>
      </c>
      <c r="H812" s="2"/>
      <c r="I812" s="2"/>
      <c r="J812" s="2" t="s">
        <v>19</v>
      </c>
      <c r="K812" s="2"/>
      <c r="L812" s="2" t="s">
        <v>63</v>
      </c>
    </row>
    <row r="813" customFormat="false" ht="11.9" hidden="false" customHeight="true" outlineLevel="0" collapsed="false">
      <c r="A813" s="3" t="str">
        <f aca="false">HYPERLINK("https://www.fabsurplus.com/sdi_catalog/salesItemDetails.do?id=114770")</f>
        <v>https://www.fabsurplus.com/sdi_catalog/salesItemDetails.do?id=114770</v>
      </c>
      <c r="B813" s="3" t="s">
        <v>2128</v>
      </c>
      <c r="C813" s="3" t="s">
        <v>1050</v>
      </c>
      <c r="D813" s="3" t="s">
        <v>2129</v>
      </c>
      <c r="E813" s="3" t="s">
        <v>2130</v>
      </c>
      <c r="F813" s="3" t="s">
        <v>16</v>
      </c>
      <c r="G813" s="3" t="s">
        <v>26</v>
      </c>
      <c r="H813" s="3"/>
      <c r="I813" s="3"/>
      <c r="J813" s="3" t="s">
        <v>19</v>
      </c>
      <c r="K813" s="3"/>
      <c r="L813" s="3" t="s">
        <v>63</v>
      </c>
    </row>
    <row r="814" customFormat="false" ht="11.9" hidden="false" customHeight="true" outlineLevel="0" collapsed="false">
      <c r="A814" s="2" t="str">
        <f aca="false">HYPERLINK("https://www.fabsurplus.com/sdi_catalog/salesItemDetails.do?id=114823")</f>
        <v>https://www.fabsurplus.com/sdi_catalog/salesItemDetails.do?id=114823</v>
      </c>
      <c r="B814" s="2" t="s">
        <v>2131</v>
      </c>
      <c r="C814" s="2" t="s">
        <v>1050</v>
      </c>
      <c r="D814" s="2" t="s">
        <v>2132</v>
      </c>
      <c r="E814" s="2" t="s">
        <v>2133</v>
      </c>
      <c r="F814" s="2" t="s">
        <v>16</v>
      </c>
      <c r="G814" s="2" t="s">
        <v>26</v>
      </c>
      <c r="H814" s="2"/>
      <c r="I814" s="2"/>
      <c r="J814" s="2" t="s">
        <v>19</v>
      </c>
      <c r="K814" s="2"/>
      <c r="L814" s="2" t="s">
        <v>63</v>
      </c>
    </row>
    <row r="815" customFormat="false" ht="11.9" hidden="false" customHeight="true" outlineLevel="0" collapsed="false">
      <c r="A815" s="3" t="str">
        <f aca="false">HYPERLINK("https://www.fabsurplus.com/sdi_catalog/salesItemDetails.do?id=115014")</f>
        <v>https://www.fabsurplus.com/sdi_catalog/salesItemDetails.do?id=115014</v>
      </c>
      <c r="B815" s="3" t="s">
        <v>2134</v>
      </c>
      <c r="C815" s="3" t="s">
        <v>1050</v>
      </c>
      <c r="D815" s="3" t="s">
        <v>2135</v>
      </c>
      <c r="E815" s="3" t="s">
        <v>2136</v>
      </c>
      <c r="F815" s="3" t="s">
        <v>69</v>
      </c>
      <c r="G815" s="3" t="s">
        <v>26</v>
      </c>
      <c r="H815" s="3"/>
      <c r="I815" s="3"/>
      <c r="J815" s="3" t="s">
        <v>19</v>
      </c>
      <c r="K815" s="3"/>
      <c r="L815" s="3" t="s">
        <v>63</v>
      </c>
    </row>
    <row r="816" customFormat="false" ht="11.9" hidden="false" customHeight="true" outlineLevel="0" collapsed="false">
      <c r="A816" s="3" t="str">
        <f aca="false">HYPERLINK("https://www.fabsurplus.com/sdi_catalog/salesItemDetails.do?id=114947")</f>
        <v>https://www.fabsurplus.com/sdi_catalog/salesItemDetails.do?id=114947</v>
      </c>
      <c r="B816" s="3" t="s">
        <v>2137</v>
      </c>
      <c r="C816" s="3" t="s">
        <v>1050</v>
      </c>
      <c r="D816" s="3" t="s">
        <v>2138</v>
      </c>
      <c r="E816" s="3" t="s">
        <v>1606</v>
      </c>
      <c r="F816" s="3" t="s">
        <v>16</v>
      </c>
      <c r="G816" s="3" t="s">
        <v>26</v>
      </c>
      <c r="H816" s="3"/>
      <c r="I816" s="3"/>
      <c r="J816" s="3" t="s">
        <v>19</v>
      </c>
      <c r="K816" s="3"/>
      <c r="L816" s="3" t="s">
        <v>63</v>
      </c>
    </row>
    <row r="817" customFormat="false" ht="11.9" hidden="false" customHeight="true" outlineLevel="0" collapsed="false">
      <c r="A817" s="3" t="str">
        <f aca="false">HYPERLINK("https://www.fabsurplus.com/sdi_catalog/salesItemDetails.do?id=114708")</f>
        <v>https://www.fabsurplus.com/sdi_catalog/salesItemDetails.do?id=114708</v>
      </c>
      <c r="B817" s="3" t="s">
        <v>2139</v>
      </c>
      <c r="C817" s="3" t="s">
        <v>1050</v>
      </c>
      <c r="D817" s="3" t="s">
        <v>2140</v>
      </c>
      <c r="E817" s="3" t="s">
        <v>2141</v>
      </c>
      <c r="F817" s="3" t="s">
        <v>16</v>
      </c>
      <c r="G817" s="3" t="s">
        <v>26</v>
      </c>
      <c r="H817" s="3"/>
      <c r="I817" s="3"/>
      <c r="J817" s="3" t="s">
        <v>19</v>
      </c>
      <c r="K817" s="3"/>
      <c r="L817" s="3" t="s">
        <v>63</v>
      </c>
    </row>
    <row r="818" customFormat="false" ht="11.9" hidden="false" customHeight="true" outlineLevel="0" collapsed="false">
      <c r="A818" s="2" t="str">
        <f aca="false">HYPERLINK("https://www.fabsurplus.com/sdi_catalog/salesItemDetails.do?id=114852")</f>
        <v>https://www.fabsurplus.com/sdi_catalog/salesItemDetails.do?id=114852</v>
      </c>
      <c r="B818" s="2" t="s">
        <v>2142</v>
      </c>
      <c r="C818" s="2" t="s">
        <v>1050</v>
      </c>
      <c r="D818" s="2" t="s">
        <v>2143</v>
      </c>
      <c r="E818" s="2" t="s">
        <v>2144</v>
      </c>
      <c r="F818" s="2" t="s">
        <v>16</v>
      </c>
      <c r="G818" s="2" t="s">
        <v>26</v>
      </c>
      <c r="H818" s="2"/>
      <c r="I818" s="2"/>
      <c r="J818" s="2" t="s">
        <v>19</v>
      </c>
      <c r="K818" s="2"/>
      <c r="L818" s="2" t="s">
        <v>63</v>
      </c>
    </row>
    <row r="819" customFormat="false" ht="11.9" hidden="false" customHeight="true" outlineLevel="0" collapsed="false">
      <c r="A819" s="2" t="str">
        <f aca="false">HYPERLINK("https://www.fabsurplus.com/sdi_catalog/salesItemDetails.do?id=114824")</f>
        <v>https://www.fabsurplus.com/sdi_catalog/salesItemDetails.do?id=114824</v>
      </c>
      <c r="B819" s="2" t="s">
        <v>2145</v>
      </c>
      <c r="C819" s="2" t="s">
        <v>1050</v>
      </c>
      <c r="D819" s="2" t="s">
        <v>2146</v>
      </c>
      <c r="E819" s="2" t="s">
        <v>2147</v>
      </c>
      <c r="F819" s="2" t="s">
        <v>16</v>
      </c>
      <c r="G819" s="2" t="s">
        <v>26</v>
      </c>
      <c r="H819" s="2"/>
      <c r="I819" s="2"/>
      <c r="J819" s="2" t="s">
        <v>19</v>
      </c>
      <c r="K819" s="2"/>
      <c r="L819" s="2" t="s">
        <v>63</v>
      </c>
    </row>
    <row r="820" customFormat="false" ht="11.9" hidden="false" customHeight="true" outlineLevel="0" collapsed="false">
      <c r="A820" s="3" t="str">
        <f aca="false">HYPERLINK("https://www.fabsurplus.com/sdi_catalog/salesItemDetails.do?id=114765")</f>
        <v>https://www.fabsurplus.com/sdi_catalog/salesItemDetails.do?id=114765</v>
      </c>
      <c r="B820" s="3" t="s">
        <v>2148</v>
      </c>
      <c r="C820" s="3" t="s">
        <v>1050</v>
      </c>
      <c r="D820" s="3" t="s">
        <v>2149</v>
      </c>
      <c r="E820" s="3" t="s">
        <v>2150</v>
      </c>
      <c r="F820" s="3" t="s">
        <v>77</v>
      </c>
      <c r="G820" s="3" t="s">
        <v>26</v>
      </c>
      <c r="H820" s="3"/>
      <c r="I820" s="3"/>
      <c r="J820" s="3" t="s">
        <v>19</v>
      </c>
      <c r="K820" s="3"/>
      <c r="L820" s="3" t="s">
        <v>63</v>
      </c>
    </row>
    <row r="821" customFormat="false" ht="11.9" hidden="false" customHeight="true" outlineLevel="0" collapsed="false">
      <c r="A821" s="3" t="str">
        <f aca="false">HYPERLINK("https://www.fabsurplus.com/sdi_catalog/salesItemDetails.do?id=114825")</f>
        <v>https://www.fabsurplus.com/sdi_catalog/salesItemDetails.do?id=114825</v>
      </c>
      <c r="B821" s="3" t="s">
        <v>2151</v>
      </c>
      <c r="C821" s="3" t="s">
        <v>1050</v>
      </c>
      <c r="D821" s="3" t="s">
        <v>2152</v>
      </c>
      <c r="E821" s="3" t="s">
        <v>2153</v>
      </c>
      <c r="F821" s="3" t="s">
        <v>16</v>
      </c>
      <c r="G821" s="3" t="s">
        <v>26</v>
      </c>
      <c r="H821" s="3"/>
      <c r="I821" s="3"/>
      <c r="J821" s="3" t="s">
        <v>19</v>
      </c>
      <c r="K821" s="3"/>
      <c r="L821" s="3" t="s">
        <v>63</v>
      </c>
    </row>
    <row r="822" customFormat="false" ht="11.9" hidden="false" customHeight="true" outlineLevel="0" collapsed="false">
      <c r="A822" s="3" t="str">
        <f aca="false">HYPERLINK("https://www.fabsurplus.com/sdi_catalog/salesItemDetails.do?id=115015")</f>
        <v>https://www.fabsurplus.com/sdi_catalog/salesItemDetails.do?id=115015</v>
      </c>
      <c r="B822" s="3" t="s">
        <v>2154</v>
      </c>
      <c r="C822" s="3" t="s">
        <v>1050</v>
      </c>
      <c r="D822" s="3" t="s">
        <v>2155</v>
      </c>
      <c r="E822" s="3" t="s">
        <v>2156</v>
      </c>
      <c r="F822" s="3" t="s">
        <v>16</v>
      </c>
      <c r="G822" s="3" t="s">
        <v>26</v>
      </c>
      <c r="H822" s="3"/>
      <c r="I822" s="3"/>
      <c r="J822" s="3" t="s">
        <v>19</v>
      </c>
      <c r="K822" s="3"/>
      <c r="L822" s="3" t="s">
        <v>63</v>
      </c>
    </row>
    <row r="823" customFormat="false" ht="11.9" hidden="false" customHeight="true" outlineLevel="0" collapsed="false">
      <c r="A823" s="2" t="str">
        <f aca="false">HYPERLINK("https://www.fabsurplus.com/sdi_catalog/salesItemDetails.do?id=114735")</f>
        <v>https://www.fabsurplus.com/sdi_catalog/salesItemDetails.do?id=114735</v>
      </c>
      <c r="B823" s="2" t="s">
        <v>2157</v>
      </c>
      <c r="C823" s="2" t="s">
        <v>1050</v>
      </c>
      <c r="D823" s="2" t="s">
        <v>2158</v>
      </c>
      <c r="E823" s="2" t="s">
        <v>1606</v>
      </c>
      <c r="F823" s="2" t="s">
        <v>16</v>
      </c>
      <c r="G823" s="2" t="s">
        <v>26</v>
      </c>
      <c r="H823" s="2"/>
      <c r="I823" s="2"/>
      <c r="J823" s="2" t="s">
        <v>19</v>
      </c>
      <c r="K823" s="2"/>
      <c r="L823" s="2" t="s">
        <v>63</v>
      </c>
    </row>
    <row r="824" customFormat="false" ht="11.9" hidden="false" customHeight="true" outlineLevel="0" collapsed="false">
      <c r="A824" s="3" t="str">
        <f aca="false">HYPERLINK("https://www.fabsurplus.com/sdi_catalog/salesItemDetails.do?id=115227")</f>
        <v>https://www.fabsurplus.com/sdi_catalog/salesItemDetails.do?id=115227</v>
      </c>
      <c r="B824" s="3" t="s">
        <v>2159</v>
      </c>
      <c r="C824" s="3" t="s">
        <v>1050</v>
      </c>
      <c r="D824" s="3" t="s">
        <v>2160</v>
      </c>
      <c r="E824" s="3" t="s">
        <v>2161</v>
      </c>
      <c r="F824" s="3" t="s">
        <v>16</v>
      </c>
      <c r="G824" s="3" t="s">
        <v>26</v>
      </c>
      <c r="H824" s="3"/>
      <c r="I824" s="3"/>
      <c r="J824" s="3" t="s">
        <v>19</v>
      </c>
      <c r="K824" s="3"/>
      <c r="L824" s="3" t="s">
        <v>63</v>
      </c>
    </row>
    <row r="825" customFormat="false" ht="11.9" hidden="false" customHeight="true" outlineLevel="0" collapsed="false">
      <c r="A825" s="3" t="str">
        <f aca="false">HYPERLINK("https://www.fabsurplus.com/sdi_catalog/salesItemDetails.do?id=114893")</f>
        <v>https://www.fabsurplus.com/sdi_catalog/salesItemDetails.do?id=114893</v>
      </c>
      <c r="B825" s="3" t="s">
        <v>2162</v>
      </c>
      <c r="C825" s="3" t="s">
        <v>1050</v>
      </c>
      <c r="D825" s="3" t="s">
        <v>2163</v>
      </c>
      <c r="E825" s="3" t="s">
        <v>2164</v>
      </c>
      <c r="F825" s="3" t="s">
        <v>16</v>
      </c>
      <c r="G825" s="3" t="s">
        <v>26</v>
      </c>
      <c r="H825" s="3"/>
      <c r="I825" s="3"/>
      <c r="J825" s="3" t="s">
        <v>19</v>
      </c>
      <c r="K825" s="3"/>
      <c r="L825" s="3" t="s">
        <v>63</v>
      </c>
    </row>
    <row r="826" customFormat="false" ht="11.9" hidden="false" customHeight="true" outlineLevel="0" collapsed="false">
      <c r="A826" s="3" t="str">
        <f aca="false">HYPERLINK("https://www.fabsurplus.com/sdi_catalog/salesItemDetails.do?id=114894")</f>
        <v>https://www.fabsurplus.com/sdi_catalog/salesItemDetails.do?id=114894</v>
      </c>
      <c r="B826" s="3" t="s">
        <v>2165</v>
      </c>
      <c r="C826" s="3" t="s">
        <v>1050</v>
      </c>
      <c r="D826" s="3" t="s">
        <v>2163</v>
      </c>
      <c r="E826" s="3" t="s">
        <v>2166</v>
      </c>
      <c r="F826" s="3" t="s">
        <v>16</v>
      </c>
      <c r="G826" s="3" t="s">
        <v>26</v>
      </c>
      <c r="H826" s="3"/>
      <c r="I826" s="3"/>
      <c r="J826" s="3" t="s">
        <v>19</v>
      </c>
      <c r="K826" s="3"/>
      <c r="L826" s="3" t="s">
        <v>63</v>
      </c>
    </row>
    <row r="827" customFormat="false" ht="11.9" hidden="false" customHeight="true" outlineLevel="0" collapsed="false">
      <c r="A827" s="3" t="str">
        <f aca="false">HYPERLINK("https://www.fabsurplus.com/sdi_catalog/salesItemDetails.do?id=114895")</f>
        <v>https://www.fabsurplus.com/sdi_catalog/salesItemDetails.do?id=114895</v>
      </c>
      <c r="B827" s="3" t="s">
        <v>2167</v>
      </c>
      <c r="C827" s="3" t="s">
        <v>1050</v>
      </c>
      <c r="D827" s="3" t="s">
        <v>2163</v>
      </c>
      <c r="E827" s="3" t="s">
        <v>2168</v>
      </c>
      <c r="F827" s="3" t="s">
        <v>16</v>
      </c>
      <c r="G827" s="3" t="s">
        <v>26</v>
      </c>
      <c r="H827" s="3"/>
      <c r="I827" s="3"/>
      <c r="J827" s="3" t="s">
        <v>19</v>
      </c>
      <c r="K827" s="3"/>
      <c r="L827" s="3" t="s">
        <v>63</v>
      </c>
    </row>
    <row r="828" customFormat="false" ht="11.9" hidden="false" customHeight="true" outlineLevel="0" collapsed="false">
      <c r="A828" s="2" t="str">
        <f aca="false">HYPERLINK("https://www.fabsurplus.com/sdi_catalog/salesItemDetails.do?id=114771")</f>
        <v>https://www.fabsurplus.com/sdi_catalog/salesItemDetails.do?id=114771</v>
      </c>
      <c r="B828" s="2" t="s">
        <v>2169</v>
      </c>
      <c r="C828" s="2" t="s">
        <v>1050</v>
      </c>
      <c r="D828" s="2" t="s">
        <v>2170</v>
      </c>
      <c r="E828" s="2" t="s">
        <v>2171</v>
      </c>
      <c r="F828" s="2" t="s">
        <v>16</v>
      </c>
      <c r="G828" s="2" t="s">
        <v>26</v>
      </c>
      <c r="H828" s="2"/>
      <c r="I828" s="2"/>
      <c r="J828" s="2" t="s">
        <v>19</v>
      </c>
      <c r="K828" s="2"/>
      <c r="L828" s="2" t="s">
        <v>63</v>
      </c>
    </row>
    <row r="829" customFormat="false" ht="11.9" hidden="false" customHeight="true" outlineLevel="0" collapsed="false">
      <c r="A829" s="2" t="str">
        <f aca="false">HYPERLINK("https://www.fabsurplus.com/sdi_catalog/salesItemDetails.do?id=114926")</f>
        <v>https://www.fabsurplus.com/sdi_catalog/salesItemDetails.do?id=114926</v>
      </c>
      <c r="B829" s="2" t="s">
        <v>2172</v>
      </c>
      <c r="C829" s="2" t="s">
        <v>1050</v>
      </c>
      <c r="D829" s="2" t="s">
        <v>2173</v>
      </c>
      <c r="E829" s="2" t="s">
        <v>2174</v>
      </c>
      <c r="F829" s="2" t="s">
        <v>16</v>
      </c>
      <c r="G829" s="2" t="s">
        <v>26</v>
      </c>
      <c r="H829" s="2"/>
      <c r="I829" s="2"/>
      <c r="J829" s="2" t="s">
        <v>19</v>
      </c>
      <c r="K829" s="2"/>
      <c r="L829" s="2" t="s">
        <v>63</v>
      </c>
    </row>
    <row r="830" customFormat="false" ht="11.9" hidden="false" customHeight="true" outlineLevel="0" collapsed="false">
      <c r="A830" s="3" t="str">
        <f aca="false">HYPERLINK("https://www.fabsurplus.com/sdi_catalog/salesItemDetails.do?id=115190")</f>
        <v>https://www.fabsurplus.com/sdi_catalog/salesItemDetails.do?id=115190</v>
      </c>
      <c r="B830" s="3" t="s">
        <v>2175</v>
      </c>
      <c r="C830" s="3" t="s">
        <v>1050</v>
      </c>
      <c r="D830" s="3" t="s">
        <v>2176</v>
      </c>
      <c r="E830" s="3" t="s">
        <v>2177</v>
      </c>
      <c r="F830" s="3" t="s">
        <v>77</v>
      </c>
      <c r="G830" s="3" t="s">
        <v>26</v>
      </c>
      <c r="H830" s="3"/>
      <c r="I830" s="3"/>
      <c r="J830" s="3" t="s">
        <v>19</v>
      </c>
      <c r="K830" s="3"/>
      <c r="L830" s="3" t="s">
        <v>63</v>
      </c>
    </row>
    <row r="831" customFormat="false" ht="11.9" hidden="false" customHeight="true" outlineLevel="0" collapsed="false">
      <c r="A831" s="3" t="str">
        <f aca="false">HYPERLINK("https://www.fabsurplus.com/sdi_catalog/salesItemDetails.do?id=114896")</f>
        <v>https://www.fabsurplus.com/sdi_catalog/salesItemDetails.do?id=114896</v>
      </c>
      <c r="B831" s="3" t="s">
        <v>2178</v>
      </c>
      <c r="C831" s="3" t="s">
        <v>1050</v>
      </c>
      <c r="D831" s="3" t="s">
        <v>2179</v>
      </c>
      <c r="E831" s="3" t="s">
        <v>1151</v>
      </c>
      <c r="F831" s="3" t="s">
        <v>16</v>
      </c>
      <c r="G831" s="3" t="s">
        <v>26</v>
      </c>
      <c r="H831" s="3"/>
      <c r="I831" s="3"/>
      <c r="J831" s="3" t="s">
        <v>19</v>
      </c>
      <c r="K831" s="3"/>
      <c r="L831" s="3" t="s">
        <v>63</v>
      </c>
    </row>
    <row r="832" customFormat="false" ht="11.9" hidden="false" customHeight="true" outlineLevel="0" collapsed="false">
      <c r="A832" s="3" t="str">
        <f aca="false">HYPERLINK("https://www.fabsurplus.com/sdi_catalog/salesItemDetails.do?id=115228")</f>
        <v>https://www.fabsurplus.com/sdi_catalog/salesItemDetails.do?id=115228</v>
      </c>
      <c r="B832" s="3" t="s">
        <v>2180</v>
      </c>
      <c r="C832" s="3" t="s">
        <v>1050</v>
      </c>
      <c r="D832" s="3" t="s">
        <v>2181</v>
      </c>
      <c r="E832" s="3" t="s">
        <v>2182</v>
      </c>
      <c r="F832" s="3" t="s">
        <v>69</v>
      </c>
      <c r="G832" s="3" t="s">
        <v>26</v>
      </c>
      <c r="H832" s="3"/>
      <c r="I832" s="3"/>
      <c r="J832" s="3" t="s">
        <v>19</v>
      </c>
      <c r="K832" s="3"/>
      <c r="L832" s="3" t="s">
        <v>63</v>
      </c>
    </row>
    <row r="833" customFormat="false" ht="11.9" hidden="false" customHeight="true" outlineLevel="0" collapsed="false">
      <c r="A833" s="3" t="str">
        <f aca="false">HYPERLINK("https://www.fabsurplus.com/sdi_catalog/salesItemDetails.do?id=114676")</f>
        <v>https://www.fabsurplus.com/sdi_catalog/salesItemDetails.do?id=114676</v>
      </c>
      <c r="B833" s="3" t="s">
        <v>2183</v>
      </c>
      <c r="C833" s="3" t="s">
        <v>1050</v>
      </c>
      <c r="D833" s="3" t="s">
        <v>2184</v>
      </c>
      <c r="E833" s="3" t="s">
        <v>1151</v>
      </c>
      <c r="F833" s="3" t="s">
        <v>69</v>
      </c>
      <c r="G833" s="3" t="s">
        <v>26</v>
      </c>
      <c r="H833" s="3"/>
      <c r="I833" s="3"/>
      <c r="J833" s="3" t="s">
        <v>19</v>
      </c>
      <c r="K833" s="3"/>
      <c r="L833" s="3" t="s">
        <v>63</v>
      </c>
    </row>
    <row r="834" customFormat="false" ht="11.9" hidden="false" customHeight="true" outlineLevel="0" collapsed="false">
      <c r="A834" s="3" t="str">
        <f aca="false">HYPERLINK("https://www.fabsurplus.com/sdi_catalog/salesItemDetails.do?id=114677")</f>
        <v>https://www.fabsurplus.com/sdi_catalog/salesItemDetails.do?id=114677</v>
      </c>
      <c r="B834" s="3" t="s">
        <v>2185</v>
      </c>
      <c r="C834" s="3" t="s">
        <v>1050</v>
      </c>
      <c r="D834" s="3" t="s">
        <v>2184</v>
      </c>
      <c r="E834" s="3" t="s">
        <v>1153</v>
      </c>
      <c r="F834" s="3" t="s">
        <v>16</v>
      </c>
      <c r="G834" s="3" t="s">
        <v>26</v>
      </c>
      <c r="H834" s="3"/>
      <c r="I834" s="3"/>
      <c r="J834" s="3" t="s">
        <v>19</v>
      </c>
      <c r="K834" s="3"/>
      <c r="L834" s="3" t="s">
        <v>63</v>
      </c>
    </row>
    <row r="835" customFormat="false" ht="11.9" hidden="false" customHeight="true" outlineLevel="0" collapsed="false">
      <c r="A835" s="2" t="str">
        <f aca="false">HYPERLINK("https://www.fabsurplus.com/sdi_catalog/salesItemDetails.do?id=114703")</f>
        <v>https://www.fabsurplus.com/sdi_catalog/salesItemDetails.do?id=114703</v>
      </c>
      <c r="B835" s="2" t="s">
        <v>2186</v>
      </c>
      <c r="C835" s="2" t="s">
        <v>1050</v>
      </c>
      <c r="D835" s="2" t="s">
        <v>2184</v>
      </c>
      <c r="E835" s="2" t="s">
        <v>1452</v>
      </c>
      <c r="F835" s="2" t="s">
        <v>16</v>
      </c>
      <c r="G835" s="2" t="s">
        <v>26</v>
      </c>
      <c r="H835" s="2"/>
      <c r="I835" s="2"/>
      <c r="J835" s="2" t="s">
        <v>19</v>
      </c>
      <c r="K835" s="2"/>
      <c r="L835" s="2" t="s">
        <v>63</v>
      </c>
    </row>
    <row r="836" customFormat="false" ht="11.9" hidden="false" customHeight="true" outlineLevel="0" collapsed="false">
      <c r="A836" s="2" t="str">
        <f aca="false">HYPERLINK("https://www.fabsurplus.com/sdi_catalog/salesItemDetails.do?id=114736")</f>
        <v>https://www.fabsurplus.com/sdi_catalog/salesItemDetails.do?id=114736</v>
      </c>
      <c r="B836" s="2" t="s">
        <v>2187</v>
      </c>
      <c r="C836" s="2" t="s">
        <v>1050</v>
      </c>
      <c r="D836" s="2" t="s">
        <v>2188</v>
      </c>
      <c r="E836" s="2" t="s">
        <v>2189</v>
      </c>
      <c r="F836" s="2" t="s">
        <v>16</v>
      </c>
      <c r="G836" s="2" t="s">
        <v>26</v>
      </c>
      <c r="H836" s="2"/>
      <c r="I836" s="2"/>
      <c r="J836" s="2" t="s">
        <v>19</v>
      </c>
      <c r="K836" s="2"/>
      <c r="L836" s="2" t="s">
        <v>63</v>
      </c>
    </row>
    <row r="837" customFormat="false" ht="11.9" hidden="false" customHeight="true" outlineLevel="0" collapsed="false">
      <c r="A837" s="2" t="str">
        <f aca="false">HYPERLINK("https://www.fabsurplus.com/sdi_catalog/salesItemDetails.do?id=114611")</f>
        <v>https://www.fabsurplus.com/sdi_catalog/salesItemDetails.do?id=114611</v>
      </c>
      <c r="B837" s="2" t="s">
        <v>2190</v>
      </c>
      <c r="C837" s="2" t="s">
        <v>1050</v>
      </c>
      <c r="D837" s="2" t="s">
        <v>2191</v>
      </c>
      <c r="E837" s="2" t="s">
        <v>1151</v>
      </c>
      <c r="F837" s="2" t="s">
        <v>77</v>
      </c>
      <c r="G837" s="2" t="s">
        <v>26</v>
      </c>
      <c r="H837" s="2"/>
      <c r="I837" s="2"/>
      <c r="J837" s="2" t="s">
        <v>19</v>
      </c>
      <c r="K837" s="2"/>
      <c r="L837" s="2" t="s">
        <v>63</v>
      </c>
    </row>
    <row r="838" customFormat="false" ht="11.9" hidden="false" customHeight="true" outlineLevel="0" collapsed="false">
      <c r="A838" s="2" t="str">
        <f aca="false">HYPERLINK("https://www.fabsurplus.com/sdi_catalog/salesItemDetails.do?id=114588")</f>
        <v>https://www.fabsurplus.com/sdi_catalog/salesItemDetails.do?id=114588</v>
      </c>
      <c r="B838" s="2" t="s">
        <v>2192</v>
      </c>
      <c r="C838" s="2" t="s">
        <v>1050</v>
      </c>
      <c r="D838" s="2" t="s">
        <v>2191</v>
      </c>
      <c r="E838" s="2" t="s">
        <v>2193</v>
      </c>
      <c r="F838" s="2" t="s">
        <v>16</v>
      </c>
      <c r="G838" s="2" t="s">
        <v>26</v>
      </c>
      <c r="H838" s="2"/>
      <c r="I838" s="2"/>
      <c r="J838" s="2" t="s">
        <v>19</v>
      </c>
      <c r="K838" s="2"/>
      <c r="L838" s="2" t="s">
        <v>63</v>
      </c>
    </row>
    <row r="839" customFormat="false" ht="11.9" hidden="false" customHeight="true" outlineLevel="0" collapsed="false">
      <c r="A839" s="3" t="str">
        <f aca="false">HYPERLINK("https://www.fabsurplus.com/sdi_catalog/salesItemDetails.do?id=115016")</f>
        <v>https://www.fabsurplus.com/sdi_catalog/salesItemDetails.do?id=115016</v>
      </c>
      <c r="B839" s="3" t="s">
        <v>2194</v>
      </c>
      <c r="C839" s="3" t="s">
        <v>1050</v>
      </c>
      <c r="D839" s="3" t="s">
        <v>2195</v>
      </c>
      <c r="E839" s="3" t="s">
        <v>2196</v>
      </c>
      <c r="F839" s="3" t="s">
        <v>16</v>
      </c>
      <c r="G839" s="3" t="s">
        <v>26</v>
      </c>
      <c r="H839" s="3"/>
      <c r="I839" s="3"/>
      <c r="J839" s="3" t="s">
        <v>19</v>
      </c>
      <c r="K839" s="3"/>
      <c r="L839" s="3" t="s">
        <v>63</v>
      </c>
    </row>
    <row r="840" customFormat="false" ht="11.9" hidden="false" customHeight="true" outlineLevel="0" collapsed="false">
      <c r="A840" s="3" t="str">
        <f aca="false">HYPERLINK("https://www.fabsurplus.com/sdi_catalog/salesItemDetails.do?id=114826")</f>
        <v>https://www.fabsurplus.com/sdi_catalog/salesItemDetails.do?id=114826</v>
      </c>
      <c r="B840" s="3" t="s">
        <v>2197</v>
      </c>
      <c r="C840" s="3" t="s">
        <v>1050</v>
      </c>
      <c r="D840" s="3" t="s">
        <v>2198</v>
      </c>
      <c r="E840" s="3" t="s">
        <v>2199</v>
      </c>
      <c r="F840" s="3" t="s">
        <v>16</v>
      </c>
      <c r="G840" s="3" t="s">
        <v>26</v>
      </c>
      <c r="H840" s="3"/>
      <c r="I840" s="3"/>
      <c r="J840" s="3" t="s">
        <v>19</v>
      </c>
      <c r="K840" s="3"/>
      <c r="L840" s="3" t="s">
        <v>63</v>
      </c>
    </row>
    <row r="841" customFormat="false" ht="11.9" hidden="false" customHeight="true" outlineLevel="0" collapsed="false">
      <c r="A841" s="3" t="str">
        <f aca="false">HYPERLINK("https://www.fabsurplus.com/sdi_catalog/salesItemDetails.do?id=114859")</f>
        <v>https://www.fabsurplus.com/sdi_catalog/salesItemDetails.do?id=114859</v>
      </c>
      <c r="B841" s="3" t="s">
        <v>2200</v>
      </c>
      <c r="C841" s="3" t="s">
        <v>1050</v>
      </c>
      <c r="D841" s="3" t="s">
        <v>2198</v>
      </c>
      <c r="E841" s="3" t="s">
        <v>2201</v>
      </c>
      <c r="F841" s="3" t="s">
        <v>16</v>
      </c>
      <c r="G841" s="3" t="s">
        <v>26</v>
      </c>
      <c r="H841" s="3"/>
      <c r="I841" s="3"/>
      <c r="J841" s="3" t="s">
        <v>19</v>
      </c>
      <c r="K841" s="3"/>
      <c r="L841" s="3" t="s">
        <v>63</v>
      </c>
    </row>
    <row r="842" customFormat="false" ht="11.9" hidden="false" customHeight="true" outlineLevel="0" collapsed="false">
      <c r="A842" s="3" t="str">
        <f aca="false">HYPERLINK("https://www.fabsurplus.com/sdi_catalog/salesItemDetails.do?id=114897")</f>
        <v>https://www.fabsurplus.com/sdi_catalog/salesItemDetails.do?id=114897</v>
      </c>
      <c r="B842" s="3" t="s">
        <v>2202</v>
      </c>
      <c r="C842" s="3" t="s">
        <v>1050</v>
      </c>
      <c r="D842" s="3" t="s">
        <v>2198</v>
      </c>
      <c r="E842" s="3" t="s">
        <v>2203</v>
      </c>
      <c r="F842" s="3" t="s">
        <v>16</v>
      </c>
      <c r="G842" s="3" t="s">
        <v>26</v>
      </c>
      <c r="H842" s="3"/>
      <c r="I842" s="3"/>
      <c r="J842" s="3" t="s">
        <v>19</v>
      </c>
      <c r="K842" s="3"/>
      <c r="L842" s="3" t="s">
        <v>63</v>
      </c>
    </row>
    <row r="843" customFormat="false" ht="11.9" hidden="false" customHeight="true" outlineLevel="0" collapsed="false">
      <c r="A843" s="3" t="str">
        <f aca="false">HYPERLINK("https://www.fabsurplus.com/sdi_catalog/salesItemDetails.do?id=114707")</f>
        <v>https://www.fabsurplus.com/sdi_catalog/salesItemDetails.do?id=114707</v>
      </c>
      <c r="B843" s="3" t="s">
        <v>2204</v>
      </c>
      <c r="C843" s="3" t="s">
        <v>1050</v>
      </c>
      <c r="D843" s="3" t="s">
        <v>2205</v>
      </c>
      <c r="E843" s="3" t="s">
        <v>2206</v>
      </c>
      <c r="F843" s="3" t="s">
        <v>16</v>
      </c>
      <c r="G843" s="3" t="s">
        <v>26</v>
      </c>
      <c r="H843" s="3"/>
      <c r="I843" s="3"/>
      <c r="J843" s="3" t="s">
        <v>19</v>
      </c>
      <c r="K843" s="3"/>
      <c r="L843" s="3" t="s">
        <v>63</v>
      </c>
    </row>
    <row r="844" customFormat="false" ht="11.9" hidden="false" customHeight="true" outlineLevel="0" collapsed="false">
      <c r="A844" s="2" t="str">
        <f aca="false">HYPERLINK("https://www.fabsurplus.com/sdi_catalog/salesItemDetails.do?id=115017")</f>
        <v>https://www.fabsurplus.com/sdi_catalog/salesItemDetails.do?id=115017</v>
      </c>
      <c r="B844" s="2" t="s">
        <v>2207</v>
      </c>
      <c r="C844" s="2" t="s">
        <v>1050</v>
      </c>
      <c r="D844" s="2" t="s">
        <v>2208</v>
      </c>
      <c r="E844" s="2" t="s">
        <v>2209</v>
      </c>
      <c r="F844" s="2" t="s">
        <v>16</v>
      </c>
      <c r="G844" s="2" t="s">
        <v>26</v>
      </c>
      <c r="H844" s="2"/>
      <c r="I844" s="2"/>
      <c r="J844" s="2" t="s">
        <v>19</v>
      </c>
      <c r="K844" s="2"/>
      <c r="L844" s="2" t="s">
        <v>63</v>
      </c>
    </row>
    <row r="845" customFormat="false" ht="11.9" hidden="false" customHeight="true" outlineLevel="0" collapsed="false">
      <c r="A845" s="3" t="str">
        <f aca="false">HYPERLINK("https://www.fabsurplus.com/sdi_catalog/salesItemDetails.do?id=115229")</f>
        <v>https://www.fabsurplus.com/sdi_catalog/salesItemDetails.do?id=115229</v>
      </c>
      <c r="B845" s="3" t="s">
        <v>2210</v>
      </c>
      <c r="C845" s="3" t="s">
        <v>1050</v>
      </c>
      <c r="D845" s="3" t="s">
        <v>2211</v>
      </c>
      <c r="E845" s="3" t="s">
        <v>1275</v>
      </c>
      <c r="F845" s="3" t="s">
        <v>16</v>
      </c>
      <c r="G845" s="3" t="s">
        <v>26</v>
      </c>
      <c r="H845" s="3"/>
      <c r="I845" s="3"/>
      <c r="J845" s="3" t="s">
        <v>19</v>
      </c>
      <c r="K845" s="3"/>
      <c r="L845" s="3" t="s">
        <v>63</v>
      </c>
    </row>
    <row r="846" customFormat="false" ht="11.9" hidden="false" customHeight="true" outlineLevel="0" collapsed="false">
      <c r="A846" s="3" t="str">
        <f aca="false">HYPERLINK("https://www.fabsurplus.com/sdi_catalog/salesItemDetails.do?id=114827")</f>
        <v>https://www.fabsurplus.com/sdi_catalog/salesItemDetails.do?id=114827</v>
      </c>
      <c r="B846" s="3" t="s">
        <v>2212</v>
      </c>
      <c r="C846" s="3" t="s">
        <v>1050</v>
      </c>
      <c r="D846" s="3" t="s">
        <v>2213</v>
      </c>
      <c r="E846" s="3" t="s">
        <v>1222</v>
      </c>
      <c r="F846" s="3" t="s">
        <v>16</v>
      </c>
      <c r="G846" s="3" t="s">
        <v>26</v>
      </c>
      <c r="H846" s="3"/>
      <c r="I846" s="3"/>
      <c r="J846" s="3" t="s">
        <v>19</v>
      </c>
      <c r="K846" s="3"/>
      <c r="L846" s="3" t="s">
        <v>63</v>
      </c>
    </row>
    <row r="847" customFormat="false" ht="11.9" hidden="false" customHeight="true" outlineLevel="0" collapsed="false">
      <c r="A847" s="2" t="str">
        <f aca="false">HYPERLINK("https://www.fabsurplus.com/sdi_catalog/salesItemDetails.do?id=115152")</f>
        <v>https://www.fabsurplus.com/sdi_catalog/salesItemDetails.do?id=115152</v>
      </c>
      <c r="B847" s="2" t="s">
        <v>2214</v>
      </c>
      <c r="C847" s="2" t="s">
        <v>1050</v>
      </c>
      <c r="D847" s="2" t="s">
        <v>2215</v>
      </c>
      <c r="E847" s="2" t="s">
        <v>2216</v>
      </c>
      <c r="F847" s="2" t="s">
        <v>16</v>
      </c>
      <c r="G847" s="2" t="s">
        <v>26</v>
      </c>
      <c r="H847" s="2"/>
      <c r="I847" s="2"/>
      <c r="J847" s="2" t="s">
        <v>19</v>
      </c>
      <c r="K847" s="2"/>
      <c r="L847" s="2" t="s">
        <v>63</v>
      </c>
    </row>
    <row r="848" customFormat="false" ht="11.9" hidden="false" customHeight="true" outlineLevel="0" collapsed="false">
      <c r="A848" s="3" t="str">
        <f aca="false">HYPERLINK("https://www.fabsurplus.com/sdi_catalog/salesItemDetails.do?id=115018")</f>
        <v>https://www.fabsurplus.com/sdi_catalog/salesItemDetails.do?id=115018</v>
      </c>
      <c r="B848" s="3" t="s">
        <v>2217</v>
      </c>
      <c r="C848" s="3" t="s">
        <v>1050</v>
      </c>
      <c r="D848" s="3" t="s">
        <v>2218</v>
      </c>
      <c r="E848" s="3" t="s">
        <v>2219</v>
      </c>
      <c r="F848" s="3" t="s">
        <v>16</v>
      </c>
      <c r="G848" s="3" t="s">
        <v>26</v>
      </c>
      <c r="H848" s="3"/>
      <c r="I848" s="3"/>
      <c r="J848" s="3" t="s">
        <v>19</v>
      </c>
      <c r="K848" s="3"/>
      <c r="L848" s="3" t="s">
        <v>63</v>
      </c>
    </row>
    <row r="849" customFormat="false" ht="11.9" hidden="false" customHeight="true" outlineLevel="0" collapsed="false">
      <c r="A849" s="2" t="str">
        <f aca="false">HYPERLINK("https://www.fabsurplus.com/sdi_catalog/salesItemDetails.do?id=106211")</f>
        <v>https://www.fabsurplus.com/sdi_catalog/salesItemDetails.do?id=106211</v>
      </c>
      <c r="B849" s="2" t="s">
        <v>2220</v>
      </c>
      <c r="C849" s="2" t="s">
        <v>1050</v>
      </c>
      <c r="D849" s="2" t="s">
        <v>2221</v>
      </c>
      <c r="E849" s="2" t="s">
        <v>2222</v>
      </c>
      <c r="F849" s="2" t="s">
        <v>16</v>
      </c>
      <c r="G849" s="2" t="s">
        <v>26</v>
      </c>
      <c r="H849" s="2" t="s">
        <v>1691</v>
      </c>
      <c r="I849" s="7" t="n">
        <v>36312</v>
      </c>
      <c r="J849" s="2" t="s">
        <v>19</v>
      </c>
      <c r="K849" s="2" t="s">
        <v>20</v>
      </c>
      <c r="L849" s="6" t="s">
        <v>1692</v>
      </c>
    </row>
    <row r="850" customFormat="false" ht="11.9" hidden="false" customHeight="true" outlineLevel="0" collapsed="false">
      <c r="A850" s="3" t="str">
        <f aca="false">HYPERLINK("https://www.fabsurplus.com/sdi_catalog/salesItemDetails.do?id=114948")</f>
        <v>https://www.fabsurplus.com/sdi_catalog/salesItemDetails.do?id=114948</v>
      </c>
      <c r="B850" s="3" t="s">
        <v>2223</v>
      </c>
      <c r="C850" s="3" t="s">
        <v>1050</v>
      </c>
      <c r="D850" s="3" t="s">
        <v>2224</v>
      </c>
      <c r="E850" s="3" t="s">
        <v>2225</v>
      </c>
      <c r="F850" s="3" t="s">
        <v>77</v>
      </c>
      <c r="G850" s="3" t="s">
        <v>26</v>
      </c>
      <c r="H850" s="3"/>
      <c r="I850" s="3"/>
      <c r="J850" s="3" t="s">
        <v>19</v>
      </c>
      <c r="K850" s="3"/>
      <c r="L850" s="3" t="s">
        <v>63</v>
      </c>
    </row>
    <row r="851" customFormat="false" ht="11.9" hidden="false" customHeight="true" outlineLevel="0" collapsed="false">
      <c r="A851" s="2" t="str">
        <f aca="false">HYPERLINK("https://www.fabsurplus.com/sdi_catalog/salesItemDetails.do?id=115131")</f>
        <v>https://www.fabsurplus.com/sdi_catalog/salesItemDetails.do?id=115131</v>
      </c>
      <c r="B851" s="2" t="s">
        <v>2226</v>
      </c>
      <c r="C851" s="2" t="s">
        <v>1050</v>
      </c>
      <c r="D851" s="2" t="s">
        <v>2227</v>
      </c>
      <c r="E851" s="2" t="s">
        <v>2228</v>
      </c>
      <c r="F851" s="2" t="s">
        <v>16</v>
      </c>
      <c r="G851" s="2" t="s">
        <v>26</v>
      </c>
      <c r="H851" s="2"/>
      <c r="I851" s="2"/>
      <c r="J851" s="2" t="s">
        <v>19</v>
      </c>
      <c r="K851" s="2"/>
      <c r="L851" s="2" t="s">
        <v>63</v>
      </c>
    </row>
    <row r="852" customFormat="false" ht="11.9" hidden="false" customHeight="true" outlineLevel="0" collapsed="false">
      <c r="A852" s="2" t="str">
        <f aca="false">HYPERLINK("https://www.fabsurplus.com/sdi_catalog/salesItemDetails.do?id=115186")</f>
        <v>https://www.fabsurplus.com/sdi_catalog/salesItemDetails.do?id=115186</v>
      </c>
      <c r="B852" s="2" t="s">
        <v>2229</v>
      </c>
      <c r="C852" s="2" t="s">
        <v>1050</v>
      </c>
      <c r="D852" s="2" t="s">
        <v>2230</v>
      </c>
      <c r="E852" s="2" t="s">
        <v>2231</v>
      </c>
      <c r="F852" s="2" t="s">
        <v>16</v>
      </c>
      <c r="G852" s="2" t="s">
        <v>26</v>
      </c>
      <c r="H852" s="2"/>
      <c r="I852" s="2"/>
      <c r="J852" s="2" t="s">
        <v>19</v>
      </c>
      <c r="K852" s="2"/>
      <c r="L852" s="2" t="s">
        <v>63</v>
      </c>
    </row>
    <row r="853" customFormat="false" ht="11.9" hidden="false" customHeight="true" outlineLevel="0" collapsed="false">
      <c r="A853" s="2" t="str">
        <f aca="false">HYPERLINK("https://www.fabsurplus.com/sdi_catalog/salesItemDetails.do?id=114917")</f>
        <v>https://www.fabsurplus.com/sdi_catalog/salesItemDetails.do?id=114917</v>
      </c>
      <c r="B853" s="2" t="s">
        <v>2232</v>
      </c>
      <c r="C853" s="2" t="s">
        <v>1050</v>
      </c>
      <c r="D853" s="2" t="s">
        <v>2233</v>
      </c>
      <c r="E853" s="2" t="s">
        <v>2234</v>
      </c>
      <c r="F853" s="2" t="s">
        <v>16</v>
      </c>
      <c r="G853" s="2" t="s">
        <v>26</v>
      </c>
      <c r="H853" s="2"/>
      <c r="I853" s="2"/>
      <c r="J853" s="2" t="s">
        <v>19</v>
      </c>
      <c r="K853" s="2"/>
      <c r="L853" s="2" t="s">
        <v>63</v>
      </c>
    </row>
    <row r="854" customFormat="false" ht="11.9" hidden="false" customHeight="true" outlineLevel="0" collapsed="false">
      <c r="A854" s="3" t="str">
        <f aca="false">HYPERLINK("https://www.fabsurplus.com/sdi_catalog/salesItemDetails.do?id=114949")</f>
        <v>https://www.fabsurplus.com/sdi_catalog/salesItemDetails.do?id=114949</v>
      </c>
      <c r="B854" s="3" t="s">
        <v>2235</v>
      </c>
      <c r="C854" s="3" t="s">
        <v>1050</v>
      </c>
      <c r="D854" s="3" t="s">
        <v>2236</v>
      </c>
      <c r="E854" s="3" t="s">
        <v>2237</v>
      </c>
      <c r="F854" s="3" t="s">
        <v>16</v>
      </c>
      <c r="G854" s="3" t="s">
        <v>26</v>
      </c>
      <c r="H854" s="3"/>
      <c r="I854" s="3"/>
      <c r="J854" s="3" t="s">
        <v>19</v>
      </c>
      <c r="K854" s="3"/>
      <c r="L854" s="3" t="s">
        <v>63</v>
      </c>
    </row>
    <row r="855" customFormat="false" ht="11.9" hidden="false" customHeight="true" outlineLevel="0" collapsed="false">
      <c r="A855" s="3" t="str">
        <f aca="false">HYPERLINK("https://www.fabsurplus.com/sdi_catalog/salesItemDetails.do?id=106212")</f>
        <v>https://www.fabsurplus.com/sdi_catalog/salesItemDetails.do?id=106212</v>
      </c>
      <c r="B855" s="3" t="s">
        <v>2238</v>
      </c>
      <c r="C855" s="3" t="s">
        <v>1050</v>
      </c>
      <c r="D855" s="3" t="s">
        <v>2239</v>
      </c>
      <c r="E855" s="3" t="s">
        <v>2240</v>
      </c>
      <c r="F855" s="3" t="s">
        <v>16</v>
      </c>
      <c r="G855" s="3" t="s">
        <v>26</v>
      </c>
      <c r="H855" s="3" t="s">
        <v>1691</v>
      </c>
      <c r="I855" s="4" t="n">
        <v>36312</v>
      </c>
      <c r="J855" s="3" t="s">
        <v>19</v>
      </c>
      <c r="K855" s="3" t="s">
        <v>20</v>
      </c>
      <c r="L855" s="5" t="s">
        <v>1692</v>
      </c>
    </row>
    <row r="856" customFormat="false" ht="11.9" hidden="false" customHeight="true" outlineLevel="0" collapsed="false">
      <c r="A856" s="2" t="str">
        <f aca="false">HYPERLINK("https://www.fabsurplus.com/sdi_catalog/salesItemDetails.do?id=71931")</f>
        <v>https://www.fabsurplus.com/sdi_catalog/salesItemDetails.do?id=71931</v>
      </c>
      <c r="B856" s="2" t="s">
        <v>2241</v>
      </c>
      <c r="C856" s="2" t="s">
        <v>1050</v>
      </c>
      <c r="D856" s="2" t="s">
        <v>2242</v>
      </c>
      <c r="E856" s="2" t="s">
        <v>2243</v>
      </c>
      <c r="F856" s="2" t="s">
        <v>16</v>
      </c>
      <c r="G856" s="2" t="s">
        <v>17</v>
      </c>
      <c r="H856" s="2" t="s">
        <v>1691</v>
      </c>
      <c r="I856" s="7" t="n">
        <v>36312</v>
      </c>
      <c r="J856" s="2" t="s">
        <v>19</v>
      </c>
      <c r="K856" s="2" t="s">
        <v>20</v>
      </c>
      <c r="L856" s="6" t="s">
        <v>1711</v>
      </c>
    </row>
    <row r="857" customFormat="false" ht="11.9" hidden="false" customHeight="true" outlineLevel="0" collapsed="false">
      <c r="A857" s="2" t="str">
        <f aca="false">HYPERLINK("https://www.fabsurplus.com/sdi_catalog/salesItemDetails.do?id=115230")</f>
        <v>https://www.fabsurplus.com/sdi_catalog/salesItemDetails.do?id=115230</v>
      </c>
      <c r="B857" s="2" t="s">
        <v>2244</v>
      </c>
      <c r="C857" s="2" t="s">
        <v>1050</v>
      </c>
      <c r="D857" s="2" t="s">
        <v>2245</v>
      </c>
      <c r="E857" s="2" t="s">
        <v>1222</v>
      </c>
      <c r="F857" s="2" t="s">
        <v>16</v>
      </c>
      <c r="G857" s="2" t="s">
        <v>26</v>
      </c>
      <c r="H857" s="2"/>
      <c r="I857" s="2"/>
      <c r="J857" s="2" t="s">
        <v>19</v>
      </c>
      <c r="K857" s="2"/>
      <c r="L857" s="2" t="s">
        <v>63</v>
      </c>
    </row>
    <row r="858" customFormat="false" ht="11.9" hidden="false" customHeight="true" outlineLevel="0" collapsed="false">
      <c r="A858" s="2" t="str">
        <f aca="false">HYPERLINK("https://www.fabsurplus.com/sdi_catalog/salesItemDetails.do?id=114654")</f>
        <v>https://www.fabsurplus.com/sdi_catalog/salesItemDetails.do?id=114654</v>
      </c>
      <c r="B858" s="2" t="s">
        <v>2246</v>
      </c>
      <c r="C858" s="2" t="s">
        <v>1050</v>
      </c>
      <c r="D858" s="2" t="s">
        <v>2247</v>
      </c>
      <c r="E858" s="2" t="s">
        <v>2248</v>
      </c>
      <c r="F858" s="2" t="s">
        <v>16</v>
      </c>
      <c r="G858" s="2" t="s">
        <v>26</v>
      </c>
      <c r="H858" s="2"/>
      <c r="I858" s="2"/>
      <c r="J858" s="2" t="s">
        <v>19</v>
      </c>
      <c r="K858" s="2"/>
      <c r="L858" s="2" t="s">
        <v>63</v>
      </c>
    </row>
    <row r="859" customFormat="false" ht="11.9" hidden="false" customHeight="true" outlineLevel="0" collapsed="false">
      <c r="A859" s="3" t="str">
        <f aca="false">HYPERLINK("https://www.fabsurplus.com/sdi_catalog/salesItemDetails.do?id=18843")</f>
        <v>https://www.fabsurplus.com/sdi_catalog/salesItemDetails.do?id=18843</v>
      </c>
      <c r="B859" s="3" t="s">
        <v>2249</v>
      </c>
      <c r="C859" s="3" t="s">
        <v>2053</v>
      </c>
      <c r="D859" s="3" t="s">
        <v>2250</v>
      </c>
      <c r="E859" s="3" t="s">
        <v>2251</v>
      </c>
      <c r="F859" s="3" t="s">
        <v>16</v>
      </c>
      <c r="G859" s="3"/>
      <c r="H859" s="3"/>
      <c r="I859" s="3"/>
      <c r="J859" s="3" t="s">
        <v>19</v>
      </c>
      <c r="K859" s="3"/>
      <c r="L859" s="3"/>
    </row>
    <row r="860" customFormat="false" ht="11.9" hidden="false" customHeight="true" outlineLevel="0" collapsed="false">
      <c r="A860" s="2" t="str">
        <f aca="false">HYPERLINK("https://www.fabsurplus.com/sdi_catalog/salesItemDetails.do?id=115187")</f>
        <v>https://www.fabsurplus.com/sdi_catalog/salesItemDetails.do?id=115187</v>
      </c>
      <c r="B860" s="2" t="s">
        <v>2252</v>
      </c>
      <c r="C860" s="2" t="s">
        <v>1050</v>
      </c>
      <c r="D860" s="2" t="s">
        <v>2253</v>
      </c>
      <c r="E860" s="2" t="s">
        <v>2254</v>
      </c>
      <c r="F860" s="2" t="s">
        <v>77</v>
      </c>
      <c r="G860" s="2" t="s">
        <v>26</v>
      </c>
      <c r="H860" s="2"/>
      <c r="I860" s="2"/>
      <c r="J860" s="2" t="s">
        <v>19</v>
      </c>
      <c r="K860" s="2"/>
      <c r="L860" s="2" t="s">
        <v>63</v>
      </c>
    </row>
    <row r="861" customFormat="false" ht="11.9" hidden="false" customHeight="true" outlineLevel="0" collapsed="false">
      <c r="A861" s="3" t="str">
        <f aca="false">HYPERLINK("https://www.fabsurplus.com/sdi_catalog/salesItemDetails.do?id=114737")</f>
        <v>https://www.fabsurplus.com/sdi_catalog/salesItemDetails.do?id=114737</v>
      </c>
      <c r="B861" s="3" t="s">
        <v>2255</v>
      </c>
      <c r="C861" s="3" t="s">
        <v>1050</v>
      </c>
      <c r="D861" s="3" t="s">
        <v>2256</v>
      </c>
      <c r="E861" s="3" t="s">
        <v>2257</v>
      </c>
      <c r="F861" s="3" t="s">
        <v>16</v>
      </c>
      <c r="G861" s="3" t="s">
        <v>26</v>
      </c>
      <c r="H861" s="3"/>
      <c r="I861" s="3"/>
      <c r="J861" s="3" t="s">
        <v>19</v>
      </c>
      <c r="K861" s="3"/>
      <c r="L861" s="3" t="s">
        <v>63</v>
      </c>
    </row>
    <row r="862" customFormat="false" ht="11.9" hidden="false" customHeight="true" outlineLevel="0" collapsed="false">
      <c r="A862" s="2" t="str">
        <f aca="false">HYPERLINK("https://www.fabsurplus.com/sdi_catalog/salesItemDetails.do?id=114898")</f>
        <v>https://www.fabsurplus.com/sdi_catalog/salesItemDetails.do?id=114898</v>
      </c>
      <c r="B862" s="2" t="s">
        <v>2258</v>
      </c>
      <c r="C862" s="2" t="s">
        <v>1050</v>
      </c>
      <c r="D862" s="2" t="s">
        <v>2259</v>
      </c>
      <c r="E862" s="2" t="s">
        <v>2260</v>
      </c>
      <c r="F862" s="2" t="s">
        <v>16</v>
      </c>
      <c r="G862" s="2" t="s">
        <v>26</v>
      </c>
      <c r="H862" s="2"/>
      <c r="I862" s="2"/>
      <c r="J862" s="2" t="s">
        <v>19</v>
      </c>
      <c r="K862" s="2"/>
      <c r="L862" s="2" t="s">
        <v>63</v>
      </c>
    </row>
    <row r="863" customFormat="false" ht="11.9" hidden="false" customHeight="true" outlineLevel="0" collapsed="false">
      <c r="A863" s="2" t="str">
        <f aca="false">HYPERLINK("https://www.fabsurplus.com/sdi_catalog/salesItemDetails.do?id=115065")</f>
        <v>https://www.fabsurplus.com/sdi_catalog/salesItemDetails.do?id=115065</v>
      </c>
      <c r="B863" s="2" t="s">
        <v>2261</v>
      </c>
      <c r="C863" s="2" t="s">
        <v>1050</v>
      </c>
      <c r="D863" s="2" t="s">
        <v>2262</v>
      </c>
      <c r="E863" s="2" t="s">
        <v>2263</v>
      </c>
      <c r="F863" s="2" t="s">
        <v>16</v>
      </c>
      <c r="G863" s="2" t="s">
        <v>26</v>
      </c>
      <c r="H863" s="2"/>
      <c r="I863" s="2"/>
      <c r="J863" s="2" t="s">
        <v>19</v>
      </c>
      <c r="K863" s="2"/>
      <c r="L863" s="2" t="s">
        <v>63</v>
      </c>
    </row>
    <row r="864" customFormat="false" ht="11.9" hidden="false" customHeight="true" outlineLevel="0" collapsed="false">
      <c r="A864" s="3" t="str">
        <f aca="false">HYPERLINK("https://www.fabsurplus.com/sdi_catalog/salesItemDetails.do?id=114918")</f>
        <v>https://www.fabsurplus.com/sdi_catalog/salesItemDetails.do?id=114918</v>
      </c>
      <c r="B864" s="3" t="s">
        <v>2264</v>
      </c>
      <c r="C864" s="3" t="s">
        <v>1050</v>
      </c>
      <c r="D864" s="3" t="s">
        <v>2265</v>
      </c>
      <c r="E864" s="3" t="s">
        <v>2266</v>
      </c>
      <c r="F864" s="3" t="s">
        <v>16</v>
      </c>
      <c r="G864" s="3" t="s">
        <v>26</v>
      </c>
      <c r="H864" s="3"/>
      <c r="I864" s="3"/>
      <c r="J864" s="3" t="s">
        <v>19</v>
      </c>
      <c r="K864" s="3"/>
      <c r="L864" s="3" t="s">
        <v>63</v>
      </c>
    </row>
    <row r="865" customFormat="false" ht="11.9" hidden="false" customHeight="true" outlineLevel="0" collapsed="false">
      <c r="A865" s="3" t="str">
        <f aca="false">HYPERLINK("https://www.fabsurplus.com/sdi_catalog/salesItemDetails.do?id=114974")</f>
        <v>https://www.fabsurplus.com/sdi_catalog/salesItemDetails.do?id=114974</v>
      </c>
      <c r="B865" s="3" t="s">
        <v>2267</v>
      </c>
      <c r="C865" s="3" t="s">
        <v>1050</v>
      </c>
      <c r="D865" s="3" t="s">
        <v>2268</v>
      </c>
      <c r="E865" s="3" t="s">
        <v>2269</v>
      </c>
      <c r="F865" s="3" t="s">
        <v>16</v>
      </c>
      <c r="G865" s="3" t="s">
        <v>26</v>
      </c>
      <c r="H865" s="3"/>
      <c r="I865" s="3"/>
      <c r="J865" s="3" t="s">
        <v>19</v>
      </c>
      <c r="K865" s="3"/>
      <c r="L865" s="3" t="s">
        <v>63</v>
      </c>
    </row>
    <row r="866" customFormat="false" ht="11.9" hidden="false" customHeight="true" outlineLevel="0" collapsed="false">
      <c r="A866" s="3" t="str">
        <f aca="false">HYPERLINK("https://www.fabsurplus.com/sdi_catalog/salesItemDetails.do?id=115066")</f>
        <v>https://www.fabsurplus.com/sdi_catalog/salesItemDetails.do?id=115066</v>
      </c>
      <c r="B866" s="3" t="s">
        <v>2270</v>
      </c>
      <c r="C866" s="3" t="s">
        <v>1050</v>
      </c>
      <c r="D866" s="3" t="s">
        <v>2271</v>
      </c>
      <c r="E866" s="3" t="s">
        <v>2272</v>
      </c>
      <c r="F866" s="3" t="s">
        <v>16</v>
      </c>
      <c r="G866" s="3" t="s">
        <v>26</v>
      </c>
      <c r="H866" s="3"/>
      <c r="I866" s="3"/>
      <c r="J866" s="3" t="s">
        <v>19</v>
      </c>
      <c r="K866" s="3"/>
      <c r="L866" s="3" t="s">
        <v>63</v>
      </c>
    </row>
    <row r="867" customFormat="false" ht="11.9" hidden="false" customHeight="true" outlineLevel="0" collapsed="false">
      <c r="A867" s="2" t="str">
        <f aca="false">HYPERLINK("https://www.fabsurplus.com/sdi_catalog/salesItemDetails.do?id=114801")</f>
        <v>https://www.fabsurplus.com/sdi_catalog/salesItemDetails.do?id=114801</v>
      </c>
      <c r="B867" s="2" t="s">
        <v>2273</v>
      </c>
      <c r="C867" s="2" t="s">
        <v>1050</v>
      </c>
      <c r="D867" s="2" t="s">
        <v>2274</v>
      </c>
      <c r="E867" s="2" t="s">
        <v>2275</v>
      </c>
      <c r="F867" s="2" t="s">
        <v>16</v>
      </c>
      <c r="G867" s="2" t="s">
        <v>26</v>
      </c>
      <c r="H867" s="2"/>
      <c r="I867" s="2"/>
      <c r="J867" s="2" t="s">
        <v>19</v>
      </c>
      <c r="K867" s="2"/>
      <c r="L867" s="2" t="s">
        <v>63</v>
      </c>
    </row>
    <row r="868" customFormat="false" ht="11.9" hidden="false" customHeight="true" outlineLevel="0" collapsed="false">
      <c r="A868" s="3" t="str">
        <f aca="false">HYPERLINK("https://www.fabsurplus.com/sdi_catalog/salesItemDetails.do?id=114630")</f>
        <v>https://www.fabsurplus.com/sdi_catalog/salesItemDetails.do?id=114630</v>
      </c>
      <c r="B868" s="3" t="s">
        <v>2276</v>
      </c>
      <c r="C868" s="3" t="s">
        <v>1050</v>
      </c>
      <c r="D868" s="3" t="s">
        <v>2277</v>
      </c>
      <c r="E868" s="3" t="s">
        <v>2278</v>
      </c>
      <c r="F868" s="3" t="s">
        <v>16</v>
      </c>
      <c r="G868" s="3" t="s">
        <v>26</v>
      </c>
      <c r="H868" s="3"/>
      <c r="I868" s="3"/>
      <c r="J868" s="3" t="s">
        <v>19</v>
      </c>
      <c r="K868" s="3"/>
      <c r="L868" s="3" t="s">
        <v>63</v>
      </c>
    </row>
    <row r="869" customFormat="false" ht="11.9" hidden="false" customHeight="true" outlineLevel="0" collapsed="false">
      <c r="A869" s="3" t="str">
        <f aca="false">HYPERLINK("https://www.fabsurplus.com/sdi_catalog/salesItemDetails.do?id=114802")</f>
        <v>https://www.fabsurplus.com/sdi_catalog/salesItemDetails.do?id=114802</v>
      </c>
      <c r="B869" s="3" t="s">
        <v>2279</v>
      </c>
      <c r="C869" s="3" t="s">
        <v>1050</v>
      </c>
      <c r="D869" s="3" t="s">
        <v>2280</v>
      </c>
      <c r="E869" s="3" t="s">
        <v>2281</v>
      </c>
      <c r="F869" s="3" t="s">
        <v>16</v>
      </c>
      <c r="G869" s="3" t="s">
        <v>26</v>
      </c>
      <c r="H869" s="3"/>
      <c r="I869" s="3"/>
      <c r="J869" s="3" t="s">
        <v>19</v>
      </c>
      <c r="K869" s="3"/>
      <c r="L869" s="3" t="s">
        <v>63</v>
      </c>
    </row>
    <row r="870" customFormat="false" ht="11.9" hidden="false" customHeight="true" outlineLevel="0" collapsed="false">
      <c r="A870" s="2" t="str">
        <f aca="false">HYPERLINK("https://www.fabsurplus.com/sdi_catalog/salesItemDetails.do?id=114684")</f>
        <v>https://www.fabsurplus.com/sdi_catalog/salesItemDetails.do?id=114684</v>
      </c>
      <c r="B870" s="2" t="s">
        <v>2282</v>
      </c>
      <c r="C870" s="2" t="s">
        <v>1050</v>
      </c>
      <c r="D870" s="2" t="s">
        <v>2283</v>
      </c>
      <c r="E870" s="2" t="s">
        <v>1275</v>
      </c>
      <c r="F870" s="2" t="s">
        <v>77</v>
      </c>
      <c r="G870" s="2" t="s">
        <v>26</v>
      </c>
      <c r="H870" s="2"/>
      <c r="I870" s="2"/>
      <c r="J870" s="2" t="s">
        <v>19</v>
      </c>
      <c r="K870" s="2"/>
      <c r="L870" s="2" t="s">
        <v>63</v>
      </c>
    </row>
    <row r="871" customFormat="false" ht="11.9" hidden="false" customHeight="true" outlineLevel="0" collapsed="false">
      <c r="A871" s="2" t="str">
        <f aca="false">HYPERLINK("https://www.fabsurplus.com/sdi_catalog/salesItemDetails.do?id=114828")</f>
        <v>https://www.fabsurplus.com/sdi_catalog/salesItemDetails.do?id=114828</v>
      </c>
      <c r="B871" s="2" t="s">
        <v>2284</v>
      </c>
      <c r="C871" s="2" t="s">
        <v>1050</v>
      </c>
      <c r="D871" s="2" t="s">
        <v>2285</v>
      </c>
      <c r="E871" s="2" t="s">
        <v>2286</v>
      </c>
      <c r="F871" s="2" t="s">
        <v>16</v>
      </c>
      <c r="G871" s="2" t="s">
        <v>26</v>
      </c>
      <c r="H871" s="2"/>
      <c r="I871" s="2"/>
      <c r="J871" s="2" t="s">
        <v>19</v>
      </c>
      <c r="K871" s="2"/>
      <c r="L871" s="2" t="s">
        <v>63</v>
      </c>
    </row>
    <row r="872" customFormat="false" ht="11.9" hidden="false" customHeight="true" outlineLevel="0" collapsed="false">
      <c r="A872" s="2" t="str">
        <f aca="false">HYPERLINK("https://www.fabsurplus.com/sdi_catalog/salesItemDetails.do?id=115153")</f>
        <v>https://www.fabsurplus.com/sdi_catalog/salesItemDetails.do?id=115153</v>
      </c>
      <c r="B872" s="2" t="s">
        <v>2287</v>
      </c>
      <c r="C872" s="2" t="s">
        <v>1050</v>
      </c>
      <c r="D872" s="2" t="s">
        <v>2288</v>
      </c>
      <c r="E872" s="2" t="s">
        <v>1275</v>
      </c>
      <c r="F872" s="2" t="s">
        <v>16</v>
      </c>
      <c r="G872" s="2" t="s">
        <v>26</v>
      </c>
      <c r="H872" s="2"/>
      <c r="I872" s="2"/>
      <c r="J872" s="2" t="s">
        <v>19</v>
      </c>
      <c r="K872" s="2"/>
      <c r="L872" s="2" t="s">
        <v>63</v>
      </c>
    </row>
    <row r="873" customFormat="false" ht="11.9" hidden="false" customHeight="true" outlineLevel="0" collapsed="false">
      <c r="A873" s="3" t="str">
        <f aca="false">HYPERLINK("https://www.fabsurplus.com/sdi_catalog/salesItemDetails.do?id=114950")</f>
        <v>https://www.fabsurplus.com/sdi_catalog/salesItemDetails.do?id=114950</v>
      </c>
      <c r="B873" s="3" t="s">
        <v>2289</v>
      </c>
      <c r="C873" s="3" t="s">
        <v>1050</v>
      </c>
      <c r="D873" s="3" t="s">
        <v>2288</v>
      </c>
      <c r="E873" s="3" t="s">
        <v>1606</v>
      </c>
      <c r="F873" s="3" t="s">
        <v>16</v>
      </c>
      <c r="G873" s="3" t="s">
        <v>26</v>
      </c>
      <c r="H873" s="3"/>
      <c r="I873" s="3"/>
      <c r="J873" s="3" t="s">
        <v>19</v>
      </c>
      <c r="K873" s="3"/>
      <c r="L873" s="3" t="s">
        <v>63</v>
      </c>
    </row>
    <row r="874" customFormat="false" ht="11.9" hidden="false" customHeight="true" outlineLevel="0" collapsed="false">
      <c r="A874" s="3" t="str">
        <f aca="false">HYPERLINK("https://www.fabsurplus.com/sdi_catalog/salesItemDetails.do?id=114899")</f>
        <v>https://www.fabsurplus.com/sdi_catalog/salesItemDetails.do?id=114899</v>
      </c>
      <c r="B874" s="3" t="s">
        <v>2290</v>
      </c>
      <c r="C874" s="3" t="s">
        <v>1050</v>
      </c>
      <c r="D874" s="3" t="s">
        <v>2291</v>
      </c>
      <c r="E874" s="3" t="s">
        <v>2292</v>
      </c>
      <c r="F874" s="3" t="s">
        <v>2293</v>
      </c>
      <c r="G874" s="3" t="s">
        <v>26</v>
      </c>
      <c r="H874" s="3"/>
      <c r="I874" s="3"/>
      <c r="J874" s="3" t="s">
        <v>19</v>
      </c>
      <c r="K874" s="3"/>
      <c r="L874" s="3" t="s">
        <v>63</v>
      </c>
    </row>
    <row r="875" customFormat="false" ht="11.9" hidden="false" customHeight="true" outlineLevel="0" collapsed="false">
      <c r="A875" s="3" t="str">
        <f aca="false">HYPERLINK("https://www.fabsurplus.com/sdi_catalog/salesItemDetails.do?id=106214")</f>
        <v>https://www.fabsurplus.com/sdi_catalog/salesItemDetails.do?id=106214</v>
      </c>
      <c r="B875" s="3" t="s">
        <v>2294</v>
      </c>
      <c r="C875" s="3" t="s">
        <v>1050</v>
      </c>
      <c r="D875" s="3" t="s">
        <v>2295</v>
      </c>
      <c r="E875" s="3" t="s">
        <v>2296</v>
      </c>
      <c r="F875" s="3" t="s">
        <v>104</v>
      </c>
      <c r="G875" s="3" t="s">
        <v>26</v>
      </c>
      <c r="H875" s="3" t="s">
        <v>1691</v>
      </c>
      <c r="I875" s="4" t="n">
        <v>36312</v>
      </c>
      <c r="J875" s="3" t="s">
        <v>19</v>
      </c>
      <c r="K875" s="3" t="s">
        <v>20</v>
      </c>
      <c r="L875" s="5" t="s">
        <v>1692</v>
      </c>
    </row>
    <row r="876" customFormat="false" ht="11.9" hidden="false" customHeight="true" outlineLevel="0" collapsed="false">
      <c r="A876" s="3" t="str">
        <f aca="false">HYPERLINK("https://www.fabsurplus.com/sdi_catalog/salesItemDetails.do?id=106226")</f>
        <v>https://www.fabsurplus.com/sdi_catalog/salesItemDetails.do?id=106226</v>
      </c>
      <c r="B876" s="3" t="s">
        <v>2297</v>
      </c>
      <c r="C876" s="3" t="s">
        <v>1050</v>
      </c>
      <c r="D876" s="3" t="s">
        <v>2295</v>
      </c>
      <c r="E876" s="3" t="s">
        <v>2296</v>
      </c>
      <c r="F876" s="3" t="s">
        <v>16</v>
      </c>
      <c r="G876" s="3" t="s">
        <v>26</v>
      </c>
      <c r="H876" s="3" t="s">
        <v>1691</v>
      </c>
      <c r="I876" s="4" t="n">
        <v>36312</v>
      </c>
      <c r="J876" s="3" t="s">
        <v>19</v>
      </c>
      <c r="K876" s="3" t="s">
        <v>20</v>
      </c>
      <c r="L876" s="5" t="s">
        <v>1692</v>
      </c>
    </row>
    <row r="877" customFormat="false" ht="11.9" hidden="false" customHeight="true" outlineLevel="0" collapsed="false">
      <c r="A877" s="3" t="str">
        <f aca="false">HYPERLINK("https://www.fabsurplus.com/sdi_catalog/salesItemDetails.do?id=114975")</f>
        <v>https://www.fabsurplus.com/sdi_catalog/salesItemDetails.do?id=114975</v>
      </c>
      <c r="B877" s="3" t="s">
        <v>2298</v>
      </c>
      <c r="C877" s="3" t="s">
        <v>1050</v>
      </c>
      <c r="D877" s="3" t="s">
        <v>2299</v>
      </c>
      <c r="E877" s="3" t="s">
        <v>2300</v>
      </c>
      <c r="F877" s="3" t="s">
        <v>77</v>
      </c>
      <c r="G877" s="3" t="s">
        <v>26</v>
      </c>
      <c r="H877" s="3"/>
      <c r="I877" s="3"/>
      <c r="J877" s="3" t="s">
        <v>19</v>
      </c>
      <c r="K877" s="3"/>
      <c r="L877" s="3" t="s">
        <v>63</v>
      </c>
    </row>
    <row r="878" customFormat="false" ht="11.9" hidden="false" customHeight="true" outlineLevel="0" collapsed="false">
      <c r="A878" s="2" t="str">
        <f aca="false">HYPERLINK("https://www.fabsurplus.com/sdi_catalog/salesItemDetails.do?id=115123")</f>
        <v>https://www.fabsurplus.com/sdi_catalog/salesItemDetails.do?id=115123</v>
      </c>
      <c r="B878" s="2" t="s">
        <v>2301</v>
      </c>
      <c r="C878" s="2" t="s">
        <v>1050</v>
      </c>
      <c r="D878" s="2" t="s">
        <v>2302</v>
      </c>
      <c r="E878" s="2" t="s">
        <v>2303</v>
      </c>
      <c r="F878" s="2" t="s">
        <v>16</v>
      </c>
      <c r="G878" s="2" t="s">
        <v>26</v>
      </c>
      <c r="H878" s="2"/>
      <c r="I878" s="2"/>
      <c r="J878" s="2" t="s">
        <v>19</v>
      </c>
      <c r="K878" s="2"/>
      <c r="L878" s="2" t="s">
        <v>63</v>
      </c>
    </row>
    <row r="879" customFormat="false" ht="11.9" hidden="false" customHeight="true" outlineLevel="0" collapsed="false">
      <c r="A879" s="2" t="str">
        <f aca="false">HYPERLINK("https://www.fabsurplus.com/sdi_catalog/salesItemDetails.do?id=115067")</f>
        <v>https://www.fabsurplus.com/sdi_catalog/salesItemDetails.do?id=115067</v>
      </c>
      <c r="B879" s="2" t="s">
        <v>2304</v>
      </c>
      <c r="C879" s="2" t="s">
        <v>1050</v>
      </c>
      <c r="D879" s="2" t="s">
        <v>2305</v>
      </c>
      <c r="E879" s="2" t="s">
        <v>2306</v>
      </c>
      <c r="F879" s="2" t="s">
        <v>77</v>
      </c>
      <c r="G879" s="2" t="s">
        <v>26</v>
      </c>
      <c r="H879" s="2"/>
      <c r="I879" s="2"/>
      <c r="J879" s="2" t="s">
        <v>19</v>
      </c>
      <c r="K879" s="2"/>
      <c r="L879" s="2" t="s">
        <v>63</v>
      </c>
    </row>
    <row r="880" customFormat="false" ht="11.9" hidden="false" customHeight="true" outlineLevel="0" collapsed="false">
      <c r="A880" s="2" t="str">
        <f aca="false">HYPERLINK("https://www.fabsurplus.com/sdi_catalog/salesItemDetails.do?id=115068")</f>
        <v>https://www.fabsurplus.com/sdi_catalog/salesItemDetails.do?id=115068</v>
      </c>
      <c r="B880" s="2" t="s">
        <v>2307</v>
      </c>
      <c r="C880" s="2" t="s">
        <v>1050</v>
      </c>
      <c r="D880" s="2" t="s">
        <v>2305</v>
      </c>
      <c r="E880" s="2" t="s">
        <v>2308</v>
      </c>
      <c r="F880" s="2" t="s">
        <v>69</v>
      </c>
      <c r="G880" s="2" t="s">
        <v>26</v>
      </c>
      <c r="H880" s="2"/>
      <c r="I880" s="2"/>
      <c r="J880" s="2" t="s">
        <v>19</v>
      </c>
      <c r="K880" s="2"/>
      <c r="L880" s="2" t="s">
        <v>63</v>
      </c>
    </row>
    <row r="881" customFormat="false" ht="11.9" hidden="false" customHeight="true" outlineLevel="0" collapsed="false">
      <c r="A881" s="3" t="str">
        <f aca="false">HYPERLINK("https://www.fabsurplus.com/sdi_catalog/salesItemDetails.do?id=114900")</f>
        <v>https://www.fabsurplus.com/sdi_catalog/salesItemDetails.do?id=114900</v>
      </c>
      <c r="B881" s="3" t="s">
        <v>2309</v>
      </c>
      <c r="C881" s="3" t="s">
        <v>1050</v>
      </c>
      <c r="D881" s="3" t="s">
        <v>2310</v>
      </c>
      <c r="E881" s="3" t="s">
        <v>2311</v>
      </c>
      <c r="F881" s="3" t="s">
        <v>16</v>
      </c>
      <c r="G881" s="3" t="s">
        <v>26</v>
      </c>
      <c r="H881" s="3"/>
      <c r="I881" s="3"/>
      <c r="J881" s="3" t="s">
        <v>19</v>
      </c>
      <c r="K881" s="3"/>
      <c r="L881" s="3" t="s">
        <v>63</v>
      </c>
    </row>
    <row r="882" customFormat="false" ht="11.9" hidden="false" customHeight="true" outlineLevel="0" collapsed="false">
      <c r="A882" s="3" t="str">
        <f aca="false">HYPERLINK("https://www.fabsurplus.com/sdi_catalog/salesItemDetails.do?id=114678")</f>
        <v>https://www.fabsurplus.com/sdi_catalog/salesItemDetails.do?id=114678</v>
      </c>
      <c r="B882" s="3" t="s">
        <v>2312</v>
      </c>
      <c r="C882" s="3" t="s">
        <v>1050</v>
      </c>
      <c r="D882" s="3" t="s">
        <v>2313</v>
      </c>
      <c r="E882" s="3" t="s">
        <v>2314</v>
      </c>
      <c r="F882" s="3" t="s">
        <v>16</v>
      </c>
      <c r="G882" s="3" t="s">
        <v>26</v>
      </c>
      <c r="H882" s="3"/>
      <c r="I882" s="3"/>
      <c r="J882" s="3" t="s">
        <v>19</v>
      </c>
      <c r="K882" s="3"/>
      <c r="L882" s="3" t="s">
        <v>63</v>
      </c>
    </row>
    <row r="883" customFormat="false" ht="11.9" hidden="false" customHeight="true" outlineLevel="0" collapsed="false">
      <c r="A883" s="2" t="str">
        <f aca="false">HYPERLINK("https://www.fabsurplus.com/sdi_catalog/salesItemDetails.do?id=114750")</f>
        <v>https://www.fabsurplus.com/sdi_catalog/salesItemDetails.do?id=114750</v>
      </c>
      <c r="B883" s="2" t="s">
        <v>2315</v>
      </c>
      <c r="C883" s="2" t="s">
        <v>1050</v>
      </c>
      <c r="D883" s="2" t="s">
        <v>2316</v>
      </c>
      <c r="E883" s="2" t="s">
        <v>2317</v>
      </c>
      <c r="F883" s="2" t="s">
        <v>16</v>
      </c>
      <c r="G883" s="2" t="s">
        <v>26</v>
      </c>
      <c r="H883" s="2"/>
      <c r="I883" s="2"/>
      <c r="J883" s="2" t="s">
        <v>19</v>
      </c>
      <c r="K883" s="2"/>
      <c r="L883" s="2" t="s">
        <v>63</v>
      </c>
    </row>
    <row r="884" customFormat="false" ht="11.9" hidden="false" customHeight="true" outlineLevel="0" collapsed="false">
      <c r="A884" s="2" t="str">
        <f aca="false">HYPERLINK("https://www.fabsurplus.com/sdi_catalog/salesItemDetails.do?id=114788")</f>
        <v>https://www.fabsurplus.com/sdi_catalog/salesItemDetails.do?id=114788</v>
      </c>
      <c r="B884" s="2" t="s">
        <v>2318</v>
      </c>
      <c r="C884" s="2" t="s">
        <v>1050</v>
      </c>
      <c r="D884" s="2" t="s">
        <v>2319</v>
      </c>
      <c r="E884" s="2" t="s">
        <v>2320</v>
      </c>
      <c r="F884" s="2" t="s">
        <v>16</v>
      </c>
      <c r="G884" s="2" t="s">
        <v>26</v>
      </c>
      <c r="H884" s="2"/>
      <c r="I884" s="2"/>
      <c r="J884" s="2" t="s">
        <v>19</v>
      </c>
      <c r="K884" s="2"/>
      <c r="L884" s="2" t="s">
        <v>63</v>
      </c>
    </row>
    <row r="885" customFormat="false" ht="11.9" hidden="false" customHeight="true" outlineLevel="0" collapsed="false">
      <c r="A885" s="2" t="str">
        <f aca="false">HYPERLINK("https://www.fabsurplus.com/sdi_catalog/salesItemDetails.do?id=115231")</f>
        <v>https://www.fabsurplus.com/sdi_catalog/salesItemDetails.do?id=115231</v>
      </c>
      <c r="B885" s="2" t="s">
        <v>2321</v>
      </c>
      <c r="C885" s="2" t="s">
        <v>1050</v>
      </c>
      <c r="D885" s="2" t="s">
        <v>2322</v>
      </c>
      <c r="E885" s="2" t="s">
        <v>2323</v>
      </c>
      <c r="F885" s="2" t="s">
        <v>77</v>
      </c>
      <c r="G885" s="2" t="s">
        <v>26</v>
      </c>
      <c r="H885" s="2"/>
      <c r="I885" s="2"/>
      <c r="J885" s="2" t="s">
        <v>19</v>
      </c>
      <c r="K885" s="2"/>
      <c r="L885" s="2" t="s">
        <v>63</v>
      </c>
    </row>
    <row r="886" customFormat="false" ht="11.9" hidden="false" customHeight="true" outlineLevel="0" collapsed="false">
      <c r="A886" s="2" t="str">
        <f aca="false">HYPERLINK("https://www.fabsurplus.com/sdi_catalog/salesItemDetails.do?id=115232")</f>
        <v>https://www.fabsurplus.com/sdi_catalog/salesItemDetails.do?id=115232</v>
      </c>
      <c r="B886" s="2" t="s">
        <v>2324</v>
      </c>
      <c r="C886" s="2" t="s">
        <v>1050</v>
      </c>
      <c r="D886" s="2" t="s">
        <v>2325</v>
      </c>
      <c r="E886" s="2" t="s">
        <v>2323</v>
      </c>
      <c r="F886" s="2" t="s">
        <v>16</v>
      </c>
      <c r="G886" s="2" t="s">
        <v>26</v>
      </c>
      <c r="H886" s="2"/>
      <c r="I886" s="2"/>
      <c r="J886" s="2" t="s">
        <v>19</v>
      </c>
      <c r="K886" s="2"/>
      <c r="L886" s="2" t="s">
        <v>63</v>
      </c>
    </row>
    <row r="887" customFormat="false" ht="11.9" hidden="false" customHeight="true" outlineLevel="0" collapsed="false">
      <c r="A887" s="2" t="str">
        <f aca="false">HYPERLINK("https://www.fabsurplus.com/sdi_catalog/salesItemDetails.do?id=115233")</f>
        <v>https://www.fabsurplus.com/sdi_catalog/salesItemDetails.do?id=115233</v>
      </c>
      <c r="B887" s="2" t="s">
        <v>2326</v>
      </c>
      <c r="C887" s="2" t="s">
        <v>1050</v>
      </c>
      <c r="D887" s="2" t="s">
        <v>2327</v>
      </c>
      <c r="E887" s="2" t="s">
        <v>2328</v>
      </c>
      <c r="F887" s="2" t="s">
        <v>16</v>
      </c>
      <c r="G887" s="2" t="s">
        <v>26</v>
      </c>
      <c r="H887" s="2"/>
      <c r="I887" s="2"/>
      <c r="J887" s="2" t="s">
        <v>19</v>
      </c>
      <c r="K887" s="2"/>
      <c r="L887" s="2" t="s">
        <v>63</v>
      </c>
    </row>
    <row r="888" customFormat="false" ht="11.9" hidden="false" customHeight="true" outlineLevel="0" collapsed="false">
      <c r="A888" s="3" t="str">
        <f aca="false">HYPERLINK("https://www.fabsurplus.com/sdi_catalog/salesItemDetails.do?id=114977")</f>
        <v>https://www.fabsurplus.com/sdi_catalog/salesItemDetails.do?id=114977</v>
      </c>
      <c r="B888" s="3" t="s">
        <v>2329</v>
      </c>
      <c r="C888" s="3" t="s">
        <v>1050</v>
      </c>
      <c r="D888" s="3" t="s">
        <v>2330</v>
      </c>
      <c r="E888" s="3" t="s">
        <v>2331</v>
      </c>
      <c r="F888" s="3" t="s">
        <v>77</v>
      </c>
      <c r="G888" s="3" t="s">
        <v>26</v>
      </c>
      <c r="H888" s="3"/>
      <c r="I888" s="3"/>
      <c r="J888" s="3" t="s">
        <v>19</v>
      </c>
      <c r="K888" s="3"/>
      <c r="L888" s="3" t="s">
        <v>63</v>
      </c>
    </row>
    <row r="889" customFormat="false" ht="11.9" hidden="false" customHeight="true" outlineLevel="0" collapsed="false">
      <c r="A889" s="3" t="str">
        <f aca="false">HYPERLINK("https://www.fabsurplus.com/sdi_catalog/salesItemDetails.do?id=114755")</f>
        <v>https://www.fabsurplus.com/sdi_catalog/salesItemDetails.do?id=114755</v>
      </c>
      <c r="B889" s="3" t="s">
        <v>2332</v>
      </c>
      <c r="C889" s="3" t="s">
        <v>1050</v>
      </c>
      <c r="D889" s="3" t="s">
        <v>2333</v>
      </c>
      <c r="E889" s="3" t="s">
        <v>2334</v>
      </c>
      <c r="F889" s="3" t="s">
        <v>77</v>
      </c>
      <c r="G889" s="3" t="s">
        <v>26</v>
      </c>
      <c r="H889" s="3"/>
      <c r="I889" s="3"/>
      <c r="J889" s="3" t="s">
        <v>19</v>
      </c>
      <c r="K889" s="3"/>
      <c r="L889" s="3" t="s">
        <v>63</v>
      </c>
    </row>
    <row r="890" customFormat="false" ht="11.9" hidden="false" customHeight="true" outlineLevel="0" collapsed="false">
      <c r="A890" s="2" t="str">
        <f aca="false">HYPERLINK("https://www.fabsurplus.com/sdi_catalog/salesItemDetails.do?id=115234")</f>
        <v>https://www.fabsurplus.com/sdi_catalog/salesItemDetails.do?id=115234</v>
      </c>
      <c r="B890" s="2" t="s">
        <v>2335</v>
      </c>
      <c r="C890" s="2" t="s">
        <v>1050</v>
      </c>
      <c r="D890" s="2" t="s">
        <v>2336</v>
      </c>
      <c r="E890" s="2" t="s">
        <v>2337</v>
      </c>
      <c r="F890" s="2" t="s">
        <v>16</v>
      </c>
      <c r="G890" s="2" t="s">
        <v>26</v>
      </c>
      <c r="H890" s="2"/>
      <c r="I890" s="2"/>
      <c r="J890" s="2" t="s">
        <v>19</v>
      </c>
      <c r="K890" s="2"/>
      <c r="L890" s="2" t="s">
        <v>63</v>
      </c>
    </row>
    <row r="891" customFormat="false" ht="11.9" hidden="false" customHeight="true" outlineLevel="0" collapsed="false">
      <c r="A891" s="2" t="str">
        <f aca="false">HYPERLINK("https://www.fabsurplus.com/sdi_catalog/salesItemDetails.do?id=115069")</f>
        <v>https://www.fabsurplus.com/sdi_catalog/salesItemDetails.do?id=115069</v>
      </c>
      <c r="B891" s="2" t="s">
        <v>2338</v>
      </c>
      <c r="C891" s="2" t="s">
        <v>1050</v>
      </c>
      <c r="D891" s="2" t="s">
        <v>2339</v>
      </c>
      <c r="E891" s="2" t="s">
        <v>2340</v>
      </c>
      <c r="F891" s="2" t="s">
        <v>16</v>
      </c>
      <c r="G891" s="2" t="s">
        <v>26</v>
      </c>
      <c r="H891" s="2"/>
      <c r="I891" s="2"/>
      <c r="J891" s="2" t="s">
        <v>19</v>
      </c>
      <c r="K891" s="2"/>
      <c r="L891" s="2" t="s">
        <v>63</v>
      </c>
    </row>
    <row r="892" customFormat="false" ht="11.9" hidden="false" customHeight="true" outlineLevel="0" collapsed="false">
      <c r="A892" s="2" t="str">
        <f aca="false">HYPERLINK("https://www.fabsurplus.com/sdi_catalog/salesItemDetails.do?id=115070")</f>
        <v>https://www.fabsurplus.com/sdi_catalog/salesItemDetails.do?id=115070</v>
      </c>
      <c r="B892" s="2" t="s">
        <v>2341</v>
      </c>
      <c r="C892" s="2" t="s">
        <v>1050</v>
      </c>
      <c r="D892" s="2" t="s">
        <v>2339</v>
      </c>
      <c r="E892" s="2" t="s">
        <v>2342</v>
      </c>
      <c r="F892" s="2" t="s">
        <v>16</v>
      </c>
      <c r="G892" s="2" t="s">
        <v>26</v>
      </c>
      <c r="H892" s="2"/>
      <c r="I892" s="2"/>
      <c r="J892" s="2" t="s">
        <v>19</v>
      </c>
      <c r="K892" s="2"/>
      <c r="L892" s="2" t="s">
        <v>63</v>
      </c>
    </row>
    <row r="893" customFormat="false" ht="11.9" hidden="false" customHeight="true" outlineLevel="0" collapsed="false">
      <c r="A893" s="3" t="str">
        <f aca="false">HYPERLINK("https://www.fabsurplus.com/sdi_catalog/salesItemDetails.do?id=114951")</f>
        <v>https://www.fabsurplus.com/sdi_catalog/salesItemDetails.do?id=114951</v>
      </c>
      <c r="B893" s="3" t="s">
        <v>2343</v>
      </c>
      <c r="C893" s="3" t="s">
        <v>1050</v>
      </c>
      <c r="D893" s="3" t="s">
        <v>2339</v>
      </c>
      <c r="E893" s="3" t="s">
        <v>2344</v>
      </c>
      <c r="F893" s="3" t="s">
        <v>16</v>
      </c>
      <c r="G893" s="3" t="s">
        <v>26</v>
      </c>
      <c r="H893" s="3"/>
      <c r="I893" s="3"/>
      <c r="J893" s="3" t="s">
        <v>19</v>
      </c>
      <c r="K893" s="3"/>
      <c r="L893" s="3" t="s">
        <v>63</v>
      </c>
    </row>
    <row r="894" customFormat="false" ht="11.9" hidden="false" customHeight="true" outlineLevel="0" collapsed="false">
      <c r="A894" s="2" t="str">
        <f aca="false">HYPERLINK("https://www.fabsurplus.com/sdi_catalog/salesItemDetails.do?id=114952")</f>
        <v>https://www.fabsurplus.com/sdi_catalog/salesItemDetails.do?id=114952</v>
      </c>
      <c r="B894" s="2" t="s">
        <v>2345</v>
      </c>
      <c r="C894" s="2" t="s">
        <v>1050</v>
      </c>
      <c r="D894" s="2" t="s">
        <v>2346</v>
      </c>
      <c r="E894" s="2" t="s">
        <v>2347</v>
      </c>
      <c r="F894" s="2" t="s">
        <v>16</v>
      </c>
      <c r="G894" s="2" t="s">
        <v>26</v>
      </c>
      <c r="H894" s="2"/>
      <c r="I894" s="2"/>
      <c r="J894" s="2" t="s">
        <v>19</v>
      </c>
      <c r="K894" s="2"/>
      <c r="L894" s="2" t="s">
        <v>63</v>
      </c>
    </row>
    <row r="895" customFormat="false" ht="11.9" hidden="false" customHeight="true" outlineLevel="0" collapsed="false">
      <c r="A895" s="2" t="str">
        <f aca="false">HYPERLINK("https://www.fabsurplus.com/sdi_catalog/salesItemDetails.do?id=114751")</f>
        <v>https://www.fabsurplus.com/sdi_catalog/salesItemDetails.do?id=114751</v>
      </c>
      <c r="B895" s="2" t="s">
        <v>2348</v>
      </c>
      <c r="C895" s="2" t="s">
        <v>1050</v>
      </c>
      <c r="D895" s="2" t="s">
        <v>2349</v>
      </c>
      <c r="E895" s="2" t="s">
        <v>2350</v>
      </c>
      <c r="F895" s="2" t="s">
        <v>16</v>
      </c>
      <c r="G895" s="2" t="s">
        <v>26</v>
      </c>
      <c r="H895" s="2"/>
      <c r="I895" s="2"/>
      <c r="J895" s="2" t="s">
        <v>19</v>
      </c>
      <c r="K895" s="2"/>
      <c r="L895" s="2" t="s">
        <v>63</v>
      </c>
    </row>
    <row r="896" customFormat="false" ht="11.9" hidden="false" customHeight="true" outlineLevel="0" collapsed="false">
      <c r="A896" s="2" t="str">
        <f aca="false">HYPERLINK("https://www.fabsurplus.com/sdi_catalog/salesItemDetails.do?id=115071")</f>
        <v>https://www.fabsurplus.com/sdi_catalog/salesItemDetails.do?id=115071</v>
      </c>
      <c r="B896" s="2" t="s">
        <v>2351</v>
      </c>
      <c r="C896" s="2" t="s">
        <v>1050</v>
      </c>
      <c r="D896" s="2" t="s">
        <v>2352</v>
      </c>
      <c r="E896" s="2" t="s">
        <v>2353</v>
      </c>
      <c r="F896" s="2" t="s">
        <v>16</v>
      </c>
      <c r="G896" s="2" t="s">
        <v>26</v>
      </c>
      <c r="H896" s="2"/>
      <c r="I896" s="2"/>
      <c r="J896" s="2" t="s">
        <v>19</v>
      </c>
      <c r="K896" s="2"/>
      <c r="L896" s="2" t="s">
        <v>63</v>
      </c>
    </row>
    <row r="897" customFormat="false" ht="11.9" hidden="false" customHeight="true" outlineLevel="0" collapsed="false">
      <c r="A897" s="2" t="str">
        <f aca="false">HYPERLINK("https://www.fabsurplus.com/sdi_catalog/salesItemDetails.do?id=114860")</f>
        <v>https://www.fabsurplus.com/sdi_catalog/salesItemDetails.do?id=114860</v>
      </c>
      <c r="B897" s="2" t="s">
        <v>2354</v>
      </c>
      <c r="C897" s="2" t="s">
        <v>1050</v>
      </c>
      <c r="D897" s="2" t="s">
        <v>2355</v>
      </c>
      <c r="E897" s="2" t="s">
        <v>2356</v>
      </c>
      <c r="F897" s="2" t="s">
        <v>16</v>
      </c>
      <c r="G897" s="2" t="s">
        <v>26</v>
      </c>
      <c r="H897" s="2"/>
      <c r="I897" s="2"/>
      <c r="J897" s="2" t="s">
        <v>19</v>
      </c>
      <c r="K897" s="2"/>
      <c r="L897" s="2" t="s">
        <v>63</v>
      </c>
    </row>
    <row r="898" customFormat="false" ht="11.9" hidden="false" customHeight="true" outlineLevel="0" collapsed="false">
      <c r="A898" s="2" t="str">
        <f aca="false">HYPERLINK("https://www.fabsurplus.com/sdi_catalog/salesItemDetails.do?id=114953")</f>
        <v>https://www.fabsurplus.com/sdi_catalog/salesItemDetails.do?id=114953</v>
      </c>
      <c r="B898" s="2" t="s">
        <v>2357</v>
      </c>
      <c r="C898" s="2" t="s">
        <v>1050</v>
      </c>
      <c r="D898" s="2" t="s">
        <v>2358</v>
      </c>
      <c r="E898" s="2" t="s">
        <v>2359</v>
      </c>
      <c r="F898" s="2" t="s">
        <v>247</v>
      </c>
      <c r="G898" s="2" t="s">
        <v>26</v>
      </c>
      <c r="H898" s="2"/>
      <c r="I898" s="2"/>
      <c r="J898" s="2" t="s">
        <v>19</v>
      </c>
      <c r="K898" s="2"/>
      <c r="L898" s="2" t="s">
        <v>63</v>
      </c>
    </row>
    <row r="899" customFormat="false" ht="11.9" hidden="false" customHeight="true" outlineLevel="0" collapsed="false">
      <c r="A899" s="2" t="str">
        <f aca="false">HYPERLINK("https://www.fabsurplus.com/sdi_catalog/salesItemDetails.do?id=114954")</f>
        <v>https://www.fabsurplus.com/sdi_catalog/salesItemDetails.do?id=114954</v>
      </c>
      <c r="B899" s="2" t="s">
        <v>2360</v>
      </c>
      <c r="C899" s="2" t="s">
        <v>1050</v>
      </c>
      <c r="D899" s="2" t="s">
        <v>2361</v>
      </c>
      <c r="E899" s="2" t="s">
        <v>2362</v>
      </c>
      <c r="F899" s="2" t="s">
        <v>199</v>
      </c>
      <c r="G899" s="2" t="s">
        <v>26</v>
      </c>
      <c r="H899" s="2"/>
      <c r="I899" s="2"/>
      <c r="J899" s="2" t="s">
        <v>19</v>
      </c>
      <c r="K899" s="2"/>
      <c r="L899" s="2" t="s">
        <v>63</v>
      </c>
    </row>
    <row r="900" customFormat="false" ht="11.9" hidden="false" customHeight="true" outlineLevel="0" collapsed="false">
      <c r="A900" s="2" t="str">
        <f aca="false">HYPERLINK("https://www.fabsurplus.com/sdi_catalog/salesItemDetails.do?id=115235")</f>
        <v>https://www.fabsurplus.com/sdi_catalog/salesItemDetails.do?id=115235</v>
      </c>
      <c r="B900" s="2" t="s">
        <v>2363</v>
      </c>
      <c r="C900" s="2" t="s">
        <v>1050</v>
      </c>
      <c r="D900" s="2" t="s">
        <v>2364</v>
      </c>
      <c r="E900" s="2" t="s">
        <v>2365</v>
      </c>
      <c r="F900" s="2" t="s">
        <v>77</v>
      </c>
      <c r="G900" s="2" t="s">
        <v>26</v>
      </c>
      <c r="H900" s="2"/>
      <c r="I900" s="2"/>
      <c r="J900" s="2" t="s">
        <v>19</v>
      </c>
      <c r="K900" s="2"/>
      <c r="L900" s="2" t="s">
        <v>63</v>
      </c>
    </row>
    <row r="901" customFormat="false" ht="11.9" hidden="false" customHeight="true" outlineLevel="0" collapsed="false">
      <c r="A901" s="3" t="str">
        <f aca="false">HYPERLINK("https://www.fabsurplus.com/sdi_catalog/salesItemDetails.do?id=115154")</f>
        <v>https://www.fabsurplus.com/sdi_catalog/salesItemDetails.do?id=115154</v>
      </c>
      <c r="B901" s="3" t="s">
        <v>2366</v>
      </c>
      <c r="C901" s="3" t="s">
        <v>1050</v>
      </c>
      <c r="D901" s="3" t="s">
        <v>2367</v>
      </c>
      <c r="E901" s="3" t="s">
        <v>2368</v>
      </c>
      <c r="F901" s="3" t="s">
        <v>77</v>
      </c>
      <c r="G901" s="3" t="s">
        <v>26</v>
      </c>
      <c r="H901" s="3"/>
      <c r="I901" s="3"/>
      <c r="J901" s="3" t="s">
        <v>19</v>
      </c>
      <c r="K901" s="3"/>
      <c r="L901" s="3" t="s">
        <v>63</v>
      </c>
    </row>
    <row r="902" customFormat="false" ht="11.9" hidden="false" customHeight="true" outlineLevel="0" collapsed="false">
      <c r="A902" s="3" t="str">
        <f aca="false">HYPERLINK("https://www.fabsurplus.com/sdi_catalog/salesItemDetails.do?id=115191")</f>
        <v>https://www.fabsurplus.com/sdi_catalog/salesItemDetails.do?id=115191</v>
      </c>
      <c r="B902" s="3" t="s">
        <v>2369</v>
      </c>
      <c r="C902" s="3" t="s">
        <v>1050</v>
      </c>
      <c r="D902" s="3" t="s">
        <v>2370</v>
      </c>
      <c r="E902" s="3" t="s">
        <v>2371</v>
      </c>
      <c r="F902" s="3" t="s">
        <v>16</v>
      </c>
      <c r="G902" s="3" t="s">
        <v>26</v>
      </c>
      <c r="H902" s="3"/>
      <c r="I902" s="3"/>
      <c r="J902" s="3" t="s">
        <v>19</v>
      </c>
      <c r="K902" s="3"/>
      <c r="L902" s="3" t="s">
        <v>63</v>
      </c>
    </row>
    <row r="903" customFormat="false" ht="11.9" hidden="false" customHeight="true" outlineLevel="0" collapsed="false">
      <c r="A903" s="2" t="str">
        <f aca="false">HYPERLINK("https://www.fabsurplus.com/sdi_catalog/salesItemDetails.do?id=115019")</f>
        <v>https://www.fabsurplus.com/sdi_catalog/salesItemDetails.do?id=115019</v>
      </c>
      <c r="B903" s="2" t="s">
        <v>2372</v>
      </c>
      <c r="C903" s="2" t="s">
        <v>1050</v>
      </c>
      <c r="D903" s="2" t="s">
        <v>2373</v>
      </c>
      <c r="E903" s="2" t="s">
        <v>2374</v>
      </c>
      <c r="F903" s="2" t="s">
        <v>16</v>
      </c>
      <c r="G903" s="2" t="s">
        <v>26</v>
      </c>
      <c r="H903" s="2"/>
      <c r="I903" s="2"/>
      <c r="J903" s="2" t="s">
        <v>19</v>
      </c>
      <c r="K903" s="2"/>
      <c r="L903" s="2" t="s">
        <v>63</v>
      </c>
    </row>
    <row r="904" customFormat="false" ht="11.9" hidden="false" customHeight="true" outlineLevel="0" collapsed="false">
      <c r="A904" s="2" t="str">
        <f aca="false">HYPERLINK("https://www.fabsurplus.com/sdi_catalog/salesItemDetails.do?id=115180")</f>
        <v>https://www.fabsurplus.com/sdi_catalog/salesItemDetails.do?id=115180</v>
      </c>
      <c r="B904" s="2" t="s">
        <v>2375</v>
      </c>
      <c r="C904" s="2" t="s">
        <v>1050</v>
      </c>
      <c r="D904" s="2" t="s">
        <v>2376</v>
      </c>
      <c r="E904" s="2" t="s">
        <v>2377</v>
      </c>
      <c r="F904" s="2" t="s">
        <v>16</v>
      </c>
      <c r="G904" s="2" t="s">
        <v>26</v>
      </c>
      <c r="H904" s="2"/>
      <c r="I904" s="2"/>
      <c r="J904" s="2" t="s">
        <v>19</v>
      </c>
      <c r="K904" s="2"/>
      <c r="L904" s="2" t="s">
        <v>63</v>
      </c>
    </row>
    <row r="905" customFormat="false" ht="11.9" hidden="false" customHeight="true" outlineLevel="0" collapsed="false">
      <c r="A905" s="2" t="str">
        <f aca="false">HYPERLINK("https://www.fabsurplus.com/sdi_catalog/salesItemDetails.do?id=115105")</f>
        <v>https://www.fabsurplus.com/sdi_catalog/salesItemDetails.do?id=115105</v>
      </c>
      <c r="B905" s="2" t="s">
        <v>2378</v>
      </c>
      <c r="C905" s="2" t="s">
        <v>1050</v>
      </c>
      <c r="D905" s="2" t="s">
        <v>2379</v>
      </c>
      <c r="E905" s="2" t="s">
        <v>2380</v>
      </c>
      <c r="F905" s="2" t="s">
        <v>16</v>
      </c>
      <c r="G905" s="2" t="s">
        <v>26</v>
      </c>
      <c r="H905" s="2"/>
      <c r="I905" s="2"/>
      <c r="J905" s="2" t="s">
        <v>19</v>
      </c>
      <c r="K905" s="2"/>
      <c r="L905" s="2" t="s">
        <v>63</v>
      </c>
    </row>
    <row r="906" customFormat="false" ht="11.9" hidden="false" customHeight="true" outlineLevel="0" collapsed="false">
      <c r="A906" s="2" t="str">
        <f aca="false">HYPERLINK("https://www.fabsurplus.com/sdi_catalog/salesItemDetails.do?id=115072")</f>
        <v>https://www.fabsurplus.com/sdi_catalog/salesItemDetails.do?id=115072</v>
      </c>
      <c r="B906" s="2" t="s">
        <v>2381</v>
      </c>
      <c r="C906" s="2" t="s">
        <v>1050</v>
      </c>
      <c r="D906" s="2" t="s">
        <v>2382</v>
      </c>
      <c r="E906" s="2" t="s">
        <v>2383</v>
      </c>
      <c r="F906" s="2" t="s">
        <v>77</v>
      </c>
      <c r="G906" s="2" t="s">
        <v>26</v>
      </c>
      <c r="H906" s="2"/>
      <c r="I906" s="2"/>
      <c r="J906" s="2" t="s">
        <v>19</v>
      </c>
      <c r="K906" s="2"/>
      <c r="L906" s="2" t="s">
        <v>63</v>
      </c>
    </row>
    <row r="907" customFormat="false" ht="11.9" hidden="false" customHeight="true" outlineLevel="0" collapsed="false">
      <c r="A907" s="2" t="str">
        <f aca="false">HYPERLINK("https://www.fabsurplus.com/sdi_catalog/salesItemDetails.do?id=115073")</f>
        <v>https://www.fabsurplus.com/sdi_catalog/salesItemDetails.do?id=115073</v>
      </c>
      <c r="B907" s="2" t="s">
        <v>2384</v>
      </c>
      <c r="C907" s="2" t="s">
        <v>1050</v>
      </c>
      <c r="D907" s="2" t="s">
        <v>2385</v>
      </c>
      <c r="E907" s="2" t="s">
        <v>2386</v>
      </c>
      <c r="F907" s="2" t="s">
        <v>77</v>
      </c>
      <c r="G907" s="2" t="s">
        <v>26</v>
      </c>
      <c r="H907" s="2"/>
      <c r="I907" s="2"/>
      <c r="J907" s="2" t="s">
        <v>19</v>
      </c>
      <c r="K907" s="2"/>
      <c r="L907" s="2" t="s">
        <v>63</v>
      </c>
    </row>
    <row r="908" customFormat="false" ht="11.9" hidden="false" customHeight="true" outlineLevel="0" collapsed="false">
      <c r="A908" s="2" t="str">
        <f aca="false">HYPERLINK("https://www.fabsurplus.com/sdi_catalog/salesItemDetails.do?id=114955")</f>
        <v>https://www.fabsurplus.com/sdi_catalog/salesItemDetails.do?id=114955</v>
      </c>
      <c r="B908" s="2" t="s">
        <v>2387</v>
      </c>
      <c r="C908" s="2" t="s">
        <v>1050</v>
      </c>
      <c r="D908" s="2" t="s">
        <v>2388</v>
      </c>
      <c r="E908" s="2" t="s">
        <v>2389</v>
      </c>
      <c r="F908" s="2" t="s">
        <v>16</v>
      </c>
      <c r="G908" s="2" t="s">
        <v>26</v>
      </c>
      <c r="H908" s="2"/>
      <c r="I908" s="2"/>
      <c r="J908" s="2" t="s">
        <v>19</v>
      </c>
      <c r="K908" s="2"/>
      <c r="L908" s="2" t="s">
        <v>63</v>
      </c>
    </row>
    <row r="909" customFormat="false" ht="11.9" hidden="false" customHeight="true" outlineLevel="0" collapsed="false">
      <c r="A909" s="2" t="str">
        <f aca="false">HYPERLINK("https://www.fabsurplus.com/sdi_catalog/salesItemDetails.do?id=115155")</f>
        <v>https://www.fabsurplus.com/sdi_catalog/salesItemDetails.do?id=115155</v>
      </c>
      <c r="B909" s="2" t="s">
        <v>2390</v>
      </c>
      <c r="C909" s="2" t="s">
        <v>1050</v>
      </c>
      <c r="D909" s="2" t="s">
        <v>2391</v>
      </c>
      <c r="E909" s="2" t="s">
        <v>2392</v>
      </c>
      <c r="F909" s="2" t="s">
        <v>77</v>
      </c>
      <c r="G909" s="2" t="s">
        <v>26</v>
      </c>
      <c r="H909" s="2"/>
      <c r="I909" s="2"/>
      <c r="J909" s="2" t="s">
        <v>19</v>
      </c>
      <c r="K909" s="2"/>
      <c r="L909" s="2" t="s">
        <v>63</v>
      </c>
    </row>
    <row r="910" customFormat="false" ht="11.9" hidden="false" customHeight="true" outlineLevel="0" collapsed="false">
      <c r="A910" s="2" t="str">
        <f aca="false">HYPERLINK("https://www.fabsurplus.com/sdi_catalog/salesItemDetails.do?id=115096")</f>
        <v>https://www.fabsurplus.com/sdi_catalog/salesItemDetails.do?id=115096</v>
      </c>
      <c r="B910" s="2" t="s">
        <v>2393</v>
      </c>
      <c r="C910" s="2" t="s">
        <v>1050</v>
      </c>
      <c r="D910" s="2" t="s">
        <v>2394</v>
      </c>
      <c r="E910" s="2" t="s">
        <v>2395</v>
      </c>
      <c r="F910" s="2" t="s">
        <v>16</v>
      </c>
      <c r="G910" s="2" t="s">
        <v>26</v>
      </c>
      <c r="H910" s="2"/>
      <c r="I910" s="2"/>
      <c r="J910" s="2" t="s">
        <v>19</v>
      </c>
      <c r="K910" s="2"/>
      <c r="L910" s="2" t="s">
        <v>63</v>
      </c>
    </row>
    <row r="911" customFormat="false" ht="11.9" hidden="false" customHeight="true" outlineLevel="0" collapsed="false">
      <c r="A911" s="2" t="str">
        <f aca="false">HYPERLINK("https://www.fabsurplus.com/sdi_catalog/salesItemDetails.do?id=115074")</f>
        <v>https://www.fabsurplus.com/sdi_catalog/salesItemDetails.do?id=115074</v>
      </c>
      <c r="B911" s="2" t="s">
        <v>2396</v>
      </c>
      <c r="C911" s="2" t="s">
        <v>1050</v>
      </c>
      <c r="D911" s="2" t="s">
        <v>2397</v>
      </c>
      <c r="E911" s="2" t="s">
        <v>2398</v>
      </c>
      <c r="F911" s="2" t="s">
        <v>77</v>
      </c>
      <c r="G911" s="2" t="s">
        <v>26</v>
      </c>
      <c r="H911" s="2"/>
      <c r="I911" s="2"/>
      <c r="J911" s="2" t="s">
        <v>19</v>
      </c>
      <c r="K911" s="2"/>
      <c r="L911" s="2" t="s">
        <v>63</v>
      </c>
    </row>
    <row r="912" customFormat="false" ht="11.9" hidden="false" customHeight="true" outlineLevel="0" collapsed="false">
      <c r="A912" s="3" t="str">
        <f aca="false">HYPERLINK("https://www.fabsurplus.com/sdi_catalog/salesItemDetails.do?id=115106")</f>
        <v>https://www.fabsurplus.com/sdi_catalog/salesItemDetails.do?id=115106</v>
      </c>
      <c r="B912" s="3" t="s">
        <v>2399</v>
      </c>
      <c r="C912" s="3" t="s">
        <v>1050</v>
      </c>
      <c r="D912" s="3" t="s">
        <v>2397</v>
      </c>
      <c r="E912" s="3" t="s">
        <v>2400</v>
      </c>
      <c r="F912" s="3" t="s">
        <v>16</v>
      </c>
      <c r="G912" s="3" t="s">
        <v>26</v>
      </c>
      <c r="H912" s="3"/>
      <c r="I912" s="3"/>
      <c r="J912" s="3" t="s">
        <v>19</v>
      </c>
      <c r="K912" s="3"/>
      <c r="L912" s="3" t="s">
        <v>63</v>
      </c>
    </row>
    <row r="913" customFormat="false" ht="11.9" hidden="false" customHeight="true" outlineLevel="0" collapsed="false">
      <c r="A913" s="2" t="str">
        <f aca="false">HYPERLINK("https://www.fabsurplus.com/sdi_catalog/salesItemDetails.do?id=115075")</f>
        <v>https://www.fabsurplus.com/sdi_catalog/salesItemDetails.do?id=115075</v>
      </c>
      <c r="B913" s="2" t="s">
        <v>2401</v>
      </c>
      <c r="C913" s="2" t="s">
        <v>1050</v>
      </c>
      <c r="D913" s="2" t="s">
        <v>2402</v>
      </c>
      <c r="E913" s="2" t="s">
        <v>2403</v>
      </c>
      <c r="F913" s="2" t="s">
        <v>101</v>
      </c>
      <c r="G913" s="2" t="s">
        <v>26</v>
      </c>
      <c r="H913" s="2"/>
      <c r="I913" s="2"/>
      <c r="J913" s="2" t="s">
        <v>19</v>
      </c>
      <c r="K913" s="2"/>
      <c r="L913" s="2" t="s">
        <v>63</v>
      </c>
    </row>
    <row r="914" customFormat="false" ht="11.9" hidden="false" customHeight="true" outlineLevel="0" collapsed="false">
      <c r="A914" s="2" t="str">
        <f aca="false">HYPERLINK("https://www.fabsurplus.com/sdi_catalog/salesItemDetails.do?id=115236")</f>
        <v>https://www.fabsurplus.com/sdi_catalog/salesItemDetails.do?id=115236</v>
      </c>
      <c r="B914" s="2" t="s">
        <v>2404</v>
      </c>
      <c r="C914" s="2" t="s">
        <v>1050</v>
      </c>
      <c r="D914" s="2" t="s">
        <v>2405</v>
      </c>
      <c r="E914" s="2" t="s">
        <v>2406</v>
      </c>
      <c r="F914" s="2" t="s">
        <v>16</v>
      </c>
      <c r="G914" s="2" t="s">
        <v>26</v>
      </c>
      <c r="H914" s="2"/>
      <c r="I914" s="2"/>
      <c r="J914" s="2" t="s">
        <v>19</v>
      </c>
      <c r="K914" s="2"/>
      <c r="L914" s="2" t="s">
        <v>63</v>
      </c>
    </row>
    <row r="915" customFormat="false" ht="11.9" hidden="false" customHeight="true" outlineLevel="0" collapsed="false">
      <c r="A915" s="3" t="str">
        <f aca="false">HYPERLINK("https://www.fabsurplus.com/sdi_catalog/salesItemDetails.do?id=115237")</f>
        <v>https://www.fabsurplus.com/sdi_catalog/salesItemDetails.do?id=115237</v>
      </c>
      <c r="B915" s="3" t="s">
        <v>2407</v>
      </c>
      <c r="C915" s="3" t="s">
        <v>1050</v>
      </c>
      <c r="D915" s="3" t="s">
        <v>2408</v>
      </c>
      <c r="E915" s="3" t="s">
        <v>2409</v>
      </c>
      <c r="F915" s="3" t="s">
        <v>16</v>
      </c>
      <c r="G915" s="3" t="s">
        <v>26</v>
      </c>
      <c r="H915" s="3"/>
      <c r="I915" s="3"/>
      <c r="J915" s="3" t="s">
        <v>19</v>
      </c>
      <c r="K915" s="3"/>
      <c r="L915" s="3" t="s">
        <v>63</v>
      </c>
    </row>
    <row r="916" customFormat="false" ht="11.9" hidden="false" customHeight="true" outlineLevel="0" collapsed="false">
      <c r="A916" s="2" t="str">
        <f aca="false">HYPERLINK("https://www.fabsurplus.com/sdi_catalog/salesItemDetails.do?id=114989")</f>
        <v>https://www.fabsurplus.com/sdi_catalog/salesItemDetails.do?id=114989</v>
      </c>
      <c r="B916" s="2" t="s">
        <v>2410</v>
      </c>
      <c r="C916" s="2" t="s">
        <v>1050</v>
      </c>
      <c r="D916" s="2" t="s">
        <v>2411</v>
      </c>
      <c r="E916" s="2" t="s">
        <v>2412</v>
      </c>
      <c r="F916" s="2" t="s">
        <v>77</v>
      </c>
      <c r="G916" s="2" t="s">
        <v>26</v>
      </c>
      <c r="H916" s="2"/>
      <c r="I916" s="2"/>
      <c r="J916" s="2" t="s">
        <v>19</v>
      </c>
      <c r="K916" s="2"/>
      <c r="L916" s="2" t="s">
        <v>63</v>
      </c>
    </row>
    <row r="917" customFormat="false" ht="11.9" hidden="false" customHeight="true" outlineLevel="0" collapsed="false">
      <c r="A917" s="2" t="str">
        <f aca="false">HYPERLINK("https://www.fabsurplus.com/sdi_catalog/salesItemDetails.do?id=114766")</f>
        <v>https://www.fabsurplus.com/sdi_catalog/salesItemDetails.do?id=114766</v>
      </c>
      <c r="B917" s="2" t="s">
        <v>2413</v>
      </c>
      <c r="C917" s="2" t="s">
        <v>1050</v>
      </c>
      <c r="D917" s="2" t="s">
        <v>2414</v>
      </c>
      <c r="E917" s="2" t="s">
        <v>2415</v>
      </c>
      <c r="F917" s="2" t="s">
        <v>16</v>
      </c>
      <c r="G917" s="2" t="s">
        <v>26</v>
      </c>
      <c r="H917" s="2"/>
      <c r="I917" s="2"/>
      <c r="J917" s="2" t="s">
        <v>19</v>
      </c>
      <c r="K917" s="2"/>
      <c r="L917" s="2" t="s">
        <v>63</v>
      </c>
    </row>
    <row r="918" customFormat="false" ht="11.9" hidden="false" customHeight="true" outlineLevel="0" collapsed="false">
      <c r="A918" s="2" t="str">
        <f aca="false">HYPERLINK("https://www.fabsurplus.com/sdi_catalog/salesItemDetails.do?id=115238")</f>
        <v>https://www.fabsurplus.com/sdi_catalog/salesItemDetails.do?id=115238</v>
      </c>
      <c r="B918" s="2" t="s">
        <v>2416</v>
      </c>
      <c r="C918" s="2" t="s">
        <v>1050</v>
      </c>
      <c r="D918" s="2" t="s">
        <v>2417</v>
      </c>
      <c r="E918" s="2" t="s">
        <v>1606</v>
      </c>
      <c r="F918" s="2" t="s">
        <v>16</v>
      </c>
      <c r="G918" s="2" t="s">
        <v>26</v>
      </c>
      <c r="H918" s="2"/>
      <c r="I918" s="2"/>
      <c r="J918" s="2" t="s">
        <v>19</v>
      </c>
      <c r="K918" s="2"/>
      <c r="L918" s="2" t="s">
        <v>63</v>
      </c>
    </row>
    <row r="919" customFormat="false" ht="11.9" hidden="false" customHeight="true" outlineLevel="0" collapsed="false">
      <c r="A919" s="3" t="str">
        <f aca="false">HYPERLINK("https://www.fabsurplus.com/sdi_catalog/salesItemDetails.do?id=115169")</f>
        <v>https://www.fabsurplus.com/sdi_catalog/salesItemDetails.do?id=115169</v>
      </c>
      <c r="B919" s="3" t="s">
        <v>2418</v>
      </c>
      <c r="C919" s="3" t="s">
        <v>1050</v>
      </c>
      <c r="D919" s="3" t="s">
        <v>2419</v>
      </c>
      <c r="E919" s="3" t="s">
        <v>2356</v>
      </c>
      <c r="F919" s="3" t="s">
        <v>16</v>
      </c>
      <c r="G919" s="3" t="s">
        <v>26</v>
      </c>
      <c r="H919" s="3"/>
      <c r="I919" s="3"/>
      <c r="J919" s="3" t="s">
        <v>19</v>
      </c>
      <c r="K919" s="3"/>
      <c r="L919" s="3" t="s">
        <v>63</v>
      </c>
    </row>
    <row r="920" customFormat="false" ht="11.9" hidden="false" customHeight="true" outlineLevel="0" collapsed="false">
      <c r="A920" s="2" t="str">
        <f aca="false">HYPERLINK("https://www.fabsurplus.com/sdi_catalog/salesItemDetails.do?id=115156")</f>
        <v>https://www.fabsurplus.com/sdi_catalog/salesItemDetails.do?id=115156</v>
      </c>
      <c r="B920" s="2" t="s">
        <v>2420</v>
      </c>
      <c r="C920" s="2" t="s">
        <v>1050</v>
      </c>
      <c r="D920" s="2" t="s">
        <v>2421</v>
      </c>
      <c r="E920" s="2" t="s">
        <v>2422</v>
      </c>
      <c r="F920" s="2" t="s">
        <v>16</v>
      </c>
      <c r="G920" s="2" t="s">
        <v>26</v>
      </c>
      <c r="H920" s="2"/>
      <c r="I920" s="2"/>
      <c r="J920" s="2" t="s">
        <v>19</v>
      </c>
      <c r="K920" s="2"/>
      <c r="L920" s="2" t="s">
        <v>63</v>
      </c>
    </row>
    <row r="921" customFormat="false" ht="11.9" hidden="false" customHeight="true" outlineLevel="0" collapsed="false">
      <c r="A921" s="3" t="str">
        <f aca="false">HYPERLINK("https://www.fabsurplus.com/sdi_catalog/salesItemDetails.do?id=114956")</f>
        <v>https://www.fabsurplus.com/sdi_catalog/salesItemDetails.do?id=114956</v>
      </c>
      <c r="B921" s="3" t="s">
        <v>2423</v>
      </c>
      <c r="C921" s="3" t="s">
        <v>1050</v>
      </c>
      <c r="D921" s="3" t="s">
        <v>2424</v>
      </c>
      <c r="E921" s="3" t="s">
        <v>2425</v>
      </c>
      <c r="F921" s="3" t="s">
        <v>77</v>
      </c>
      <c r="G921" s="3" t="s">
        <v>26</v>
      </c>
      <c r="H921" s="3"/>
      <c r="I921" s="3"/>
      <c r="J921" s="3" t="s">
        <v>19</v>
      </c>
      <c r="K921" s="3"/>
      <c r="L921" s="3" t="s">
        <v>63</v>
      </c>
    </row>
    <row r="922" customFormat="false" ht="11.9" hidden="false" customHeight="true" outlineLevel="0" collapsed="false">
      <c r="A922" s="2" t="str">
        <f aca="false">HYPERLINK("https://www.fabsurplus.com/sdi_catalog/salesItemDetails.do?id=115157")</f>
        <v>https://www.fabsurplus.com/sdi_catalog/salesItemDetails.do?id=115157</v>
      </c>
      <c r="B922" s="2" t="s">
        <v>2426</v>
      </c>
      <c r="C922" s="2" t="s">
        <v>1050</v>
      </c>
      <c r="D922" s="2" t="s">
        <v>2427</v>
      </c>
      <c r="E922" s="2" t="s">
        <v>2428</v>
      </c>
      <c r="F922" s="2" t="s">
        <v>16</v>
      </c>
      <c r="G922" s="2" t="s">
        <v>26</v>
      </c>
      <c r="H922" s="2"/>
      <c r="I922" s="2"/>
      <c r="J922" s="2" t="s">
        <v>19</v>
      </c>
      <c r="K922" s="2"/>
      <c r="L922" s="2" t="s">
        <v>63</v>
      </c>
    </row>
    <row r="923" customFormat="false" ht="11.9" hidden="false" customHeight="true" outlineLevel="0" collapsed="false">
      <c r="A923" s="3" t="str">
        <f aca="false">HYPERLINK("https://www.fabsurplus.com/sdi_catalog/salesItemDetails.do?id=114853")</f>
        <v>https://www.fabsurplus.com/sdi_catalog/salesItemDetails.do?id=114853</v>
      </c>
      <c r="B923" s="3" t="s">
        <v>2429</v>
      </c>
      <c r="C923" s="3" t="s">
        <v>1050</v>
      </c>
      <c r="D923" s="3" t="s">
        <v>2430</v>
      </c>
      <c r="E923" s="3" t="s">
        <v>2431</v>
      </c>
      <c r="F923" s="3" t="s">
        <v>16</v>
      </c>
      <c r="G923" s="3" t="s">
        <v>26</v>
      </c>
      <c r="H923" s="3"/>
      <c r="I923" s="3"/>
      <c r="J923" s="3" t="s">
        <v>19</v>
      </c>
      <c r="K923" s="3"/>
      <c r="L923" s="3" t="s">
        <v>63</v>
      </c>
    </row>
    <row r="924" customFormat="false" ht="11.9" hidden="false" customHeight="true" outlineLevel="0" collapsed="false">
      <c r="A924" s="2" t="str">
        <f aca="false">HYPERLINK("https://www.fabsurplus.com/sdi_catalog/salesItemDetails.do?id=115097")</f>
        <v>https://www.fabsurplus.com/sdi_catalog/salesItemDetails.do?id=115097</v>
      </c>
      <c r="B924" s="2" t="s">
        <v>2432</v>
      </c>
      <c r="C924" s="2" t="s">
        <v>1050</v>
      </c>
      <c r="D924" s="2" t="s">
        <v>2433</v>
      </c>
      <c r="E924" s="2" t="s">
        <v>2434</v>
      </c>
      <c r="F924" s="2" t="s">
        <v>16</v>
      </c>
      <c r="G924" s="2" t="s">
        <v>26</v>
      </c>
      <c r="H924" s="2"/>
      <c r="I924" s="2"/>
      <c r="J924" s="2" t="s">
        <v>19</v>
      </c>
      <c r="K924" s="2"/>
      <c r="L924" s="2" t="s">
        <v>63</v>
      </c>
    </row>
    <row r="925" customFormat="false" ht="11.9" hidden="false" customHeight="true" outlineLevel="0" collapsed="false">
      <c r="A925" s="3" t="str">
        <f aca="false">HYPERLINK("https://www.fabsurplus.com/sdi_catalog/salesItemDetails.do?id=106216")</f>
        <v>https://www.fabsurplus.com/sdi_catalog/salesItemDetails.do?id=106216</v>
      </c>
      <c r="B925" s="3" t="s">
        <v>2435</v>
      </c>
      <c r="C925" s="3" t="s">
        <v>1050</v>
      </c>
      <c r="D925" s="3" t="s">
        <v>2436</v>
      </c>
      <c r="E925" s="3" t="s">
        <v>2437</v>
      </c>
      <c r="F925" s="3" t="s">
        <v>16</v>
      </c>
      <c r="G925" s="3" t="s">
        <v>26</v>
      </c>
      <c r="H925" s="3" t="s">
        <v>1691</v>
      </c>
      <c r="I925" s="4" t="n">
        <v>36312</v>
      </c>
      <c r="J925" s="3" t="s">
        <v>19</v>
      </c>
      <c r="K925" s="3" t="s">
        <v>20</v>
      </c>
      <c r="L925" s="5" t="s">
        <v>1692</v>
      </c>
    </row>
    <row r="926" customFormat="false" ht="11.9" hidden="false" customHeight="true" outlineLevel="0" collapsed="false">
      <c r="A926" s="2" t="str">
        <f aca="false">HYPERLINK("https://www.fabsurplus.com/sdi_catalog/salesItemDetails.do?id=115181")</f>
        <v>https://www.fabsurplus.com/sdi_catalog/salesItemDetails.do?id=115181</v>
      </c>
      <c r="B926" s="2" t="s">
        <v>2438</v>
      </c>
      <c r="C926" s="2" t="s">
        <v>1050</v>
      </c>
      <c r="D926" s="2" t="s">
        <v>2439</v>
      </c>
      <c r="E926" s="2" t="s">
        <v>1312</v>
      </c>
      <c r="F926" s="2" t="s">
        <v>16</v>
      </c>
      <c r="G926" s="2" t="s">
        <v>26</v>
      </c>
      <c r="H926" s="2"/>
      <c r="I926" s="2"/>
      <c r="J926" s="2" t="s">
        <v>19</v>
      </c>
      <c r="K926" s="2"/>
      <c r="L926" s="2" t="s">
        <v>63</v>
      </c>
    </row>
    <row r="927" customFormat="false" ht="11.9" hidden="false" customHeight="true" outlineLevel="0" collapsed="false">
      <c r="A927" s="2" t="str">
        <f aca="false">HYPERLINK("https://www.fabsurplus.com/sdi_catalog/salesItemDetails.do?id=115239")</f>
        <v>https://www.fabsurplus.com/sdi_catalog/salesItemDetails.do?id=115239</v>
      </c>
      <c r="B927" s="2" t="s">
        <v>2440</v>
      </c>
      <c r="C927" s="2" t="s">
        <v>1050</v>
      </c>
      <c r="D927" s="2" t="s">
        <v>2441</v>
      </c>
      <c r="E927" s="2" t="s">
        <v>2442</v>
      </c>
      <c r="F927" s="2" t="s">
        <v>16</v>
      </c>
      <c r="G927" s="2" t="s">
        <v>26</v>
      </c>
      <c r="H927" s="2"/>
      <c r="I927" s="2"/>
      <c r="J927" s="2" t="s">
        <v>19</v>
      </c>
      <c r="K927" s="2"/>
      <c r="L927" s="2" t="s">
        <v>63</v>
      </c>
    </row>
    <row r="928" customFormat="false" ht="11.9" hidden="false" customHeight="true" outlineLevel="0" collapsed="false">
      <c r="A928" s="2" t="str">
        <f aca="false">HYPERLINK("https://www.fabsurplus.com/sdi_catalog/salesItemDetails.do?id=115124")</f>
        <v>https://www.fabsurplus.com/sdi_catalog/salesItemDetails.do?id=115124</v>
      </c>
      <c r="B928" s="2" t="s">
        <v>2443</v>
      </c>
      <c r="C928" s="2" t="s">
        <v>1050</v>
      </c>
      <c r="D928" s="2" t="s">
        <v>2444</v>
      </c>
      <c r="E928" s="2" t="s">
        <v>2445</v>
      </c>
      <c r="F928" s="2" t="s">
        <v>69</v>
      </c>
      <c r="G928" s="2" t="s">
        <v>26</v>
      </c>
      <c r="H928" s="2"/>
      <c r="I928" s="2"/>
      <c r="J928" s="2" t="s">
        <v>19</v>
      </c>
      <c r="K928" s="2"/>
      <c r="L928" s="2" t="s">
        <v>63</v>
      </c>
    </row>
    <row r="929" customFormat="false" ht="11.9" hidden="false" customHeight="true" outlineLevel="0" collapsed="false">
      <c r="A929" s="2" t="str">
        <f aca="false">HYPERLINK("https://www.fabsurplus.com/sdi_catalog/salesItemDetails.do?id=114748")</f>
        <v>https://www.fabsurplus.com/sdi_catalog/salesItemDetails.do?id=114748</v>
      </c>
      <c r="B929" s="2" t="s">
        <v>2446</v>
      </c>
      <c r="C929" s="2" t="s">
        <v>1050</v>
      </c>
      <c r="D929" s="2" t="s">
        <v>2447</v>
      </c>
      <c r="E929" s="2" t="s">
        <v>2448</v>
      </c>
      <c r="F929" s="2" t="s">
        <v>16</v>
      </c>
      <c r="G929" s="2" t="s">
        <v>26</v>
      </c>
      <c r="H929" s="2"/>
      <c r="I929" s="2"/>
      <c r="J929" s="2" t="s">
        <v>19</v>
      </c>
      <c r="K929" s="2"/>
      <c r="L929" s="2" t="s">
        <v>63</v>
      </c>
    </row>
    <row r="930" customFormat="false" ht="11.9" hidden="false" customHeight="true" outlineLevel="0" collapsed="false">
      <c r="A930" s="3" t="str">
        <f aca="false">HYPERLINK("https://www.fabsurplus.com/sdi_catalog/salesItemDetails.do?id=115076")</f>
        <v>https://www.fabsurplus.com/sdi_catalog/salesItemDetails.do?id=115076</v>
      </c>
      <c r="B930" s="3" t="s">
        <v>2449</v>
      </c>
      <c r="C930" s="3" t="s">
        <v>1050</v>
      </c>
      <c r="D930" s="3" t="s">
        <v>2450</v>
      </c>
      <c r="E930" s="3" t="s">
        <v>1606</v>
      </c>
      <c r="F930" s="3" t="s">
        <v>69</v>
      </c>
      <c r="G930" s="3" t="s">
        <v>26</v>
      </c>
      <c r="H930" s="3"/>
      <c r="I930" s="3"/>
      <c r="J930" s="3" t="s">
        <v>19</v>
      </c>
      <c r="K930" s="3"/>
      <c r="L930" s="3" t="s">
        <v>63</v>
      </c>
    </row>
    <row r="931" customFormat="false" ht="11.9" hidden="false" customHeight="true" outlineLevel="0" collapsed="false">
      <c r="A931" s="3" t="str">
        <f aca="false">HYPERLINK("https://www.fabsurplus.com/sdi_catalog/salesItemDetails.do?id=115004")</f>
        <v>https://www.fabsurplus.com/sdi_catalog/salesItemDetails.do?id=115004</v>
      </c>
      <c r="B931" s="3" t="s">
        <v>2451</v>
      </c>
      <c r="C931" s="3" t="s">
        <v>1050</v>
      </c>
      <c r="D931" s="3" t="s">
        <v>2452</v>
      </c>
      <c r="E931" s="3" t="s">
        <v>2453</v>
      </c>
      <c r="F931" s="3" t="s">
        <v>16</v>
      </c>
      <c r="G931" s="3" t="s">
        <v>26</v>
      </c>
      <c r="H931" s="3"/>
      <c r="I931" s="3"/>
      <c r="J931" s="3" t="s">
        <v>19</v>
      </c>
      <c r="K931" s="3"/>
      <c r="L931" s="3" t="s">
        <v>63</v>
      </c>
    </row>
    <row r="932" customFormat="false" ht="11.9" hidden="false" customHeight="true" outlineLevel="0" collapsed="false">
      <c r="A932" s="2" t="str">
        <f aca="false">HYPERLINK("https://www.fabsurplus.com/sdi_catalog/salesItemDetails.do?id=115175")</f>
        <v>https://www.fabsurplus.com/sdi_catalog/salesItemDetails.do?id=115175</v>
      </c>
      <c r="B932" s="2" t="s">
        <v>2454</v>
      </c>
      <c r="C932" s="2" t="s">
        <v>1050</v>
      </c>
      <c r="D932" s="2" t="s">
        <v>2455</v>
      </c>
      <c r="E932" s="2" t="s">
        <v>2456</v>
      </c>
      <c r="F932" s="2" t="s">
        <v>16</v>
      </c>
      <c r="G932" s="2" t="s">
        <v>26</v>
      </c>
      <c r="H932" s="2"/>
      <c r="I932" s="2"/>
      <c r="J932" s="2" t="s">
        <v>19</v>
      </c>
      <c r="K932" s="2"/>
      <c r="L932" s="2" t="s">
        <v>63</v>
      </c>
    </row>
    <row r="933" customFormat="false" ht="11.9" hidden="false" customHeight="true" outlineLevel="0" collapsed="false">
      <c r="A933" s="3" t="str">
        <f aca="false">HYPERLINK("https://www.fabsurplus.com/sdi_catalog/salesItemDetails.do?id=115176")</f>
        <v>https://www.fabsurplus.com/sdi_catalog/salesItemDetails.do?id=115176</v>
      </c>
      <c r="B933" s="3" t="s">
        <v>2457</v>
      </c>
      <c r="C933" s="3" t="s">
        <v>1050</v>
      </c>
      <c r="D933" s="3" t="s">
        <v>2458</v>
      </c>
      <c r="E933" s="3" t="s">
        <v>2459</v>
      </c>
      <c r="F933" s="3" t="s">
        <v>16</v>
      </c>
      <c r="G933" s="3" t="s">
        <v>26</v>
      </c>
      <c r="H933" s="3"/>
      <c r="I933" s="3"/>
      <c r="J933" s="3" t="s">
        <v>19</v>
      </c>
      <c r="K933" s="3"/>
      <c r="L933" s="3" t="s">
        <v>63</v>
      </c>
    </row>
    <row r="934" customFormat="false" ht="11.9" hidden="false" customHeight="true" outlineLevel="0" collapsed="false">
      <c r="A934" s="3" t="str">
        <f aca="false">HYPERLINK("https://www.fabsurplus.com/sdi_catalog/salesItemDetails.do?id=115240")</f>
        <v>https://www.fabsurplus.com/sdi_catalog/salesItemDetails.do?id=115240</v>
      </c>
      <c r="B934" s="3" t="s">
        <v>2460</v>
      </c>
      <c r="C934" s="3" t="s">
        <v>1050</v>
      </c>
      <c r="D934" s="3" t="s">
        <v>2461</v>
      </c>
      <c r="E934" s="3" t="s">
        <v>1275</v>
      </c>
      <c r="F934" s="3" t="s">
        <v>16</v>
      </c>
      <c r="G934" s="3" t="s">
        <v>26</v>
      </c>
      <c r="H934" s="3"/>
      <c r="I934" s="3"/>
      <c r="J934" s="3" t="s">
        <v>19</v>
      </c>
      <c r="K934" s="3"/>
      <c r="L934" s="3" t="s">
        <v>63</v>
      </c>
    </row>
    <row r="935" customFormat="false" ht="11.9" hidden="false" customHeight="true" outlineLevel="0" collapsed="false">
      <c r="A935" s="3" t="str">
        <f aca="false">HYPERLINK("https://www.fabsurplus.com/sdi_catalog/salesItemDetails.do?id=115077")</f>
        <v>https://www.fabsurplus.com/sdi_catalog/salesItemDetails.do?id=115077</v>
      </c>
      <c r="B935" s="3" t="s">
        <v>2462</v>
      </c>
      <c r="C935" s="3" t="s">
        <v>1050</v>
      </c>
      <c r="D935" s="3" t="s">
        <v>2463</v>
      </c>
      <c r="E935" s="3" t="s">
        <v>2464</v>
      </c>
      <c r="F935" s="3" t="s">
        <v>69</v>
      </c>
      <c r="G935" s="3" t="s">
        <v>26</v>
      </c>
      <c r="H935" s="3"/>
      <c r="I935" s="3"/>
      <c r="J935" s="3" t="s">
        <v>19</v>
      </c>
      <c r="K935" s="3"/>
      <c r="L935" s="3" t="s">
        <v>63</v>
      </c>
    </row>
    <row r="936" customFormat="false" ht="11.9" hidden="false" customHeight="true" outlineLevel="0" collapsed="false">
      <c r="A936" s="2" t="str">
        <f aca="false">HYPERLINK("https://www.fabsurplus.com/sdi_catalog/salesItemDetails.do?id=71933")</f>
        <v>https://www.fabsurplus.com/sdi_catalog/salesItemDetails.do?id=71933</v>
      </c>
      <c r="B936" s="2" t="s">
        <v>2465</v>
      </c>
      <c r="C936" s="2" t="s">
        <v>1050</v>
      </c>
      <c r="D936" s="2" t="s">
        <v>2466</v>
      </c>
      <c r="E936" s="2" t="s">
        <v>2467</v>
      </c>
      <c r="F936" s="2" t="s">
        <v>16</v>
      </c>
      <c r="G936" s="2" t="s">
        <v>17</v>
      </c>
      <c r="H936" s="2" t="s">
        <v>1691</v>
      </c>
      <c r="I936" s="7" t="n">
        <v>36311.9166666667</v>
      </c>
      <c r="J936" s="2" t="s">
        <v>19</v>
      </c>
      <c r="K936" s="2" t="s">
        <v>20</v>
      </c>
      <c r="L936" s="6" t="s">
        <v>1711</v>
      </c>
    </row>
    <row r="937" customFormat="false" ht="11.9" hidden="false" customHeight="true" outlineLevel="0" collapsed="false">
      <c r="A937" s="2" t="str">
        <f aca="false">HYPERLINK("https://www.fabsurplus.com/sdi_catalog/salesItemDetails.do?id=115158")</f>
        <v>https://www.fabsurplus.com/sdi_catalog/salesItemDetails.do?id=115158</v>
      </c>
      <c r="B937" s="2" t="s">
        <v>2468</v>
      </c>
      <c r="C937" s="2" t="s">
        <v>1050</v>
      </c>
      <c r="D937" s="2" t="s">
        <v>2469</v>
      </c>
      <c r="E937" s="2" t="s">
        <v>2470</v>
      </c>
      <c r="F937" s="2" t="s">
        <v>69</v>
      </c>
      <c r="G937" s="2" t="s">
        <v>26</v>
      </c>
      <c r="H937" s="2"/>
      <c r="I937" s="2"/>
      <c r="J937" s="2" t="s">
        <v>19</v>
      </c>
      <c r="K937" s="2"/>
      <c r="L937" s="2" t="s">
        <v>63</v>
      </c>
    </row>
    <row r="938" customFormat="false" ht="11.9" hidden="false" customHeight="true" outlineLevel="0" collapsed="false">
      <c r="A938" s="3" t="str">
        <f aca="false">HYPERLINK("https://www.fabsurplus.com/sdi_catalog/salesItemDetails.do?id=114829")</f>
        <v>https://www.fabsurplus.com/sdi_catalog/salesItemDetails.do?id=114829</v>
      </c>
      <c r="B938" s="3" t="s">
        <v>2471</v>
      </c>
      <c r="C938" s="3" t="s">
        <v>1050</v>
      </c>
      <c r="D938" s="3" t="s">
        <v>2472</v>
      </c>
      <c r="E938" s="3" t="s">
        <v>2473</v>
      </c>
      <c r="F938" s="3" t="s">
        <v>77</v>
      </c>
      <c r="G938" s="3" t="s">
        <v>26</v>
      </c>
      <c r="H938" s="3"/>
      <c r="I938" s="3"/>
      <c r="J938" s="3" t="s">
        <v>19</v>
      </c>
      <c r="K938" s="3"/>
      <c r="L938" s="3" t="s">
        <v>63</v>
      </c>
    </row>
    <row r="939" customFormat="false" ht="11.9" hidden="false" customHeight="true" outlineLevel="0" collapsed="false">
      <c r="A939" s="2" t="str">
        <f aca="false">HYPERLINK("https://www.fabsurplus.com/sdi_catalog/salesItemDetails.do?id=114830")</f>
        <v>https://www.fabsurplus.com/sdi_catalog/salesItemDetails.do?id=114830</v>
      </c>
      <c r="B939" s="2" t="s">
        <v>2474</v>
      </c>
      <c r="C939" s="2" t="s">
        <v>1050</v>
      </c>
      <c r="D939" s="2" t="s">
        <v>2475</v>
      </c>
      <c r="E939" s="2" t="s">
        <v>2476</v>
      </c>
      <c r="F939" s="2" t="s">
        <v>16</v>
      </c>
      <c r="G939" s="2" t="s">
        <v>26</v>
      </c>
      <c r="H939" s="2"/>
      <c r="I939" s="2"/>
      <c r="J939" s="2" t="s">
        <v>19</v>
      </c>
      <c r="K939" s="2"/>
      <c r="L939" s="2" t="s">
        <v>63</v>
      </c>
    </row>
    <row r="940" customFormat="false" ht="11.9" hidden="false" customHeight="true" outlineLevel="0" collapsed="false">
      <c r="A940" s="3" t="str">
        <f aca="false">HYPERLINK("https://www.fabsurplus.com/sdi_catalog/salesItemDetails.do?id=114861")</f>
        <v>https://www.fabsurplus.com/sdi_catalog/salesItemDetails.do?id=114861</v>
      </c>
      <c r="B940" s="3" t="s">
        <v>2477</v>
      </c>
      <c r="C940" s="3" t="s">
        <v>1050</v>
      </c>
      <c r="D940" s="3" t="s">
        <v>2478</v>
      </c>
      <c r="E940" s="3" t="s">
        <v>2479</v>
      </c>
      <c r="F940" s="3" t="s">
        <v>16</v>
      </c>
      <c r="G940" s="3" t="s">
        <v>26</v>
      </c>
      <c r="H940" s="3"/>
      <c r="I940" s="3"/>
      <c r="J940" s="3" t="s">
        <v>19</v>
      </c>
      <c r="K940" s="3"/>
      <c r="L940" s="3" t="s">
        <v>63</v>
      </c>
    </row>
    <row r="941" customFormat="false" ht="11.9" hidden="false" customHeight="true" outlineLevel="0" collapsed="false">
      <c r="A941" s="3" t="str">
        <f aca="false">HYPERLINK("https://www.fabsurplus.com/sdi_catalog/salesItemDetails.do?id=114871")</f>
        <v>https://www.fabsurplus.com/sdi_catalog/salesItemDetails.do?id=114871</v>
      </c>
      <c r="B941" s="3" t="s">
        <v>2480</v>
      </c>
      <c r="C941" s="3" t="s">
        <v>1050</v>
      </c>
      <c r="D941" s="3" t="s">
        <v>2481</v>
      </c>
      <c r="E941" s="3" t="s">
        <v>2479</v>
      </c>
      <c r="F941" s="3" t="s">
        <v>16</v>
      </c>
      <c r="G941" s="3" t="s">
        <v>26</v>
      </c>
      <c r="H941" s="3"/>
      <c r="I941" s="3"/>
      <c r="J941" s="3" t="s">
        <v>19</v>
      </c>
      <c r="K941" s="3"/>
      <c r="L941" s="3" t="s">
        <v>63</v>
      </c>
    </row>
    <row r="942" customFormat="false" ht="11.9" hidden="false" customHeight="true" outlineLevel="0" collapsed="false">
      <c r="A942" s="3" t="str">
        <f aca="false">HYPERLINK("https://www.fabsurplus.com/sdi_catalog/salesItemDetails.do?id=115241")</f>
        <v>https://www.fabsurplus.com/sdi_catalog/salesItemDetails.do?id=115241</v>
      </c>
      <c r="B942" s="3" t="s">
        <v>2482</v>
      </c>
      <c r="C942" s="3" t="s">
        <v>1050</v>
      </c>
      <c r="D942" s="3" t="s">
        <v>2483</v>
      </c>
      <c r="E942" s="3" t="s">
        <v>2484</v>
      </c>
      <c r="F942" s="3" t="s">
        <v>16</v>
      </c>
      <c r="G942" s="3" t="s">
        <v>26</v>
      </c>
      <c r="H942" s="3"/>
      <c r="I942" s="3"/>
      <c r="J942" s="3" t="s">
        <v>19</v>
      </c>
      <c r="K942" s="3"/>
      <c r="L942" s="3" t="s">
        <v>63</v>
      </c>
    </row>
    <row r="943" customFormat="false" ht="11.9" hidden="false" customHeight="true" outlineLevel="0" collapsed="false">
      <c r="A943" s="2" t="str">
        <f aca="false">HYPERLINK("https://www.fabsurplus.com/sdi_catalog/salesItemDetails.do?id=114872")</f>
        <v>https://www.fabsurplus.com/sdi_catalog/salesItemDetails.do?id=114872</v>
      </c>
      <c r="B943" s="2" t="s">
        <v>2485</v>
      </c>
      <c r="C943" s="2" t="s">
        <v>1050</v>
      </c>
      <c r="D943" s="2" t="s">
        <v>2486</v>
      </c>
      <c r="E943" s="2" t="s">
        <v>2487</v>
      </c>
      <c r="F943" s="2" t="s">
        <v>16</v>
      </c>
      <c r="G943" s="2" t="s">
        <v>26</v>
      </c>
      <c r="H943" s="2"/>
      <c r="I943" s="2"/>
      <c r="J943" s="2" t="s">
        <v>19</v>
      </c>
      <c r="K943" s="2"/>
      <c r="L943" s="2" t="s">
        <v>63</v>
      </c>
    </row>
    <row r="944" customFormat="false" ht="11.9" hidden="false" customHeight="true" outlineLevel="0" collapsed="false">
      <c r="A944" s="3" t="str">
        <f aca="false">HYPERLINK("https://www.fabsurplus.com/sdi_catalog/salesItemDetails.do?id=115078")</f>
        <v>https://www.fabsurplus.com/sdi_catalog/salesItemDetails.do?id=115078</v>
      </c>
      <c r="B944" s="3" t="s">
        <v>2488</v>
      </c>
      <c r="C944" s="3" t="s">
        <v>1050</v>
      </c>
      <c r="D944" s="3" t="s">
        <v>2489</v>
      </c>
      <c r="E944" s="3" t="s">
        <v>2490</v>
      </c>
      <c r="F944" s="3" t="s">
        <v>16</v>
      </c>
      <c r="G944" s="3" t="s">
        <v>26</v>
      </c>
      <c r="H944" s="3"/>
      <c r="I944" s="3"/>
      <c r="J944" s="3" t="s">
        <v>19</v>
      </c>
      <c r="K944" s="3"/>
      <c r="L944" s="3" t="s">
        <v>63</v>
      </c>
    </row>
    <row r="945" customFormat="false" ht="11.9" hidden="false" customHeight="true" outlineLevel="0" collapsed="false">
      <c r="A945" s="3" t="str">
        <f aca="false">HYPERLINK("https://www.fabsurplus.com/sdi_catalog/salesItemDetails.do?id=114958")</f>
        <v>https://www.fabsurplus.com/sdi_catalog/salesItemDetails.do?id=114958</v>
      </c>
      <c r="B945" s="3" t="s">
        <v>2491</v>
      </c>
      <c r="C945" s="3" t="s">
        <v>1050</v>
      </c>
      <c r="D945" s="3" t="s">
        <v>2489</v>
      </c>
      <c r="E945" s="3" t="s">
        <v>2492</v>
      </c>
      <c r="F945" s="3" t="s">
        <v>104</v>
      </c>
      <c r="G945" s="3" t="s">
        <v>26</v>
      </c>
      <c r="H945" s="3"/>
      <c r="I945" s="3"/>
      <c r="J945" s="3" t="s">
        <v>19</v>
      </c>
      <c r="K945" s="3"/>
      <c r="L945" s="3" t="s">
        <v>63</v>
      </c>
    </row>
    <row r="946" customFormat="false" ht="11.9" hidden="false" customHeight="true" outlineLevel="0" collapsed="false">
      <c r="A946" s="2" t="str">
        <f aca="false">HYPERLINK("https://www.fabsurplus.com/sdi_catalog/salesItemDetails.do?id=114957")</f>
        <v>https://www.fabsurplus.com/sdi_catalog/salesItemDetails.do?id=114957</v>
      </c>
      <c r="B946" s="2" t="s">
        <v>2493</v>
      </c>
      <c r="C946" s="2" t="s">
        <v>1050</v>
      </c>
      <c r="D946" s="2" t="s">
        <v>2489</v>
      </c>
      <c r="E946" s="2" t="s">
        <v>2492</v>
      </c>
      <c r="F946" s="2" t="s">
        <v>101</v>
      </c>
      <c r="G946" s="2" t="s">
        <v>26</v>
      </c>
      <c r="H946" s="2"/>
      <c r="I946" s="2"/>
      <c r="J946" s="2" t="s">
        <v>19</v>
      </c>
      <c r="K946" s="2"/>
      <c r="L946" s="2" t="s">
        <v>63</v>
      </c>
    </row>
    <row r="947" customFormat="false" ht="11.9" hidden="false" customHeight="true" outlineLevel="0" collapsed="false">
      <c r="A947" s="3" t="str">
        <f aca="false">HYPERLINK("https://www.fabsurplus.com/sdi_catalog/salesItemDetails.do?id=114959")</f>
        <v>https://www.fabsurplus.com/sdi_catalog/salesItemDetails.do?id=114959</v>
      </c>
      <c r="B947" s="3" t="s">
        <v>2494</v>
      </c>
      <c r="C947" s="3" t="s">
        <v>1050</v>
      </c>
      <c r="D947" s="3" t="s">
        <v>2495</v>
      </c>
      <c r="E947" s="3" t="s">
        <v>2496</v>
      </c>
      <c r="F947" s="3" t="s">
        <v>16</v>
      </c>
      <c r="G947" s="3" t="s">
        <v>26</v>
      </c>
      <c r="H947" s="3"/>
      <c r="I947" s="3"/>
      <c r="J947" s="3" t="s">
        <v>19</v>
      </c>
      <c r="K947" s="3"/>
      <c r="L947" s="3" t="s">
        <v>63</v>
      </c>
    </row>
    <row r="948" customFormat="false" ht="11.9" hidden="false" customHeight="true" outlineLevel="0" collapsed="false">
      <c r="A948" s="2" t="str">
        <f aca="false">HYPERLINK("https://www.fabsurplus.com/sdi_catalog/salesItemDetails.do?id=114612")</f>
        <v>https://www.fabsurplus.com/sdi_catalog/salesItemDetails.do?id=114612</v>
      </c>
      <c r="B948" s="2" t="s">
        <v>2497</v>
      </c>
      <c r="C948" s="2" t="s">
        <v>1050</v>
      </c>
      <c r="D948" s="2" t="s">
        <v>2498</v>
      </c>
      <c r="E948" s="2" t="s">
        <v>2499</v>
      </c>
      <c r="F948" s="2" t="s">
        <v>16</v>
      </c>
      <c r="G948" s="2" t="s">
        <v>26</v>
      </c>
      <c r="H948" s="2"/>
      <c r="I948" s="2"/>
      <c r="J948" s="2" t="s">
        <v>19</v>
      </c>
      <c r="K948" s="2"/>
      <c r="L948" s="2" t="s">
        <v>63</v>
      </c>
    </row>
    <row r="949" customFormat="false" ht="11.9" hidden="false" customHeight="true" outlineLevel="0" collapsed="false">
      <c r="A949" s="3" t="str">
        <f aca="false">HYPERLINK("https://www.fabsurplus.com/sdi_catalog/salesItemDetails.do?id=115159")</f>
        <v>https://www.fabsurplus.com/sdi_catalog/salesItemDetails.do?id=115159</v>
      </c>
      <c r="B949" s="3" t="s">
        <v>2500</v>
      </c>
      <c r="C949" s="3" t="s">
        <v>1050</v>
      </c>
      <c r="D949" s="3" t="s">
        <v>2501</v>
      </c>
      <c r="E949" s="3" t="s">
        <v>2502</v>
      </c>
      <c r="F949" s="3" t="s">
        <v>16</v>
      </c>
      <c r="G949" s="3" t="s">
        <v>26</v>
      </c>
      <c r="H949" s="3"/>
      <c r="I949" s="3"/>
      <c r="J949" s="3" t="s">
        <v>19</v>
      </c>
      <c r="K949" s="3"/>
      <c r="L949" s="3" t="s">
        <v>63</v>
      </c>
    </row>
    <row r="950" customFormat="false" ht="11.9" hidden="false" customHeight="true" outlineLevel="0" collapsed="false">
      <c r="A950" s="3" t="str">
        <f aca="false">HYPERLINK("https://www.fabsurplus.com/sdi_catalog/salesItemDetails.do?id=114901")</f>
        <v>https://www.fabsurplus.com/sdi_catalog/salesItemDetails.do?id=114901</v>
      </c>
      <c r="B950" s="3" t="s">
        <v>2503</v>
      </c>
      <c r="C950" s="3" t="s">
        <v>1050</v>
      </c>
      <c r="D950" s="3" t="s">
        <v>2504</v>
      </c>
      <c r="E950" s="3" t="s">
        <v>2505</v>
      </c>
      <c r="F950" s="3" t="s">
        <v>16</v>
      </c>
      <c r="G950" s="3" t="s">
        <v>26</v>
      </c>
      <c r="H950" s="3"/>
      <c r="I950" s="3"/>
      <c r="J950" s="3" t="s">
        <v>19</v>
      </c>
      <c r="K950" s="3"/>
      <c r="L950" s="3" t="s">
        <v>63</v>
      </c>
    </row>
    <row r="951" customFormat="false" ht="11.9" hidden="false" customHeight="true" outlineLevel="0" collapsed="false">
      <c r="A951" s="3" t="str">
        <f aca="false">HYPERLINK("https://www.fabsurplus.com/sdi_catalog/salesItemDetails.do?id=114902")</f>
        <v>https://www.fabsurplus.com/sdi_catalog/salesItemDetails.do?id=114902</v>
      </c>
      <c r="B951" s="3" t="s">
        <v>2506</v>
      </c>
      <c r="C951" s="3" t="s">
        <v>1050</v>
      </c>
      <c r="D951" s="3" t="s">
        <v>2504</v>
      </c>
      <c r="E951" s="3" t="s">
        <v>2507</v>
      </c>
      <c r="F951" s="3" t="s">
        <v>69</v>
      </c>
      <c r="G951" s="3" t="s">
        <v>26</v>
      </c>
      <c r="H951" s="3"/>
      <c r="I951" s="3"/>
      <c r="J951" s="3" t="s">
        <v>19</v>
      </c>
      <c r="K951" s="3"/>
      <c r="L951" s="3" t="s">
        <v>63</v>
      </c>
    </row>
    <row r="952" customFormat="false" ht="11.9" hidden="false" customHeight="true" outlineLevel="0" collapsed="false">
      <c r="A952" s="3" t="str">
        <f aca="false">HYPERLINK("https://www.fabsurplus.com/sdi_catalog/salesItemDetails.do?id=115173")</f>
        <v>https://www.fabsurplus.com/sdi_catalog/salesItemDetails.do?id=115173</v>
      </c>
      <c r="B952" s="3" t="s">
        <v>2508</v>
      </c>
      <c r="C952" s="3" t="s">
        <v>1050</v>
      </c>
      <c r="D952" s="3" t="s">
        <v>2509</v>
      </c>
      <c r="E952" s="3" t="s">
        <v>2510</v>
      </c>
      <c r="F952" s="3" t="s">
        <v>16</v>
      </c>
      <c r="G952" s="3" t="s">
        <v>26</v>
      </c>
      <c r="H952" s="3"/>
      <c r="I952" s="3"/>
      <c r="J952" s="3" t="s">
        <v>19</v>
      </c>
      <c r="K952" s="3"/>
      <c r="L952" s="3" t="s">
        <v>63</v>
      </c>
    </row>
    <row r="953" customFormat="false" ht="11.9" hidden="false" customHeight="true" outlineLevel="0" collapsed="false">
      <c r="A953" s="2" t="str">
        <f aca="false">HYPERLINK("https://www.fabsurplus.com/sdi_catalog/salesItemDetails.do?id=114903")</f>
        <v>https://www.fabsurplus.com/sdi_catalog/salesItemDetails.do?id=114903</v>
      </c>
      <c r="B953" s="2" t="s">
        <v>2511</v>
      </c>
      <c r="C953" s="2" t="s">
        <v>1050</v>
      </c>
      <c r="D953" s="2" t="s">
        <v>2512</v>
      </c>
      <c r="E953" s="2" t="s">
        <v>2513</v>
      </c>
      <c r="F953" s="2" t="s">
        <v>16</v>
      </c>
      <c r="G953" s="2" t="s">
        <v>26</v>
      </c>
      <c r="H953" s="2"/>
      <c r="I953" s="2"/>
      <c r="J953" s="2" t="s">
        <v>19</v>
      </c>
      <c r="K953" s="2"/>
      <c r="L953" s="2" t="s">
        <v>63</v>
      </c>
    </row>
    <row r="954" customFormat="false" ht="11.9" hidden="false" customHeight="true" outlineLevel="0" collapsed="false">
      <c r="A954" s="3" t="str">
        <f aca="false">HYPERLINK("https://www.fabsurplus.com/sdi_catalog/salesItemDetails.do?id=114904")</f>
        <v>https://www.fabsurplus.com/sdi_catalog/salesItemDetails.do?id=114904</v>
      </c>
      <c r="B954" s="3" t="s">
        <v>2514</v>
      </c>
      <c r="C954" s="3" t="s">
        <v>1050</v>
      </c>
      <c r="D954" s="3" t="s">
        <v>2515</v>
      </c>
      <c r="E954" s="3" t="s">
        <v>2516</v>
      </c>
      <c r="F954" s="3" t="s">
        <v>16</v>
      </c>
      <c r="G954" s="3" t="s">
        <v>26</v>
      </c>
      <c r="H954" s="3"/>
      <c r="I954" s="3"/>
      <c r="J954" s="3" t="s">
        <v>19</v>
      </c>
      <c r="K954" s="3"/>
      <c r="L954" s="3" t="s">
        <v>63</v>
      </c>
    </row>
    <row r="955" customFormat="false" ht="11.9" hidden="false" customHeight="true" outlineLevel="0" collapsed="false">
      <c r="A955" s="3" t="str">
        <f aca="false">HYPERLINK("https://www.fabsurplus.com/sdi_catalog/salesItemDetails.do?id=114990")</f>
        <v>https://www.fabsurplus.com/sdi_catalog/salesItemDetails.do?id=114990</v>
      </c>
      <c r="B955" s="3" t="s">
        <v>2517</v>
      </c>
      <c r="C955" s="3" t="s">
        <v>1050</v>
      </c>
      <c r="D955" s="3" t="s">
        <v>2518</v>
      </c>
      <c r="E955" s="3" t="s">
        <v>1606</v>
      </c>
      <c r="F955" s="3" t="s">
        <v>16</v>
      </c>
      <c r="G955" s="3" t="s">
        <v>26</v>
      </c>
      <c r="H955" s="3"/>
      <c r="I955" s="3"/>
      <c r="J955" s="3" t="s">
        <v>19</v>
      </c>
      <c r="K955" s="3"/>
      <c r="L955" s="3" t="s">
        <v>63</v>
      </c>
    </row>
    <row r="956" customFormat="false" ht="11.9" hidden="false" customHeight="true" outlineLevel="0" collapsed="false">
      <c r="A956" s="2" t="str">
        <f aca="false">HYPERLINK("https://www.fabsurplus.com/sdi_catalog/salesItemDetails.do?id=114738")</f>
        <v>https://www.fabsurplus.com/sdi_catalog/salesItemDetails.do?id=114738</v>
      </c>
      <c r="B956" s="2" t="s">
        <v>2519</v>
      </c>
      <c r="C956" s="2" t="s">
        <v>1050</v>
      </c>
      <c r="D956" s="2" t="s">
        <v>2520</v>
      </c>
      <c r="E956" s="2" t="s">
        <v>2521</v>
      </c>
      <c r="F956" s="2" t="s">
        <v>16</v>
      </c>
      <c r="G956" s="2" t="s">
        <v>26</v>
      </c>
      <c r="H956" s="2"/>
      <c r="I956" s="2"/>
      <c r="J956" s="2" t="s">
        <v>19</v>
      </c>
      <c r="K956" s="2"/>
      <c r="L956" s="2" t="s">
        <v>63</v>
      </c>
    </row>
    <row r="957" customFormat="false" ht="11.9" hidden="false" customHeight="true" outlineLevel="0" collapsed="false">
      <c r="A957" s="2" t="str">
        <f aca="false">HYPERLINK("https://www.fabsurplus.com/sdi_catalog/salesItemDetails.do?id=114655")</f>
        <v>https://www.fabsurplus.com/sdi_catalog/salesItemDetails.do?id=114655</v>
      </c>
      <c r="B957" s="2" t="s">
        <v>2522</v>
      </c>
      <c r="C957" s="2" t="s">
        <v>1050</v>
      </c>
      <c r="D957" s="2" t="s">
        <v>2523</v>
      </c>
      <c r="E957" s="2" t="s">
        <v>2524</v>
      </c>
      <c r="F957" s="2" t="s">
        <v>77</v>
      </c>
      <c r="G957" s="2" t="s">
        <v>26</v>
      </c>
      <c r="H957" s="2"/>
      <c r="I957" s="2"/>
      <c r="J957" s="2" t="s">
        <v>19</v>
      </c>
      <c r="K957" s="2"/>
      <c r="L957" s="2" t="s">
        <v>63</v>
      </c>
    </row>
    <row r="958" customFormat="false" ht="11.9" hidden="false" customHeight="true" outlineLevel="0" collapsed="false">
      <c r="A958" s="3" t="str">
        <f aca="false">HYPERLINK("https://www.fabsurplus.com/sdi_catalog/salesItemDetails.do?id=114679")</f>
        <v>https://www.fabsurplus.com/sdi_catalog/salesItemDetails.do?id=114679</v>
      </c>
      <c r="B958" s="3" t="s">
        <v>2525</v>
      </c>
      <c r="C958" s="3" t="s">
        <v>1050</v>
      </c>
      <c r="D958" s="3" t="s">
        <v>2526</v>
      </c>
      <c r="E958" s="3" t="s">
        <v>2527</v>
      </c>
      <c r="F958" s="3" t="s">
        <v>16</v>
      </c>
      <c r="G958" s="3" t="s">
        <v>26</v>
      </c>
      <c r="H958" s="3"/>
      <c r="I958" s="3"/>
      <c r="J958" s="3" t="s">
        <v>19</v>
      </c>
      <c r="K958" s="3"/>
      <c r="L958" s="3" t="s">
        <v>63</v>
      </c>
    </row>
    <row r="959" customFormat="false" ht="11.9" hidden="false" customHeight="true" outlineLevel="0" collapsed="false">
      <c r="A959" s="2" t="str">
        <f aca="false">HYPERLINK("https://www.fabsurplus.com/sdi_catalog/salesItemDetails.do?id=115242")</f>
        <v>https://www.fabsurplus.com/sdi_catalog/salesItemDetails.do?id=115242</v>
      </c>
      <c r="B959" s="2" t="s">
        <v>2528</v>
      </c>
      <c r="C959" s="2" t="s">
        <v>1050</v>
      </c>
      <c r="D959" s="2" t="s">
        <v>2529</v>
      </c>
      <c r="E959" s="2" t="s">
        <v>2530</v>
      </c>
      <c r="F959" s="2" t="s">
        <v>16</v>
      </c>
      <c r="G959" s="2" t="s">
        <v>26</v>
      </c>
      <c r="H959" s="2"/>
      <c r="I959" s="2"/>
      <c r="J959" s="2" t="s">
        <v>19</v>
      </c>
      <c r="K959" s="2"/>
      <c r="L959" s="2" t="s">
        <v>63</v>
      </c>
    </row>
    <row r="960" customFormat="false" ht="11.9" hidden="false" customHeight="true" outlineLevel="0" collapsed="false">
      <c r="A960" s="2" t="str">
        <f aca="false">HYPERLINK("https://www.fabsurplus.com/sdi_catalog/salesItemDetails.do?id=114767")</f>
        <v>https://www.fabsurplus.com/sdi_catalog/salesItemDetails.do?id=114767</v>
      </c>
      <c r="B960" s="2" t="s">
        <v>2531</v>
      </c>
      <c r="C960" s="2" t="s">
        <v>1050</v>
      </c>
      <c r="D960" s="2" t="s">
        <v>2532</v>
      </c>
      <c r="E960" s="2" t="s">
        <v>2533</v>
      </c>
      <c r="F960" s="2" t="s">
        <v>77</v>
      </c>
      <c r="G960" s="2" t="s">
        <v>26</v>
      </c>
      <c r="H960" s="2"/>
      <c r="I960" s="2"/>
      <c r="J960" s="2" t="s">
        <v>19</v>
      </c>
      <c r="K960" s="2"/>
      <c r="L960" s="2" t="s">
        <v>63</v>
      </c>
    </row>
    <row r="961" customFormat="false" ht="11.9" hidden="false" customHeight="true" outlineLevel="0" collapsed="false">
      <c r="A961" s="2" t="str">
        <f aca="false">HYPERLINK("https://www.fabsurplus.com/sdi_catalog/salesItemDetails.do?id=114680")</f>
        <v>https://www.fabsurplus.com/sdi_catalog/salesItemDetails.do?id=114680</v>
      </c>
      <c r="B961" s="2" t="s">
        <v>2534</v>
      </c>
      <c r="C961" s="2" t="s">
        <v>1050</v>
      </c>
      <c r="D961" s="2" t="s">
        <v>2535</v>
      </c>
      <c r="E961" s="2" t="s">
        <v>2536</v>
      </c>
      <c r="F961" s="2" t="s">
        <v>77</v>
      </c>
      <c r="G961" s="2" t="s">
        <v>26</v>
      </c>
      <c r="H961" s="2"/>
      <c r="I961" s="2"/>
      <c r="J961" s="2" t="s">
        <v>19</v>
      </c>
      <c r="K961" s="2"/>
      <c r="L961" s="2" t="s">
        <v>63</v>
      </c>
    </row>
    <row r="962" customFormat="false" ht="11.9" hidden="false" customHeight="true" outlineLevel="0" collapsed="false">
      <c r="A962" s="2" t="str">
        <f aca="false">HYPERLINK("https://www.fabsurplus.com/sdi_catalog/salesItemDetails.do?id=114656")</f>
        <v>https://www.fabsurplus.com/sdi_catalog/salesItemDetails.do?id=114656</v>
      </c>
      <c r="B962" s="2" t="s">
        <v>2537</v>
      </c>
      <c r="C962" s="2" t="s">
        <v>1050</v>
      </c>
      <c r="D962" s="2" t="s">
        <v>2535</v>
      </c>
      <c r="E962" s="2" t="s">
        <v>2538</v>
      </c>
      <c r="F962" s="2" t="s">
        <v>16</v>
      </c>
      <c r="G962" s="2" t="s">
        <v>26</v>
      </c>
      <c r="H962" s="2"/>
      <c r="I962" s="2"/>
      <c r="J962" s="2" t="s">
        <v>19</v>
      </c>
      <c r="K962" s="2"/>
      <c r="L962" s="2" t="s">
        <v>63</v>
      </c>
    </row>
    <row r="963" customFormat="false" ht="11.9" hidden="false" customHeight="true" outlineLevel="0" collapsed="false">
      <c r="A963" s="2" t="str">
        <f aca="false">HYPERLINK("https://www.fabsurplus.com/sdi_catalog/salesItemDetails.do?id=114831")</f>
        <v>https://www.fabsurplus.com/sdi_catalog/salesItemDetails.do?id=114831</v>
      </c>
      <c r="B963" s="2" t="s">
        <v>2539</v>
      </c>
      <c r="C963" s="2" t="s">
        <v>1050</v>
      </c>
      <c r="D963" s="2" t="s">
        <v>2540</v>
      </c>
      <c r="E963" s="2" t="s">
        <v>2541</v>
      </c>
      <c r="F963" s="2" t="s">
        <v>16</v>
      </c>
      <c r="G963" s="2" t="s">
        <v>26</v>
      </c>
      <c r="H963" s="2"/>
      <c r="I963" s="2"/>
      <c r="J963" s="2" t="s">
        <v>19</v>
      </c>
      <c r="K963" s="2"/>
      <c r="L963" s="2" t="s">
        <v>63</v>
      </c>
    </row>
    <row r="964" customFormat="false" ht="11.9" hidden="false" customHeight="true" outlineLevel="0" collapsed="false">
      <c r="A964" s="2" t="str">
        <f aca="false">HYPERLINK("https://www.fabsurplus.com/sdi_catalog/salesItemDetails.do?id=114739")</f>
        <v>https://www.fabsurplus.com/sdi_catalog/salesItemDetails.do?id=114739</v>
      </c>
      <c r="B964" s="2" t="s">
        <v>2542</v>
      </c>
      <c r="C964" s="2" t="s">
        <v>1050</v>
      </c>
      <c r="D964" s="2" t="s">
        <v>2543</v>
      </c>
      <c r="E964" s="2" t="s">
        <v>2544</v>
      </c>
      <c r="F964" s="2" t="s">
        <v>16</v>
      </c>
      <c r="G964" s="2" t="s">
        <v>26</v>
      </c>
      <c r="H964" s="2"/>
      <c r="I964" s="2"/>
      <c r="J964" s="2" t="s">
        <v>19</v>
      </c>
      <c r="K964" s="2"/>
      <c r="L964" s="2" t="s">
        <v>63</v>
      </c>
    </row>
    <row r="965" customFormat="false" ht="11.9" hidden="false" customHeight="true" outlineLevel="0" collapsed="false">
      <c r="A965" s="3" t="str">
        <f aca="false">HYPERLINK("https://www.fabsurplus.com/sdi_catalog/salesItemDetails.do?id=115079")</f>
        <v>https://www.fabsurplus.com/sdi_catalog/salesItemDetails.do?id=115079</v>
      </c>
      <c r="B965" s="3" t="s">
        <v>2545</v>
      </c>
      <c r="C965" s="3" t="s">
        <v>1050</v>
      </c>
      <c r="D965" s="3" t="s">
        <v>2546</v>
      </c>
      <c r="E965" s="3" t="s">
        <v>1606</v>
      </c>
      <c r="F965" s="3" t="s">
        <v>16</v>
      </c>
      <c r="G965" s="3" t="s">
        <v>26</v>
      </c>
      <c r="H965" s="3"/>
      <c r="I965" s="3"/>
      <c r="J965" s="3" t="s">
        <v>19</v>
      </c>
      <c r="K965" s="3"/>
      <c r="L965" s="3" t="s">
        <v>63</v>
      </c>
    </row>
    <row r="966" customFormat="false" ht="11.9" hidden="false" customHeight="true" outlineLevel="0" collapsed="false">
      <c r="A966" s="2" t="str">
        <f aca="false">HYPERLINK("https://www.fabsurplus.com/sdi_catalog/salesItemDetails.do?id=114704")</f>
        <v>https://www.fabsurplus.com/sdi_catalog/salesItemDetails.do?id=114704</v>
      </c>
      <c r="B966" s="2" t="s">
        <v>2547</v>
      </c>
      <c r="C966" s="2" t="s">
        <v>1050</v>
      </c>
      <c r="D966" s="2" t="s">
        <v>2548</v>
      </c>
      <c r="E966" s="2" t="s">
        <v>2549</v>
      </c>
      <c r="F966" s="2" t="s">
        <v>16</v>
      </c>
      <c r="G966" s="2" t="s">
        <v>26</v>
      </c>
      <c r="H966" s="2"/>
      <c r="I966" s="2"/>
      <c r="J966" s="2" t="s">
        <v>19</v>
      </c>
      <c r="K966" s="2"/>
      <c r="L966" s="2" t="s">
        <v>63</v>
      </c>
    </row>
    <row r="967" customFormat="false" ht="11.9" hidden="false" customHeight="true" outlineLevel="0" collapsed="false">
      <c r="A967" s="2" t="str">
        <f aca="false">HYPERLINK("https://www.fabsurplus.com/sdi_catalog/salesItemDetails.do?id=114832")</f>
        <v>https://www.fabsurplus.com/sdi_catalog/salesItemDetails.do?id=114832</v>
      </c>
      <c r="B967" s="2" t="s">
        <v>2550</v>
      </c>
      <c r="C967" s="2" t="s">
        <v>1050</v>
      </c>
      <c r="D967" s="2" t="s">
        <v>2551</v>
      </c>
      <c r="E967" s="2" t="s">
        <v>2552</v>
      </c>
      <c r="F967" s="2" t="s">
        <v>16</v>
      </c>
      <c r="G967" s="2" t="s">
        <v>26</v>
      </c>
      <c r="H967" s="2"/>
      <c r="I967" s="2"/>
      <c r="J967" s="2" t="s">
        <v>19</v>
      </c>
      <c r="K967" s="2"/>
      <c r="L967" s="2" t="s">
        <v>63</v>
      </c>
    </row>
    <row r="968" customFormat="false" ht="11.9" hidden="false" customHeight="true" outlineLevel="0" collapsed="false">
      <c r="A968" s="3" t="str">
        <f aca="false">HYPERLINK("https://www.fabsurplus.com/sdi_catalog/salesItemDetails.do?id=114833")</f>
        <v>https://www.fabsurplus.com/sdi_catalog/salesItemDetails.do?id=114833</v>
      </c>
      <c r="B968" s="3" t="s">
        <v>2553</v>
      </c>
      <c r="C968" s="3" t="s">
        <v>1050</v>
      </c>
      <c r="D968" s="3" t="s">
        <v>2551</v>
      </c>
      <c r="E968" s="3" t="s">
        <v>2554</v>
      </c>
      <c r="F968" s="3" t="s">
        <v>16</v>
      </c>
      <c r="G968" s="3" t="s">
        <v>26</v>
      </c>
      <c r="H968" s="3"/>
      <c r="I968" s="3"/>
      <c r="J968" s="3" t="s">
        <v>19</v>
      </c>
      <c r="K968" s="3"/>
      <c r="L968" s="3" t="s">
        <v>63</v>
      </c>
    </row>
    <row r="969" customFormat="false" ht="11.9" hidden="false" customHeight="true" outlineLevel="0" collapsed="false">
      <c r="A969" s="2" t="str">
        <f aca="false">HYPERLINK("https://www.fabsurplus.com/sdi_catalog/salesItemDetails.do?id=114789")</f>
        <v>https://www.fabsurplus.com/sdi_catalog/salesItemDetails.do?id=114789</v>
      </c>
      <c r="B969" s="2" t="s">
        <v>2555</v>
      </c>
      <c r="C969" s="2" t="s">
        <v>1050</v>
      </c>
      <c r="D969" s="2" t="s">
        <v>2556</v>
      </c>
      <c r="E969" s="2" t="s">
        <v>2557</v>
      </c>
      <c r="F969" s="2" t="s">
        <v>16</v>
      </c>
      <c r="G969" s="2" t="s">
        <v>26</v>
      </c>
      <c r="H969" s="2"/>
      <c r="I969" s="2"/>
      <c r="J969" s="2" t="s">
        <v>19</v>
      </c>
      <c r="K969" s="2"/>
      <c r="L969" s="2" t="s">
        <v>63</v>
      </c>
    </row>
    <row r="970" customFormat="false" ht="11.9" hidden="false" customHeight="true" outlineLevel="0" collapsed="false">
      <c r="A970" s="3" t="str">
        <f aca="false">HYPERLINK("https://www.fabsurplus.com/sdi_catalog/salesItemDetails.do?id=114657")</f>
        <v>https://www.fabsurplus.com/sdi_catalog/salesItemDetails.do?id=114657</v>
      </c>
      <c r="B970" s="3" t="s">
        <v>2558</v>
      </c>
      <c r="C970" s="3" t="s">
        <v>1050</v>
      </c>
      <c r="D970" s="3" t="s">
        <v>2559</v>
      </c>
      <c r="E970" s="3" t="s">
        <v>2560</v>
      </c>
      <c r="F970" s="3" t="s">
        <v>16</v>
      </c>
      <c r="G970" s="3" t="s">
        <v>26</v>
      </c>
      <c r="H970" s="3"/>
      <c r="I970" s="3"/>
      <c r="J970" s="3" t="s">
        <v>19</v>
      </c>
      <c r="K970" s="3"/>
      <c r="L970" s="3" t="s">
        <v>63</v>
      </c>
    </row>
    <row r="971" customFormat="false" ht="11.9" hidden="false" customHeight="true" outlineLevel="0" collapsed="false">
      <c r="A971" s="3" t="str">
        <f aca="false">HYPERLINK("https://www.fabsurplus.com/sdi_catalog/salesItemDetails.do?id=114709")</f>
        <v>https://www.fabsurplus.com/sdi_catalog/salesItemDetails.do?id=114709</v>
      </c>
      <c r="B971" s="3" t="s">
        <v>2561</v>
      </c>
      <c r="C971" s="3" t="s">
        <v>1050</v>
      </c>
      <c r="D971" s="3" t="s">
        <v>2562</v>
      </c>
      <c r="E971" s="3" t="s">
        <v>2563</v>
      </c>
      <c r="F971" s="3" t="s">
        <v>16</v>
      </c>
      <c r="G971" s="3" t="s">
        <v>26</v>
      </c>
      <c r="H971" s="3"/>
      <c r="I971" s="3"/>
      <c r="J971" s="3" t="s">
        <v>19</v>
      </c>
      <c r="K971" s="3"/>
      <c r="L971" s="3" t="s">
        <v>63</v>
      </c>
    </row>
    <row r="972" customFormat="false" ht="11.9" hidden="false" customHeight="true" outlineLevel="0" collapsed="false">
      <c r="A972" s="3" t="str">
        <f aca="false">HYPERLINK("https://www.fabsurplus.com/sdi_catalog/salesItemDetails.do?id=114905")</f>
        <v>https://www.fabsurplus.com/sdi_catalog/salesItemDetails.do?id=114905</v>
      </c>
      <c r="B972" s="3" t="s">
        <v>2564</v>
      </c>
      <c r="C972" s="3" t="s">
        <v>1050</v>
      </c>
      <c r="D972" s="3" t="s">
        <v>2565</v>
      </c>
      <c r="E972" s="3" t="s">
        <v>2566</v>
      </c>
      <c r="F972" s="3" t="s">
        <v>101</v>
      </c>
      <c r="G972" s="3" t="s">
        <v>26</v>
      </c>
      <c r="H972" s="3"/>
      <c r="I972" s="3"/>
      <c r="J972" s="3" t="s">
        <v>19</v>
      </c>
      <c r="K972" s="3"/>
      <c r="L972" s="3" t="s">
        <v>63</v>
      </c>
    </row>
    <row r="973" customFormat="false" ht="11.9" hidden="false" customHeight="true" outlineLevel="0" collapsed="false">
      <c r="A973" s="3" t="str">
        <f aca="false">HYPERLINK("https://www.fabsurplus.com/sdi_catalog/salesItemDetails.do?id=115080")</f>
        <v>https://www.fabsurplus.com/sdi_catalog/salesItemDetails.do?id=115080</v>
      </c>
      <c r="B973" s="3" t="s">
        <v>2567</v>
      </c>
      <c r="C973" s="3" t="s">
        <v>1050</v>
      </c>
      <c r="D973" s="3" t="s">
        <v>2568</v>
      </c>
      <c r="E973" s="3" t="s">
        <v>2569</v>
      </c>
      <c r="F973" s="3" t="s">
        <v>69</v>
      </c>
      <c r="G973" s="3" t="s">
        <v>26</v>
      </c>
      <c r="H973" s="3"/>
      <c r="I973" s="3"/>
      <c r="J973" s="3" t="s">
        <v>19</v>
      </c>
      <c r="K973" s="3"/>
      <c r="L973" s="3" t="s">
        <v>63</v>
      </c>
    </row>
    <row r="974" customFormat="false" ht="11.9" hidden="false" customHeight="true" outlineLevel="0" collapsed="false">
      <c r="A974" s="2" t="str">
        <f aca="false">HYPERLINK("https://www.fabsurplus.com/sdi_catalog/salesItemDetails.do?id=115081")</f>
        <v>https://www.fabsurplus.com/sdi_catalog/salesItemDetails.do?id=115081</v>
      </c>
      <c r="B974" s="2" t="s">
        <v>2570</v>
      </c>
      <c r="C974" s="2" t="s">
        <v>1050</v>
      </c>
      <c r="D974" s="2" t="s">
        <v>2568</v>
      </c>
      <c r="E974" s="2" t="s">
        <v>2571</v>
      </c>
      <c r="F974" s="2" t="s">
        <v>104</v>
      </c>
      <c r="G974" s="2" t="s">
        <v>26</v>
      </c>
      <c r="H974" s="2"/>
      <c r="I974" s="2"/>
      <c r="J974" s="2" t="s">
        <v>19</v>
      </c>
      <c r="K974" s="2"/>
      <c r="L974" s="2" t="s">
        <v>63</v>
      </c>
    </row>
    <row r="975" customFormat="false" ht="11.9" hidden="false" customHeight="true" outlineLevel="0" collapsed="false">
      <c r="A975" s="2" t="str">
        <f aca="false">HYPERLINK("https://www.fabsurplus.com/sdi_catalog/salesItemDetails.do?id=115082")</f>
        <v>https://www.fabsurplus.com/sdi_catalog/salesItemDetails.do?id=115082</v>
      </c>
      <c r="B975" s="2" t="s">
        <v>2572</v>
      </c>
      <c r="C975" s="2" t="s">
        <v>1050</v>
      </c>
      <c r="D975" s="2" t="s">
        <v>2573</v>
      </c>
      <c r="E975" s="2" t="s">
        <v>2574</v>
      </c>
      <c r="F975" s="2" t="s">
        <v>16</v>
      </c>
      <c r="G975" s="2" t="s">
        <v>26</v>
      </c>
      <c r="H975" s="2"/>
      <c r="I975" s="2"/>
      <c r="J975" s="2" t="s">
        <v>19</v>
      </c>
      <c r="K975" s="2"/>
      <c r="L975" s="2" t="s">
        <v>63</v>
      </c>
    </row>
    <row r="976" customFormat="false" ht="11.9" hidden="false" customHeight="true" outlineLevel="0" collapsed="false">
      <c r="A976" s="3" t="str">
        <f aca="false">HYPERLINK("https://www.fabsurplus.com/sdi_catalog/salesItemDetails.do?id=114705")</f>
        <v>https://www.fabsurplus.com/sdi_catalog/salesItemDetails.do?id=114705</v>
      </c>
      <c r="B976" s="3" t="s">
        <v>2575</v>
      </c>
      <c r="C976" s="3" t="s">
        <v>1050</v>
      </c>
      <c r="D976" s="3" t="s">
        <v>2576</v>
      </c>
      <c r="E976" s="3" t="s">
        <v>2577</v>
      </c>
      <c r="F976" s="3" t="s">
        <v>16</v>
      </c>
      <c r="G976" s="3" t="s">
        <v>26</v>
      </c>
      <c r="H976" s="3"/>
      <c r="I976" s="3"/>
      <c r="J976" s="3" t="s">
        <v>19</v>
      </c>
      <c r="K976" s="3"/>
      <c r="L976" s="3" t="s">
        <v>63</v>
      </c>
    </row>
    <row r="977" customFormat="false" ht="11.9" hidden="false" customHeight="true" outlineLevel="0" collapsed="false">
      <c r="A977" s="2" t="str">
        <f aca="false">HYPERLINK("https://www.fabsurplus.com/sdi_catalog/salesItemDetails.do?id=115160")</f>
        <v>https://www.fabsurplus.com/sdi_catalog/salesItemDetails.do?id=115160</v>
      </c>
      <c r="B977" s="2" t="s">
        <v>2578</v>
      </c>
      <c r="C977" s="2" t="s">
        <v>1050</v>
      </c>
      <c r="D977" s="2" t="s">
        <v>2579</v>
      </c>
      <c r="E977" s="2" t="s">
        <v>2580</v>
      </c>
      <c r="F977" s="2" t="s">
        <v>77</v>
      </c>
      <c r="G977" s="2" t="s">
        <v>26</v>
      </c>
      <c r="H977" s="2"/>
      <c r="I977" s="2"/>
      <c r="J977" s="2" t="s">
        <v>19</v>
      </c>
      <c r="K977" s="2"/>
      <c r="L977" s="2" t="s">
        <v>63</v>
      </c>
    </row>
    <row r="978" customFormat="false" ht="11.9" hidden="false" customHeight="true" outlineLevel="0" collapsed="false">
      <c r="A978" s="2" t="str">
        <f aca="false">HYPERLINK("https://www.fabsurplus.com/sdi_catalog/salesItemDetails.do?id=115161")</f>
        <v>https://www.fabsurplus.com/sdi_catalog/salesItemDetails.do?id=115161</v>
      </c>
      <c r="B978" s="2" t="s">
        <v>2581</v>
      </c>
      <c r="C978" s="2" t="s">
        <v>1050</v>
      </c>
      <c r="D978" s="2" t="s">
        <v>2582</v>
      </c>
      <c r="E978" s="2" t="s">
        <v>2583</v>
      </c>
      <c r="F978" s="2" t="s">
        <v>104</v>
      </c>
      <c r="G978" s="2" t="s">
        <v>26</v>
      </c>
      <c r="H978" s="2"/>
      <c r="I978" s="2"/>
      <c r="J978" s="2" t="s">
        <v>19</v>
      </c>
      <c r="K978" s="2"/>
      <c r="L978" s="2" t="s">
        <v>63</v>
      </c>
    </row>
    <row r="979" customFormat="false" ht="11.9" hidden="false" customHeight="true" outlineLevel="0" collapsed="false">
      <c r="A979" s="3" t="str">
        <f aca="false">HYPERLINK("https://www.fabsurplus.com/sdi_catalog/salesItemDetails.do?id=106220")</f>
        <v>https://www.fabsurplus.com/sdi_catalog/salesItemDetails.do?id=106220</v>
      </c>
      <c r="B979" s="3" t="s">
        <v>2584</v>
      </c>
      <c r="C979" s="3" t="s">
        <v>1050</v>
      </c>
      <c r="D979" s="3" t="s">
        <v>2585</v>
      </c>
      <c r="E979" s="3" t="s">
        <v>2586</v>
      </c>
      <c r="F979" s="3" t="s">
        <v>16</v>
      </c>
      <c r="G979" s="3" t="s">
        <v>26</v>
      </c>
      <c r="H979" s="3" t="s">
        <v>1691</v>
      </c>
      <c r="I979" s="4" t="n">
        <v>35947</v>
      </c>
      <c r="J979" s="3" t="s">
        <v>19</v>
      </c>
      <c r="K979" s="3" t="s">
        <v>20</v>
      </c>
      <c r="L979" s="5" t="s">
        <v>1692</v>
      </c>
    </row>
    <row r="980" customFormat="false" ht="11.9" hidden="false" customHeight="true" outlineLevel="0" collapsed="false">
      <c r="A980" s="3" t="str">
        <f aca="false">HYPERLINK("https://www.fabsurplus.com/sdi_catalog/salesItemDetails.do?id=106210")</f>
        <v>https://www.fabsurplus.com/sdi_catalog/salesItemDetails.do?id=106210</v>
      </c>
      <c r="B980" s="3" t="s">
        <v>2587</v>
      </c>
      <c r="C980" s="3" t="s">
        <v>1050</v>
      </c>
      <c r="D980" s="3" t="s">
        <v>2588</v>
      </c>
      <c r="E980" s="3" t="s">
        <v>2589</v>
      </c>
      <c r="F980" s="3" t="s">
        <v>16</v>
      </c>
      <c r="G980" s="3" t="s">
        <v>26</v>
      </c>
      <c r="H980" s="3" t="s">
        <v>1691</v>
      </c>
      <c r="I980" s="4" t="n">
        <v>35947</v>
      </c>
      <c r="J980" s="3" t="s">
        <v>19</v>
      </c>
      <c r="K980" s="3" t="s">
        <v>20</v>
      </c>
      <c r="L980" s="5" t="s">
        <v>2590</v>
      </c>
    </row>
    <row r="981" customFormat="false" ht="11.9" hidden="false" customHeight="true" outlineLevel="0" collapsed="false">
      <c r="A981" s="2" t="str">
        <f aca="false">HYPERLINK("https://www.fabsurplus.com/sdi_catalog/salesItemDetails.do?id=106219")</f>
        <v>https://www.fabsurplus.com/sdi_catalog/salesItemDetails.do?id=106219</v>
      </c>
      <c r="B981" s="2" t="s">
        <v>2591</v>
      </c>
      <c r="C981" s="2" t="s">
        <v>1050</v>
      </c>
      <c r="D981" s="2" t="s">
        <v>2588</v>
      </c>
      <c r="E981" s="2" t="s">
        <v>2589</v>
      </c>
      <c r="F981" s="2" t="s">
        <v>16</v>
      </c>
      <c r="G981" s="2" t="s">
        <v>26</v>
      </c>
      <c r="H981" s="2" t="s">
        <v>27</v>
      </c>
      <c r="I981" s="7" t="n">
        <v>36312</v>
      </c>
      <c r="J981" s="2" t="s">
        <v>19</v>
      </c>
      <c r="K981" s="2" t="s">
        <v>20</v>
      </c>
      <c r="L981" s="6" t="s">
        <v>1696</v>
      </c>
    </row>
    <row r="982" customFormat="false" ht="11.9" hidden="false" customHeight="true" outlineLevel="0" collapsed="false">
      <c r="A982" s="2" t="str">
        <f aca="false">HYPERLINK("https://www.fabsurplus.com/sdi_catalog/salesItemDetails.do?id=106227")</f>
        <v>https://www.fabsurplus.com/sdi_catalog/salesItemDetails.do?id=106227</v>
      </c>
      <c r="B982" s="2" t="s">
        <v>2592</v>
      </c>
      <c r="C982" s="2" t="s">
        <v>1050</v>
      </c>
      <c r="D982" s="2" t="s">
        <v>2588</v>
      </c>
      <c r="E982" s="2" t="s">
        <v>2589</v>
      </c>
      <c r="F982" s="2" t="s">
        <v>16</v>
      </c>
      <c r="G982" s="2" t="s">
        <v>26</v>
      </c>
      <c r="H982" s="2" t="s">
        <v>1691</v>
      </c>
      <c r="I982" s="7" t="n">
        <v>36312</v>
      </c>
      <c r="J982" s="2" t="s">
        <v>19</v>
      </c>
      <c r="K982" s="2" t="s">
        <v>20</v>
      </c>
      <c r="L982" s="6" t="s">
        <v>1692</v>
      </c>
    </row>
    <row r="983" customFormat="false" ht="11.9" hidden="false" customHeight="true" outlineLevel="0" collapsed="false">
      <c r="A983" s="2" t="str">
        <f aca="false">HYPERLINK("https://www.fabsurplus.com/sdi_catalog/salesItemDetails.do?id=114834")</f>
        <v>https://www.fabsurplus.com/sdi_catalog/salesItemDetails.do?id=114834</v>
      </c>
      <c r="B983" s="2" t="s">
        <v>2593</v>
      </c>
      <c r="C983" s="2" t="s">
        <v>1050</v>
      </c>
      <c r="D983" s="2" t="s">
        <v>2594</v>
      </c>
      <c r="E983" s="2" t="s">
        <v>2595</v>
      </c>
      <c r="F983" s="2" t="s">
        <v>16</v>
      </c>
      <c r="G983" s="2" t="s">
        <v>26</v>
      </c>
      <c r="H983" s="2"/>
      <c r="I983" s="2"/>
      <c r="J983" s="2" t="s">
        <v>19</v>
      </c>
      <c r="K983" s="2"/>
      <c r="L983" s="2" t="s">
        <v>63</v>
      </c>
    </row>
    <row r="984" customFormat="false" ht="11.9" hidden="false" customHeight="true" outlineLevel="0" collapsed="false">
      <c r="A984" s="3" t="str">
        <f aca="false">HYPERLINK("https://www.fabsurplus.com/sdi_catalog/salesItemDetails.do?id=114991")</f>
        <v>https://www.fabsurplus.com/sdi_catalog/salesItemDetails.do?id=114991</v>
      </c>
      <c r="B984" s="3" t="s">
        <v>2596</v>
      </c>
      <c r="C984" s="3" t="s">
        <v>1050</v>
      </c>
      <c r="D984" s="3" t="s">
        <v>2597</v>
      </c>
      <c r="E984" s="3" t="s">
        <v>2598</v>
      </c>
      <c r="F984" s="3" t="s">
        <v>16</v>
      </c>
      <c r="G984" s="3" t="s">
        <v>26</v>
      </c>
      <c r="H984" s="3"/>
      <c r="I984" s="3"/>
      <c r="J984" s="3" t="s">
        <v>19</v>
      </c>
      <c r="K984" s="3"/>
      <c r="L984" s="3" t="s">
        <v>63</v>
      </c>
    </row>
    <row r="985" customFormat="false" ht="11.9" hidden="false" customHeight="true" outlineLevel="0" collapsed="false">
      <c r="A985" s="3" t="str">
        <f aca="false">HYPERLINK("https://www.fabsurplus.com/sdi_catalog/salesItemDetails.do?id=114992")</f>
        <v>https://www.fabsurplus.com/sdi_catalog/salesItemDetails.do?id=114992</v>
      </c>
      <c r="B985" s="3" t="s">
        <v>2599</v>
      </c>
      <c r="C985" s="3" t="s">
        <v>1050</v>
      </c>
      <c r="D985" s="3" t="s">
        <v>2600</v>
      </c>
      <c r="E985" s="3" t="s">
        <v>2601</v>
      </c>
      <c r="F985" s="3" t="s">
        <v>16</v>
      </c>
      <c r="G985" s="3" t="s">
        <v>26</v>
      </c>
      <c r="H985" s="3"/>
      <c r="I985" s="3"/>
      <c r="J985" s="3" t="s">
        <v>19</v>
      </c>
      <c r="K985" s="3"/>
      <c r="L985" s="3" t="s">
        <v>63</v>
      </c>
    </row>
    <row r="986" customFormat="false" ht="11.9" hidden="false" customHeight="true" outlineLevel="0" collapsed="false">
      <c r="A986" s="2" t="str">
        <f aca="false">HYPERLINK("https://www.fabsurplus.com/sdi_catalog/salesItemDetails.do?id=115083")</f>
        <v>https://www.fabsurplus.com/sdi_catalog/salesItemDetails.do?id=115083</v>
      </c>
      <c r="B986" s="2" t="s">
        <v>2602</v>
      </c>
      <c r="C986" s="2" t="s">
        <v>1050</v>
      </c>
      <c r="D986" s="2" t="s">
        <v>2603</v>
      </c>
      <c r="E986" s="2" t="s">
        <v>1222</v>
      </c>
      <c r="F986" s="2" t="s">
        <v>16</v>
      </c>
      <c r="G986" s="2" t="s">
        <v>26</v>
      </c>
      <c r="H986" s="2"/>
      <c r="I986" s="2"/>
      <c r="J986" s="2" t="s">
        <v>19</v>
      </c>
      <c r="K986" s="2"/>
      <c r="L986" s="2" t="s">
        <v>63</v>
      </c>
    </row>
    <row r="987" customFormat="false" ht="11.9" hidden="false" customHeight="true" outlineLevel="0" collapsed="false">
      <c r="A987" s="3" t="str">
        <f aca="false">HYPERLINK("https://www.fabsurplus.com/sdi_catalog/salesItemDetails.do?id=114740")</f>
        <v>https://www.fabsurplus.com/sdi_catalog/salesItemDetails.do?id=114740</v>
      </c>
      <c r="B987" s="3" t="s">
        <v>2604</v>
      </c>
      <c r="C987" s="3" t="s">
        <v>1050</v>
      </c>
      <c r="D987" s="3" t="s">
        <v>2605</v>
      </c>
      <c r="E987" s="3" t="s">
        <v>1606</v>
      </c>
      <c r="F987" s="3" t="s">
        <v>16</v>
      </c>
      <c r="G987" s="3" t="s">
        <v>26</v>
      </c>
      <c r="H987" s="3"/>
      <c r="I987" s="3"/>
      <c r="J987" s="3" t="s">
        <v>19</v>
      </c>
      <c r="K987" s="3"/>
      <c r="L987" s="3" t="s">
        <v>63</v>
      </c>
    </row>
    <row r="988" customFormat="false" ht="11.9" hidden="false" customHeight="true" outlineLevel="0" collapsed="false">
      <c r="A988" s="3" t="str">
        <f aca="false">HYPERLINK("https://www.fabsurplus.com/sdi_catalog/salesItemDetails.do?id=114960")</f>
        <v>https://www.fabsurplus.com/sdi_catalog/salesItemDetails.do?id=114960</v>
      </c>
      <c r="B988" s="3" t="s">
        <v>2606</v>
      </c>
      <c r="C988" s="3" t="s">
        <v>1050</v>
      </c>
      <c r="D988" s="3" t="s">
        <v>2605</v>
      </c>
      <c r="E988" s="3" t="s">
        <v>2607</v>
      </c>
      <c r="F988" s="3" t="s">
        <v>16</v>
      </c>
      <c r="G988" s="3" t="s">
        <v>26</v>
      </c>
      <c r="H988" s="3"/>
      <c r="I988" s="3"/>
      <c r="J988" s="3" t="s">
        <v>19</v>
      </c>
      <c r="K988" s="3"/>
      <c r="L988" s="3" t="s">
        <v>63</v>
      </c>
    </row>
    <row r="989" customFormat="false" ht="11.9" hidden="false" customHeight="true" outlineLevel="0" collapsed="false">
      <c r="A989" s="2" t="str">
        <f aca="false">HYPERLINK("https://www.fabsurplus.com/sdi_catalog/salesItemDetails.do?id=114961")</f>
        <v>https://www.fabsurplus.com/sdi_catalog/salesItemDetails.do?id=114961</v>
      </c>
      <c r="B989" s="2" t="s">
        <v>2608</v>
      </c>
      <c r="C989" s="2" t="s">
        <v>1050</v>
      </c>
      <c r="D989" s="2" t="s">
        <v>2609</v>
      </c>
      <c r="E989" s="2" t="s">
        <v>2356</v>
      </c>
      <c r="F989" s="2" t="s">
        <v>16</v>
      </c>
      <c r="G989" s="2" t="s">
        <v>26</v>
      </c>
      <c r="H989" s="2"/>
      <c r="I989" s="2"/>
      <c r="J989" s="2" t="s">
        <v>19</v>
      </c>
      <c r="K989" s="2"/>
      <c r="L989" s="2" t="s">
        <v>63</v>
      </c>
    </row>
    <row r="990" customFormat="false" ht="11.9" hidden="false" customHeight="true" outlineLevel="0" collapsed="false">
      <c r="A990" s="3" t="str">
        <f aca="false">HYPERLINK("https://www.fabsurplus.com/sdi_catalog/salesItemDetails.do?id=115243")</f>
        <v>https://www.fabsurplus.com/sdi_catalog/salesItemDetails.do?id=115243</v>
      </c>
      <c r="B990" s="3" t="s">
        <v>2610</v>
      </c>
      <c r="C990" s="3" t="s">
        <v>1050</v>
      </c>
      <c r="D990" s="3" t="s">
        <v>2611</v>
      </c>
      <c r="E990" s="3" t="s">
        <v>2612</v>
      </c>
      <c r="F990" s="3" t="s">
        <v>77</v>
      </c>
      <c r="G990" s="3" t="s">
        <v>26</v>
      </c>
      <c r="H990" s="3"/>
      <c r="I990" s="3"/>
      <c r="J990" s="3" t="s">
        <v>19</v>
      </c>
      <c r="K990" s="3"/>
      <c r="L990" s="3" t="s">
        <v>63</v>
      </c>
    </row>
    <row r="991" customFormat="false" ht="11.9" hidden="false" customHeight="true" outlineLevel="0" collapsed="false">
      <c r="A991" s="2" t="str">
        <f aca="false">HYPERLINK("https://www.fabsurplus.com/sdi_catalog/salesItemDetails.do?id=115107")</f>
        <v>https://www.fabsurplus.com/sdi_catalog/salesItemDetails.do?id=115107</v>
      </c>
      <c r="B991" s="2" t="s">
        <v>2613</v>
      </c>
      <c r="C991" s="2" t="s">
        <v>1050</v>
      </c>
      <c r="D991" s="2" t="s">
        <v>2614</v>
      </c>
      <c r="E991" s="2" t="s">
        <v>2615</v>
      </c>
      <c r="F991" s="2" t="s">
        <v>16</v>
      </c>
      <c r="G991" s="2" t="s">
        <v>26</v>
      </c>
      <c r="H991" s="2"/>
      <c r="I991" s="2"/>
      <c r="J991" s="2" t="s">
        <v>19</v>
      </c>
      <c r="K991" s="2"/>
      <c r="L991" s="2" t="s">
        <v>63</v>
      </c>
    </row>
    <row r="992" customFormat="false" ht="11.9" hidden="false" customHeight="true" outlineLevel="0" collapsed="false">
      <c r="A992" s="3" t="str">
        <f aca="false">HYPERLINK("https://www.fabsurplus.com/sdi_catalog/salesItemDetails.do?id=114835")</f>
        <v>https://www.fabsurplus.com/sdi_catalog/salesItemDetails.do?id=114835</v>
      </c>
      <c r="B992" s="3" t="s">
        <v>2616</v>
      </c>
      <c r="C992" s="3" t="s">
        <v>1050</v>
      </c>
      <c r="D992" s="3" t="s">
        <v>2617</v>
      </c>
      <c r="E992" s="3" t="s">
        <v>2618</v>
      </c>
      <c r="F992" s="3" t="s">
        <v>16</v>
      </c>
      <c r="G992" s="3" t="s">
        <v>26</v>
      </c>
      <c r="H992" s="3"/>
      <c r="I992" s="3"/>
      <c r="J992" s="3" t="s">
        <v>19</v>
      </c>
      <c r="K992" s="3"/>
      <c r="L992" s="3" t="s">
        <v>63</v>
      </c>
    </row>
    <row r="993" customFormat="false" ht="11.9" hidden="false" customHeight="true" outlineLevel="0" collapsed="false">
      <c r="A993" s="3" t="str">
        <f aca="false">HYPERLINK("https://www.fabsurplus.com/sdi_catalog/salesItemDetails.do?id=115084")</f>
        <v>https://www.fabsurplus.com/sdi_catalog/salesItemDetails.do?id=115084</v>
      </c>
      <c r="B993" s="3" t="s">
        <v>2619</v>
      </c>
      <c r="C993" s="3" t="s">
        <v>1050</v>
      </c>
      <c r="D993" s="3" t="s">
        <v>2620</v>
      </c>
      <c r="E993" s="3" t="s">
        <v>1312</v>
      </c>
      <c r="F993" s="3" t="s">
        <v>16</v>
      </c>
      <c r="G993" s="3" t="s">
        <v>26</v>
      </c>
      <c r="H993" s="3"/>
      <c r="I993" s="3"/>
      <c r="J993" s="3" t="s">
        <v>19</v>
      </c>
      <c r="K993" s="3"/>
      <c r="L993" s="3" t="s">
        <v>63</v>
      </c>
    </row>
    <row r="994" customFormat="false" ht="11.9" hidden="false" customHeight="true" outlineLevel="0" collapsed="false">
      <c r="A994" s="3" t="str">
        <f aca="false">HYPERLINK("https://www.fabsurplus.com/sdi_catalog/salesItemDetails.do?id=115162")</f>
        <v>https://www.fabsurplus.com/sdi_catalog/salesItemDetails.do?id=115162</v>
      </c>
      <c r="B994" s="3" t="s">
        <v>2621</v>
      </c>
      <c r="C994" s="3" t="s">
        <v>1050</v>
      </c>
      <c r="D994" s="3" t="s">
        <v>2622</v>
      </c>
      <c r="E994" s="3" t="s">
        <v>2623</v>
      </c>
      <c r="F994" s="3" t="s">
        <v>16</v>
      </c>
      <c r="G994" s="3" t="s">
        <v>26</v>
      </c>
      <c r="H994" s="3"/>
      <c r="I994" s="3"/>
      <c r="J994" s="3" t="s">
        <v>19</v>
      </c>
      <c r="K994" s="3"/>
      <c r="L994" s="3" t="s">
        <v>63</v>
      </c>
    </row>
    <row r="995" customFormat="false" ht="11.9" hidden="false" customHeight="true" outlineLevel="0" collapsed="false">
      <c r="A995" s="3" t="str">
        <f aca="false">HYPERLINK("https://www.fabsurplus.com/sdi_catalog/salesItemDetails.do?id=114836")</f>
        <v>https://www.fabsurplus.com/sdi_catalog/salesItemDetails.do?id=114836</v>
      </c>
      <c r="B995" s="3" t="s">
        <v>2624</v>
      </c>
      <c r="C995" s="3" t="s">
        <v>1050</v>
      </c>
      <c r="D995" s="3" t="s">
        <v>2625</v>
      </c>
      <c r="E995" s="3" t="s">
        <v>2626</v>
      </c>
      <c r="F995" s="3" t="s">
        <v>16</v>
      </c>
      <c r="G995" s="3" t="s">
        <v>26</v>
      </c>
      <c r="H995" s="3"/>
      <c r="I995" s="3"/>
      <c r="J995" s="3" t="s">
        <v>19</v>
      </c>
      <c r="K995" s="3"/>
      <c r="L995" s="3" t="s">
        <v>63</v>
      </c>
    </row>
    <row r="996" customFormat="false" ht="11.9" hidden="false" customHeight="true" outlineLevel="0" collapsed="false">
      <c r="A996" s="2" t="str">
        <f aca="false">HYPERLINK("https://www.fabsurplus.com/sdi_catalog/salesItemDetails.do?id=115085")</f>
        <v>https://www.fabsurplus.com/sdi_catalog/salesItemDetails.do?id=115085</v>
      </c>
      <c r="B996" s="2" t="s">
        <v>2627</v>
      </c>
      <c r="C996" s="2" t="s">
        <v>1050</v>
      </c>
      <c r="D996" s="2" t="s">
        <v>2628</v>
      </c>
      <c r="E996" s="2" t="s">
        <v>2629</v>
      </c>
      <c r="F996" s="2" t="s">
        <v>16</v>
      </c>
      <c r="G996" s="2" t="s">
        <v>26</v>
      </c>
      <c r="H996" s="2"/>
      <c r="I996" s="2"/>
      <c r="J996" s="2" t="s">
        <v>19</v>
      </c>
      <c r="K996" s="2"/>
      <c r="L996" s="2" t="s">
        <v>63</v>
      </c>
    </row>
    <row r="997" customFormat="false" ht="11.9" hidden="false" customHeight="true" outlineLevel="0" collapsed="false">
      <c r="A997" s="2" t="str">
        <f aca="false">HYPERLINK("https://www.fabsurplus.com/sdi_catalog/salesItemDetails.do?id=114631")</f>
        <v>https://www.fabsurplus.com/sdi_catalog/salesItemDetails.do?id=114631</v>
      </c>
      <c r="B997" s="2" t="s">
        <v>2630</v>
      </c>
      <c r="C997" s="2" t="s">
        <v>1050</v>
      </c>
      <c r="D997" s="2" t="s">
        <v>2631</v>
      </c>
      <c r="E997" s="2" t="s">
        <v>2632</v>
      </c>
      <c r="F997" s="2" t="s">
        <v>16</v>
      </c>
      <c r="G997" s="2" t="s">
        <v>26</v>
      </c>
      <c r="H997" s="2"/>
      <c r="I997" s="2"/>
      <c r="J997" s="2" t="s">
        <v>19</v>
      </c>
      <c r="K997" s="2"/>
      <c r="L997" s="2" t="s">
        <v>63</v>
      </c>
    </row>
    <row r="998" customFormat="false" ht="11.9" hidden="false" customHeight="true" outlineLevel="0" collapsed="false">
      <c r="A998" s="3" t="str">
        <f aca="false">HYPERLINK("https://www.fabsurplus.com/sdi_catalog/salesItemDetails.do?id=114768")</f>
        <v>https://www.fabsurplus.com/sdi_catalog/salesItemDetails.do?id=114768</v>
      </c>
      <c r="B998" s="3" t="s">
        <v>2633</v>
      </c>
      <c r="C998" s="3" t="s">
        <v>1050</v>
      </c>
      <c r="D998" s="3" t="s">
        <v>2634</v>
      </c>
      <c r="E998" s="3" t="s">
        <v>2635</v>
      </c>
      <c r="F998" s="3" t="s">
        <v>101</v>
      </c>
      <c r="G998" s="3" t="s">
        <v>26</v>
      </c>
      <c r="H998" s="3"/>
      <c r="I998" s="3"/>
      <c r="J998" s="3" t="s">
        <v>19</v>
      </c>
      <c r="K998" s="3"/>
      <c r="L998" s="3" t="s">
        <v>63</v>
      </c>
    </row>
    <row r="999" customFormat="false" ht="11.9" hidden="false" customHeight="true" outlineLevel="0" collapsed="false">
      <c r="A999" s="3" t="str">
        <f aca="false">HYPERLINK("https://www.fabsurplus.com/sdi_catalog/salesItemDetails.do?id=114632")</f>
        <v>https://www.fabsurplus.com/sdi_catalog/salesItemDetails.do?id=114632</v>
      </c>
      <c r="B999" s="3" t="s">
        <v>2636</v>
      </c>
      <c r="C999" s="3" t="s">
        <v>1050</v>
      </c>
      <c r="D999" s="3" t="s">
        <v>2637</v>
      </c>
      <c r="E999" s="3" t="s">
        <v>2638</v>
      </c>
      <c r="F999" s="3" t="s">
        <v>16</v>
      </c>
      <c r="G999" s="3" t="s">
        <v>26</v>
      </c>
      <c r="H999" s="3"/>
      <c r="I999" s="3"/>
      <c r="J999" s="3" t="s">
        <v>19</v>
      </c>
      <c r="K999" s="3"/>
      <c r="L999" s="3" t="s">
        <v>63</v>
      </c>
    </row>
    <row r="1000" customFormat="false" ht="11.9" hidden="false" customHeight="true" outlineLevel="0" collapsed="false">
      <c r="A1000" s="3" t="str">
        <f aca="false">HYPERLINK("https://www.fabsurplus.com/sdi_catalog/salesItemDetails.do?id=114658")</f>
        <v>https://www.fabsurplus.com/sdi_catalog/salesItemDetails.do?id=114658</v>
      </c>
      <c r="B1000" s="3" t="s">
        <v>2639</v>
      </c>
      <c r="C1000" s="3" t="s">
        <v>1050</v>
      </c>
      <c r="D1000" s="3" t="s">
        <v>2640</v>
      </c>
      <c r="E1000" s="3" t="s">
        <v>2641</v>
      </c>
      <c r="F1000" s="3" t="s">
        <v>16</v>
      </c>
      <c r="G1000" s="3" t="s">
        <v>26</v>
      </c>
      <c r="H1000" s="3"/>
      <c r="I1000" s="3"/>
      <c r="J1000" s="3" t="s">
        <v>19</v>
      </c>
      <c r="K1000" s="3"/>
      <c r="L1000" s="3" t="s">
        <v>63</v>
      </c>
    </row>
    <row r="1001" customFormat="false" ht="11.9" hidden="false" customHeight="true" outlineLevel="0" collapsed="false">
      <c r="A1001" s="3" t="str">
        <f aca="false">HYPERLINK("https://www.fabsurplus.com/sdi_catalog/salesItemDetails.do?id=114837")</f>
        <v>https://www.fabsurplus.com/sdi_catalog/salesItemDetails.do?id=114837</v>
      </c>
      <c r="B1001" s="3" t="s">
        <v>2642</v>
      </c>
      <c r="C1001" s="3" t="s">
        <v>1050</v>
      </c>
      <c r="D1001" s="3" t="s">
        <v>2643</v>
      </c>
      <c r="E1001" s="3" t="s">
        <v>2644</v>
      </c>
      <c r="F1001" s="3" t="s">
        <v>16</v>
      </c>
      <c r="G1001" s="3" t="s">
        <v>26</v>
      </c>
      <c r="H1001" s="3"/>
      <c r="I1001" s="3"/>
      <c r="J1001" s="3" t="s">
        <v>19</v>
      </c>
      <c r="K1001" s="3"/>
      <c r="L1001" s="3" t="s">
        <v>63</v>
      </c>
    </row>
    <row r="1002" customFormat="false" ht="11.9" hidden="false" customHeight="true" outlineLevel="0" collapsed="false">
      <c r="A1002" s="2" t="str">
        <f aca="false">HYPERLINK("https://www.fabsurplus.com/sdi_catalog/salesItemDetails.do?id=114613")</f>
        <v>https://www.fabsurplus.com/sdi_catalog/salesItemDetails.do?id=114613</v>
      </c>
      <c r="B1002" s="2" t="s">
        <v>2645</v>
      </c>
      <c r="C1002" s="2" t="s">
        <v>1050</v>
      </c>
      <c r="D1002" s="2" t="s">
        <v>2646</v>
      </c>
      <c r="E1002" s="2" t="s">
        <v>2647</v>
      </c>
      <c r="F1002" s="2" t="s">
        <v>16</v>
      </c>
      <c r="G1002" s="2" t="s">
        <v>26</v>
      </c>
      <c r="H1002" s="2"/>
      <c r="I1002" s="2"/>
      <c r="J1002" s="2" t="s">
        <v>19</v>
      </c>
      <c r="K1002" s="2"/>
      <c r="L1002" s="2" t="s">
        <v>63</v>
      </c>
    </row>
    <row r="1003" customFormat="false" ht="11.9" hidden="false" customHeight="true" outlineLevel="0" collapsed="false">
      <c r="A1003" s="3" t="str">
        <f aca="false">HYPERLINK("https://www.fabsurplus.com/sdi_catalog/salesItemDetails.do?id=114741")</f>
        <v>https://www.fabsurplus.com/sdi_catalog/salesItemDetails.do?id=114741</v>
      </c>
      <c r="B1003" s="3" t="s">
        <v>2648</v>
      </c>
      <c r="C1003" s="3" t="s">
        <v>1050</v>
      </c>
      <c r="D1003" s="3" t="s">
        <v>2646</v>
      </c>
      <c r="E1003" s="3" t="s">
        <v>2649</v>
      </c>
      <c r="F1003" s="3" t="s">
        <v>77</v>
      </c>
      <c r="G1003" s="3" t="s">
        <v>26</v>
      </c>
      <c r="H1003" s="3"/>
      <c r="I1003" s="3"/>
      <c r="J1003" s="3" t="s">
        <v>19</v>
      </c>
      <c r="K1003" s="3"/>
      <c r="L1003" s="3" t="s">
        <v>63</v>
      </c>
    </row>
    <row r="1004" customFormat="false" ht="11.9" hidden="false" customHeight="true" outlineLevel="0" collapsed="false">
      <c r="A1004" s="3" t="str">
        <f aca="false">HYPERLINK("https://www.fabsurplus.com/sdi_catalog/salesItemDetails.do?id=114962")</f>
        <v>https://www.fabsurplus.com/sdi_catalog/salesItemDetails.do?id=114962</v>
      </c>
      <c r="B1004" s="3" t="s">
        <v>2650</v>
      </c>
      <c r="C1004" s="3" t="s">
        <v>1050</v>
      </c>
      <c r="D1004" s="3" t="s">
        <v>2651</v>
      </c>
      <c r="E1004" s="3" t="s">
        <v>2652</v>
      </c>
      <c r="F1004" s="3" t="s">
        <v>16</v>
      </c>
      <c r="G1004" s="3" t="s">
        <v>26</v>
      </c>
      <c r="H1004" s="3"/>
      <c r="I1004" s="3"/>
      <c r="J1004" s="3" t="s">
        <v>19</v>
      </c>
      <c r="K1004" s="3"/>
      <c r="L1004" s="3" t="s">
        <v>63</v>
      </c>
    </row>
    <row r="1005" customFormat="false" ht="11.9" hidden="false" customHeight="true" outlineLevel="0" collapsed="false">
      <c r="A1005" s="2" t="str">
        <f aca="false">HYPERLINK("https://www.fabsurplus.com/sdi_catalog/salesItemDetails.do?id=114838")</f>
        <v>https://www.fabsurplus.com/sdi_catalog/salesItemDetails.do?id=114838</v>
      </c>
      <c r="B1005" s="2" t="s">
        <v>2653</v>
      </c>
      <c r="C1005" s="2" t="s">
        <v>1050</v>
      </c>
      <c r="D1005" s="2" t="s">
        <v>2654</v>
      </c>
      <c r="E1005" s="2" t="s">
        <v>2655</v>
      </c>
      <c r="F1005" s="2" t="s">
        <v>16</v>
      </c>
      <c r="G1005" s="2" t="s">
        <v>26</v>
      </c>
      <c r="H1005" s="2"/>
      <c r="I1005" s="2"/>
      <c r="J1005" s="2" t="s">
        <v>19</v>
      </c>
      <c r="K1005" s="2"/>
      <c r="L1005" s="2" t="s">
        <v>63</v>
      </c>
    </row>
    <row r="1006" customFormat="false" ht="11.9" hidden="false" customHeight="true" outlineLevel="0" collapsed="false">
      <c r="A1006" s="2" t="str">
        <f aca="false">HYPERLINK("https://www.fabsurplus.com/sdi_catalog/salesItemDetails.do?id=114839")</f>
        <v>https://www.fabsurplus.com/sdi_catalog/salesItemDetails.do?id=114839</v>
      </c>
      <c r="B1006" s="2" t="s">
        <v>2656</v>
      </c>
      <c r="C1006" s="2" t="s">
        <v>1050</v>
      </c>
      <c r="D1006" s="2" t="s">
        <v>2654</v>
      </c>
      <c r="E1006" s="2" t="s">
        <v>2657</v>
      </c>
      <c r="F1006" s="2" t="s">
        <v>16</v>
      </c>
      <c r="G1006" s="2" t="s">
        <v>26</v>
      </c>
      <c r="H1006" s="2"/>
      <c r="I1006" s="2"/>
      <c r="J1006" s="2" t="s">
        <v>19</v>
      </c>
      <c r="K1006" s="2"/>
      <c r="L1006" s="2" t="s">
        <v>63</v>
      </c>
    </row>
    <row r="1007" customFormat="false" ht="11.9" hidden="false" customHeight="true" outlineLevel="0" collapsed="false">
      <c r="A1007" s="2" t="str">
        <f aca="false">HYPERLINK("https://www.fabsurplus.com/sdi_catalog/salesItemDetails.do?id=114790")</f>
        <v>https://www.fabsurplus.com/sdi_catalog/salesItemDetails.do?id=114790</v>
      </c>
      <c r="B1007" s="2" t="s">
        <v>2658</v>
      </c>
      <c r="C1007" s="2" t="s">
        <v>1050</v>
      </c>
      <c r="D1007" s="2" t="s">
        <v>2659</v>
      </c>
      <c r="E1007" s="2" t="s">
        <v>2660</v>
      </c>
      <c r="F1007" s="2" t="s">
        <v>16</v>
      </c>
      <c r="G1007" s="2" t="s">
        <v>26</v>
      </c>
      <c r="H1007" s="2"/>
      <c r="I1007" s="2"/>
      <c r="J1007" s="2" t="s">
        <v>19</v>
      </c>
      <c r="K1007" s="2"/>
      <c r="L1007" s="2" t="s">
        <v>63</v>
      </c>
    </row>
    <row r="1008" customFormat="false" ht="11.9" hidden="false" customHeight="true" outlineLevel="0" collapsed="false">
      <c r="A1008" s="3" t="str">
        <f aca="false">HYPERLINK("https://www.fabsurplus.com/sdi_catalog/salesItemDetails.do?id=114840")</f>
        <v>https://www.fabsurplus.com/sdi_catalog/salesItemDetails.do?id=114840</v>
      </c>
      <c r="B1008" s="3" t="s">
        <v>2661</v>
      </c>
      <c r="C1008" s="3" t="s">
        <v>1050</v>
      </c>
      <c r="D1008" s="3" t="s">
        <v>2659</v>
      </c>
      <c r="E1008" s="3" t="s">
        <v>2662</v>
      </c>
      <c r="F1008" s="3" t="s">
        <v>16</v>
      </c>
      <c r="G1008" s="3" t="s">
        <v>26</v>
      </c>
      <c r="H1008" s="3"/>
      <c r="I1008" s="3"/>
      <c r="J1008" s="3" t="s">
        <v>19</v>
      </c>
      <c r="K1008" s="3"/>
      <c r="L1008" s="3" t="s">
        <v>63</v>
      </c>
    </row>
    <row r="1009" customFormat="false" ht="11.9" hidden="false" customHeight="true" outlineLevel="0" collapsed="false">
      <c r="A1009" s="3" t="str">
        <f aca="false">HYPERLINK("https://www.fabsurplus.com/sdi_catalog/salesItemDetails.do?id=115086")</f>
        <v>https://www.fabsurplus.com/sdi_catalog/salesItemDetails.do?id=115086</v>
      </c>
      <c r="B1009" s="3" t="s">
        <v>2663</v>
      </c>
      <c r="C1009" s="3" t="s">
        <v>1050</v>
      </c>
      <c r="D1009" s="3" t="s">
        <v>2664</v>
      </c>
      <c r="E1009" s="3" t="s">
        <v>2665</v>
      </c>
      <c r="F1009" s="3" t="s">
        <v>16</v>
      </c>
      <c r="G1009" s="3" t="s">
        <v>26</v>
      </c>
      <c r="H1009" s="3"/>
      <c r="I1009" s="3"/>
      <c r="J1009" s="3" t="s">
        <v>19</v>
      </c>
      <c r="K1009" s="3"/>
      <c r="L1009" s="3" t="s">
        <v>63</v>
      </c>
    </row>
    <row r="1010" customFormat="false" ht="11.9" hidden="false" customHeight="true" outlineLevel="0" collapsed="false">
      <c r="A1010" s="2" t="str">
        <f aca="false">HYPERLINK("https://www.fabsurplus.com/sdi_catalog/salesItemDetails.do?id=114906")</f>
        <v>https://www.fabsurplus.com/sdi_catalog/salesItemDetails.do?id=114906</v>
      </c>
      <c r="B1010" s="2" t="s">
        <v>2666</v>
      </c>
      <c r="C1010" s="2" t="s">
        <v>1050</v>
      </c>
      <c r="D1010" s="2" t="s">
        <v>2667</v>
      </c>
      <c r="E1010" s="2" t="s">
        <v>1312</v>
      </c>
      <c r="F1010" s="2" t="s">
        <v>16</v>
      </c>
      <c r="G1010" s="2" t="s">
        <v>26</v>
      </c>
      <c r="H1010" s="2"/>
      <c r="I1010" s="2"/>
      <c r="J1010" s="2" t="s">
        <v>19</v>
      </c>
      <c r="K1010" s="2"/>
      <c r="L1010" s="2" t="s">
        <v>63</v>
      </c>
    </row>
    <row r="1011" customFormat="false" ht="11.9" hidden="false" customHeight="true" outlineLevel="0" collapsed="false">
      <c r="A1011" s="2" t="str">
        <f aca="false">HYPERLINK("https://www.fabsurplus.com/sdi_catalog/salesItemDetails.do?id=114752")</f>
        <v>https://www.fabsurplus.com/sdi_catalog/salesItemDetails.do?id=114752</v>
      </c>
      <c r="B1011" s="2" t="s">
        <v>2668</v>
      </c>
      <c r="C1011" s="2" t="s">
        <v>1050</v>
      </c>
      <c r="D1011" s="2" t="s">
        <v>2669</v>
      </c>
      <c r="E1011" s="2" t="s">
        <v>2670</v>
      </c>
      <c r="F1011" s="2" t="s">
        <v>16</v>
      </c>
      <c r="G1011" s="2" t="s">
        <v>26</v>
      </c>
      <c r="H1011" s="2"/>
      <c r="I1011" s="2"/>
      <c r="J1011" s="2" t="s">
        <v>19</v>
      </c>
      <c r="K1011" s="2"/>
      <c r="L1011" s="2" t="s">
        <v>63</v>
      </c>
    </row>
    <row r="1012" customFormat="false" ht="11.9" hidden="false" customHeight="true" outlineLevel="0" collapsed="false">
      <c r="A1012" s="2" t="str">
        <f aca="false">HYPERLINK("https://www.fabsurplus.com/sdi_catalog/salesItemDetails.do?id=114706")</f>
        <v>https://www.fabsurplus.com/sdi_catalog/salesItemDetails.do?id=114706</v>
      </c>
      <c r="B1012" s="2" t="s">
        <v>2671</v>
      </c>
      <c r="C1012" s="2" t="s">
        <v>1050</v>
      </c>
      <c r="D1012" s="2" t="s">
        <v>2672</v>
      </c>
      <c r="E1012" s="2" t="s">
        <v>1222</v>
      </c>
      <c r="F1012" s="2" t="s">
        <v>16</v>
      </c>
      <c r="G1012" s="2" t="s">
        <v>26</v>
      </c>
      <c r="H1012" s="2"/>
      <c r="I1012" s="2"/>
      <c r="J1012" s="2" t="s">
        <v>19</v>
      </c>
      <c r="K1012" s="2"/>
      <c r="L1012" s="2" t="s">
        <v>63</v>
      </c>
    </row>
    <row r="1013" customFormat="false" ht="11.9" hidden="false" customHeight="true" outlineLevel="0" collapsed="false">
      <c r="A1013" s="2" t="str">
        <f aca="false">HYPERLINK("https://www.fabsurplus.com/sdi_catalog/salesItemDetails.do?id=114659")</f>
        <v>https://www.fabsurplus.com/sdi_catalog/salesItemDetails.do?id=114659</v>
      </c>
      <c r="B1013" s="2" t="s">
        <v>2673</v>
      </c>
      <c r="C1013" s="2" t="s">
        <v>1050</v>
      </c>
      <c r="D1013" s="2" t="s">
        <v>2674</v>
      </c>
      <c r="E1013" s="2" t="s">
        <v>1222</v>
      </c>
      <c r="F1013" s="2" t="s">
        <v>77</v>
      </c>
      <c r="G1013" s="2" t="s">
        <v>26</v>
      </c>
      <c r="H1013" s="2"/>
      <c r="I1013" s="2"/>
      <c r="J1013" s="2" t="s">
        <v>19</v>
      </c>
      <c r="K1013" s="2"/>
      <c r="L1013" s="2" t="s">
        <v>63</v>
      </c>
    </row>
    <row r="1014" customFormat="false" ht="11.9" hidden="false" customHeight="true" outlineLevel="0" collapsed="false">
      <c r="A1014" s="2" t="str">
        <f aca="false">HYPERLINK("https://www.fabsurplus.com/sdi_catalog/salesItemDetails.do?id=114907")</f>
        <v>https://www.fabsurplus.com/sdi_catalog/salesItemDetails.do?id=114907</v>
      </c>
      <c r="B1014" s="2" t="s">
        <v>2675</v>
      </c>
      <c r="C1014" s="2" t="s">
        <v>1050</v>
      </c>
      <c r="D1014" s="2" t="s">
        <v>2676</v>
      </c>
      <c r="E1014" s="2" t="s">
        <v>2677</v>
      </c>
      <c r="F1014" s="2" t="s">
        <v>16</v>
      </c>
      <c r="G1014" s="2" t="s">
        <v>26</v>
      </c>
      <c r="H1014" s="2"/>
      <c r="I1014" s="2"/>
      <c r="J1014" s="2" t="s">
        <v>19</v>
      </c>
      <c r="K1014" s="2"/>
      <c r="L1014" s="2" t="s">
        <v>63</v>
      </c>
    </row>
    <row r="1015" customFormat="false" ht="11.9" hidden="false" customHeight="true" outlineLevel="0" collapsed="false">
      <c r="A1015" s="2" t="str">
        <f aca="false">HYPERLINK("https://www.fabsurplus.com/sdi_catalog/salesItemDetails.do?id=115244")</f>
        <v>https://www.fabsurplus.com/sdi_catalog/salesItemDetails.do?id=115244</v>
      </c>
      <c r="B1015" s="2" t="s">
        <v>2678</v>
      </c>
      <c r="C1015" s="2" t="s">
        <v>1050</v>
      </c>
      <c r="D1015" s="2" t="s">
        <v>2679</v>
      </c>
      <c r="E1015" s="2" t="s">
        <v>2680</v>
      </c>
      <c r="F1015" s="2" t="s">
        <v>104</v>
      </c>
      <c r="G1015" s="2" t="s">
        <v>26</v>
      </c>
      <c r="H1015" s="2"/>
      <c r="I1015" s="2"/>
      <c r="J1015" s="2" t="s">
        <v>19</v>
      </c>
      <c r="K1015" s="2"/>
      <c r="L1015" s="2" t="s">
        <v>63</v>
      </c>
    </row>
    <row r="1016" customFormat="false" ht="11.9" hidden="false" customHeight="true" outlineLevel="0" collapsed="false">
      <c r="A1016" s="2" t="str">
        <f aca="false">HYPERLINK("https://www.fabsurplus.com/sdi_catalog/salesItemDetails.do?id=115098")</f>
        <v>https://www.fabsurplus.com/sdi_catalog/salesItemDetails.do?id=115098</v>
      </c>
      <c r="B1016" s="2" t="s">
        <v>2681</v>
      </c>
      <c r="C1016" s="2" t="s">
        <v>1050</v>
      </c>
      <c r="D1016" s="2" t="s">
        <v>2682</v>
      </c>
      <c r="E1016" s="2" t="s">
        <v>2683</v>
      </c>
      <c r="F1016" s="2" t="s">
        <v>16</v>
      </c>
      <c r="G1016" s="2" t="s">
        <v>26</v>
      </c>
      <c r="H1016" s="2"/>
      <c r="I1016" s="2"/>
      <c r="J1016" s="2" t="s">
        <v>19</v>
      </c>
      <c r="K1016" s="2"/>
      <c r="L1016" s="2" t="s">
        <v>63</v>
      </c>
    </row>
    <row r="1017" customFormat="false" ht="11.9" hidden="false" customHeight="true" outlineLevel="0" collapsed="false">
      <c r="A1017" s="3" t="str">
        <f aca="false">HYPERLINK("https://www.fabsurplus.com/sdi_catalog/salesItemDetails.do?id=114614")</f>
        <v>https://www.fabsurplus.com/sdi_catalog/salesItemDetails.do?id=114614</v>
      </c>
      <c r="B1017" s="3" t="s">
        <v>2684</v>
      </c>
      <c r="C1017" s="3" t="s">
        <v>1050</v>
      </c>
      <c r="D1017" s="3" t="s">
        <v>2685</v>
      </c>
      <c r="E1017" s="3" t="s">
        <v>2686</v>
      </c>
      <c r="F1017" s="3" t="s">
        <v>16</v>
      </c>
      <c r="G1017" s="3" t="s">
        <v>26</v>
      </c>
      <c r="H1017" s="3"/>
      <c r="I1017" s="3"/>
      <c r="J1017" s="3" t="s">
        <v>19</v>
      </c>
      <c r="K1017" s="3"/>
      <c r="L1017" s="3" t="s">
        <v>63</v>
      </c>
    </row>
    <row r="1018" customFormat="false" ht="11.9" hidden="false" customHeight="true" outlineLevel="0" collapsed="false">
      <c r="A1018" s="2" t="str">
        <f aca="false">HYPERLINK("https://www.fabsurplus.com/sdi_catalog/salesItemDetails.do?id=114615")</f>
        <v>https://www.fabsurplus.com/sdi_catalog/salesItemDetails.do?id=114615</v>
      </c>
      <c r="B1018" s="2" t="s">
        <v>2687</v>
      </c>
      <c r="C1018" s="2" t="s">
        <v>1050</v>
      </c>
      <c r="D1018" s="2" t="s">
        <v>2685</v>
      </c>
      <c r="E1018" s="2" t="s">
        <v>2688</v>
      </c>
      <c r="F1018" s="2" t="s">
        <v>16</v>
      </c>
      <c r="G1018" s="2" t="s">
        <v>26</v>
      </c>
      <c r="H1018" s="2"/>
      <c r="I1018" s="2"/>
      <c r="J1018" s="2" t="s">
        <v>19</v>
      </c>
      <c r="K1018" s="2"/>
      <c r="L1018" s="2" t="s">
        <v>63</v>
      </c>
    </row>
    <row r="1019" customFormat="false" ht="11.9" hidden="false" customHeight="true" outlineLevel="0" collapsed="false">
      <c r="A1019" s="3" t="str">
        <f aca="false">HYPERLINK("https://www.fabsurplus.com/sdi_catalog/salesItemDetails.do?id=115087")</f>
        <v>https://www.fabsurplus.com/sdi_catalog/salesItemDetails.do?id=115087</v>
      </c>
      <c r="B1019" s="3" t="s">
        <v>2689</v>
      </c>
      <c r="C1019" s="3" t="s">
        <v>1050</v>
      </c>
      <c r="D1019" s="3" t="s">
        <v>2690</v>
      </c>
      <c r="E1019" s="3" t="s">
        <v>2691</v>
      </c>
      <c r="F1019" s="3" t="s">
        <v>69</v>
      </c>
      <c r="G1019" s="3" t="s">
        <v>26</v>
      </c>
      <c r="H1019" s="3"/>
      <c r="I1019" s="3"/>
      <c r="J1019" s="3" t="s">
        <v>19</v>
      </c>
      <c r="K1019" s="3"/>
      <c r="L1019" s="3" t="s">
        <v>63</v>
      </c>
    </row>
    <row r="1020" customFormat="false" ht="11.9" hidden="false" customHeight="true" outlineLevel="0" collapsed="false">
      <c r="A1020" s="3" t="str">
        <f aca="false">HYPERLINK("https://www.fabsurplus.com/sdi_catalog/salesItemDetails.do?id=115245")</f>
        <v>https://www.fabsurplus.com/sdi_catalog/salesItemDetails.do?id=115245</v>
      </c>
      <c r="B1020" s="3" t="s">
        <v>2692</v>
      </c>
      <c r="C1020" s="3" t="s">
        <v>1050</v>
      </c>
      <c r="D1020" s="3" t="s">
        <v>2693</v>
      </c>
      <c r="E1020" s="3" t="s">
        <v>2694</v>
      </c>
      <c r="F1020" s="3" t="s">
        <v>16</v>
      </c>
      <c r="G1020" s="3" t="s">
        <v>26</v>
      </c>
      <c r="H1020" s="3"/>
      <c r="I1020" s="3"/>
      <c r="J1020" s="3" t="s">
        <v>19</v>
      </c>
      <c r="K1020" s="3"/>
      <c r="L1020" s="3" t="s">
        <v>63</v>
      </c>
    </row>
    <row r="1021" customFormat="false" ht="11.9" hidden="false" customHeight="true" outlineLevel="0" collapsed="false">
      <c r="A1021" s="3" t="str">
        <f aca="false">HYPERLINK("https://www.fabsurplus.com/sdi_catalog/salesItemDetails.do?id=115088")</f>
        <v>https://www.fabsurplus.com/sdi_catalog/salesItemDetails.do?id=115088</v>
      </c>
      <c r="B1021" s="3" t="s">
        <v>2695</v>
      </c>
      <c r="C1021" s="3" t="s">
        <v>1050</v>
      </c>
      <c r="D1021" s="3" t="s">
        <v>2696</v>
      </c>
      <c r="E1021" s="3" t="s">
        <v>2697</v>
      </c>
      <c r="F1021" s="3" t="s">
        <v>77</v>
      </c>
      <c r="G1021" s="3" t="s">
        <v>26</v>
      </c>
      <c r="H1021" s="3"/>
      <c r="I1021" s="3"/>
      <c r="J1021" s="3" t="s">
        <v>19</v>
      </c>
      <c r="K1021" s="3"/>
      <c r="L1021" s="3" t="s">
        <v>63</v>
      </c>
    </row>
    <row r="1022" customFormat="false" ht="11.9" hidden="false" customHeight="true" outlineLevel="0" collapsed="false">
      <c r="A1022" s="2" t="str">
        <f aca="false">HYPERLINK("https://www.fabsurplus.com/sdi_catalog/salesItemDetails.do?id=114963")</f>
        <v>https://www.fabsurplus.com/sdi_catalog/salesItemDetails.do?id=114963</v>
      </c>
      <c r="B1022" s="2" t="s">
        <v>2698</v>
      </c>
      <c r="C1022" s="2" t="s">
        <v>1050</v>
      </c>
      <c r="D1022" s="2" t="s">
        <v>2696</v>
      </c>
      <c r="E1022" s="2" t="s">
        <v>2699</v>
      </c>
      <c r="F1022" s="2" t="s">
        <v>101</v>
      </c>
      <c r="G1022" s="2" t="s">
        <v>26</v>
      </c>
      <c r="H1022" s="2"/>
      <c r="I1022" s="2"/>
      <c r="J1022" s="2" t="s">
        <v>19</v>
      </c>
      <c r="K1022" s="2"/>
      <c r="L1022" s="2" t="s">
        <v>63</v>
      </c>
    </row>
    <row r="1023" customFormat="false" ht="11.9" hidden="false" customHeight="true" outlineLevel="0" collapsed="false">
      <c r="A1023" s="3" t="str">
        <f aca="false">HYPERLINK("https://www.fabsurplus.com/sdi_catalog/salesItemDetails.do?id=115170")</f>
        <v>https://www.fabsurplus.com/sdi_catalog/salesItemDetails.do?id=115170</v>
      </c>
      <c r="B1023" s="3" t="s">
        <v>2700</v>
      </c>
      <c r="C1023" s="3" t="s">
        <v>1050</v>
      </c>
      <c r="D1023" s="3" t="s">
        <v>2701</v>
      </c>
      <c r="E1023" s="3" t="s">
        <v>2702</v>
      </c>
      <c r="F1023" s="3" t="s">
        <v>16</v>
      </c>
      <c r="G1023" s="3" t="s">
        <v>26</v>
      </c>
      <c r="H1023" s="3"/>
      <c r="I1023" s="3"/>
      <c r="J1023" s="3" t="s">
        <v>19</v>
      </c>
      <c r="K1023" s="3"/>
      <c r="L1023" s="3" t="s">
        <v>63</v>
      </c>
    </row>
    <row r="1024" customFormat="false" ht="11.9" hidden="false" customHeight="true" outlineLevel="0" collapsed="false">
      <c r="A1024" s="2" t="str">
        <f aca="false">HYPERLINK("https://www.fabsurplus.com/sdi_catalog/salesItemDetails.do?id=114993")</f>
        <v>https://www.fabsurplus.com/sdi_catalog/salesItemDetails.do?id=114993</v>
      </c>
      <c r="B1024" s="2" t="s">
        <v>2703</v>
      </c>
      <c r="C1024" s="2" t="s">
        <v>1050</v>
      </c>
      <c r="D1024" s="2" t="s">
        <v>2704</v>
      </c>
      <c r="E1024" s="2" t="s">
        <v>2705</v>
      </c>
      <c r="F1024" s="2" t="s">
        <v>101</v>
      </c>
      <c r="G1024" s="2" t="s">
        <v>26</v>
      </c>
      <c r="H1024" s="2"/>
      <c r="I1024" s="2"/>
      <c r="J1024" s="2" t="s">
        <v>19</v>
      </c>
      <c r="K1024" s="2"/>
      <c r="L1024" s="2" t="s">
        <v>63</v>
      </c>
    </row>
    <row r="1025" customFormat="false" ht="11.9" hidden="false" customHeight="true" outlineLevel="0" collapsed="false">
      <c r="A1025" s="2" t="str">
        <f aca="false">HYPERLINK("https://www.fabsurplus.com/sdi_catalog/salesItemDetails.do?id=115125")</f>
        <v>https://www.fabsurplus.com/sdi_catalog/salesItemDetails.do?id=115125</v>
      </c>
      <c r="B1025" s="2" t="s">
        <v>2706</v>
      </c>
      <c r="C1025" s="2" t="s">
        <v>1050</v>
      </c>
      <c r="D1025" s="2" t="s">
        <v>2707</v>
      </c>
      <c r="E1025" s="2" t="s">
        <v>2708</v>
      </c>
      <c r="F1025" s="2" t="s">
        <v>101</v>
      </c>
      <c r="G1025" s="2" t="s">
        <v>26</v>
      </c>
      <c r="H1025" s="2"/>
      <c r="I1025" s="2"/>
      <c r="J1025" s="2" t="s">
        <v>19</v>
      </c>
      <c r="K1025" s="2"/>
      <c r="L1025" s="2" t="s">
        <v>63</v>
      </c>
    </row>
    <row r="1026" customFormat="false" ht="11.9" hidden="false" customHeight="true" outlineLevel="0" collapsed="false">
      <c r="A1026" s="3" t="str">
        <f aca="false">HYPERLINK("https://www.fabsurplus.com/sdi_catalog/salesItemDetails.do?id=115108")</f>
        <v>https://www.fabsurplus.com/sdi_catalog/salesItemDetails.do?id=115108</v>
      </c>
      <c r="B1026" s="3" t="s">
        <v>2709</v>
      </c>
      <c r="C1026" s="3" t="s">
        <v>1050</v>
      </c>
      <c r="D1026" s="3" t="s">
        <v>2710</v>
      </c>
      <c r="E1026" s="3" t="s">
        <v>2711</v>
      </c>
      <c r="F1026" s="3" t="s">
        <v>101</v>
      </c>
      <c r="G1026" s="3" t="s">
        <v>26</v>
      </c>
      <c r="H1026" s="3"/>
      <c r="I1026" s="3"/>
      <c r="J1026" s="3" t="s">
        <v>19</v>
      </c>
      <c r="K1026" s="3"/>
      <c r="L1026" s="3" t="s">
        <v>63</v>
      </c>
    </row>
    <row r="1027" customFormat="false" ht="11.9" hidden="false" customHeight="true" outlineLevel="0" collapsed="false">
      <c r="A1027" s="2" t="str">
        <f aca="false">HYPERLINK("https://www.fabsurplus.com/sdi_catalog/salesItemDetails.do?id=115089")</f>
        <v>https://www.fabsurplus.com/sdi_catalog/salesItemDetails.do?id=115089</v>
      </c>
      <c r="B1027" s="2" t="s">
        <v>2712</v>
      </c>
      <c r="C1027" s="2" t="s">
        <v>1050</v>
      </c>
      <c r="D1027" s="2" t="s">
        <v>2713</v>
      </c>
      <c r="E1027" s="2" t="s">
        <v>2714</v>
      </c>
      <c r="F1027" s="2" t="s">
        <v>101</v>
      </c>
      <c r="G1027" s="2" t="s">
        <v>26</v>
      </c>
      <c r="H1027" s="2"/>
      <c r="I1027" s="2"/>
      <c r="J1027" s="2" t="s">
        <v>19</v>
      </c>
      <c r="K1027" s="2"/>
      <c r="L1027" s="2" t="s">
        <v>63</v>
      </c>
    </row>
    <row r="1028" customFormat="false" ht="11.9" hidden="false" customHeight="true" outlineLevel="0" collapsed="false">
      <c r="A1028" s="3" t="str">
        <f aca="false">HYPERLINK("https://www.fabsurplus.com/sdi_catalog/salesItemDetails.do?id=115126")</f>
        <v>https://www.fabsurplus.com/sdi_catalog/salesItemDetails.do?id=115126</v>
      </c>
      <c r="B1028" s="3" t="s">
        <v>2715</v>
      </c>
      <c r="C1028" s="3" t="s">
        <v>1050</v>
      </c>
      <c r="D1028" s="3" t="s">
        <v>2716</v>
      </c>
      <c r="E1028" s="3" t="s">
        <v>2717</v>
      </c>
      <c r="F1028" s="3" t="s">
        <v>101</v>
      </c>
      <c r="G1028" s="3" t="s">
        <v>26</v>
      </c>
      <c r="H1028" s="3"/>
      <c r="I1028" s="3"/>
      <c r="J1028" s="3" t="s">
        <v>19</v>
      </c>
      <c r="K1028" s="3"/>
      <c r="L1028" s="3" t="s">
        <v>63</v>
      </c>
    </row>
    <row r="1029" customFormat="false" ht="11.9" hidden="false" customHeight="true" outlineLevel="0" collapsed="false">
      <c r="A1029" s="2" t="str">
        <f aca="false">HYPERLINK("https://www.fabsurplus.com/sdi_catalog/salesItemDetails.do?id=115246")</f>
        <v>https://www.fabsurplus.com/sdi_catalog/salesItemDetails.do?id=115246</v>
      </c>
      <c r="B1029" s="2" t="s">
        <v>2718</v>
      </c>
      <c r="C1029" s="2" t="s">
        <v>1050</v>
      </c>
      <c r="D1029" s="2" t="s">
        <v>2719</v>
      </c>
      <c r="E1029" s="2" t="s">
        <v>2720</v>
      </c>
      <c r="F1029" s="2" t="s">
        <v>77</v>
      </c>
      <c r="G1029" s="2" t="s">
        <v>26</v>
      </c>
      <c r="H1029" s="2"/>
      <c r="I1029" s="2"/>
      <c r="J1029" s="2" t="s">
        <v>19</v>
      </c>
      <c r="K1029" s="2"/>
      <c r="L1029" s="2" t="s">
        <v>63</v>
      </c>
    </row>
    <row r="1030" customFormat="false" ht="11.9" hidden="false" customHeight="true" outlineLevel="0" collapsed="false">
      <c r="A1030" s="2" t="str">
        <f aca="false">HYPERLINK("https://www.fabsurplus.com/sdi_catalog/salesItemDetails.do?id=115127")</f>
        <v>https://www.fabsurplus.com/sdi_catalog/salesItemDetails.do?id=115127</v>
      </c>
      <c r="B1030" s="2" t="s">
        <v>2721</v>
      </c>
      <c r="C1030" s="2" t="s">
        <v>1050</v>
      </c>
      <c r="D1030" s="2" t="s">
        <v>2722</v>
      </c>
      <c r="E1030" s="2" t="s">
        <v>2723</v>
      </c>
      <c r="F1030" s="2" t="s">
        <v>101</v>
      </c>
      <c r="G1030" s="2" t="s">
        <v>26</v>
      </c>
      <c r="H1030" s="2"/>
      <c r="I1030" s="2"/>
      <c r="J1030" s="2" t="s">
        <v>19</v>
      </c>
      <c r="K1030" s="2"/>
      <c r="L1030" s="2" t="s">
        <v>63</v>
      </c>
    </row>
    <row r="1031" customFormat="false" ht="11.9" hidden="false" customHeight="true" outlineLevel="0" collapsed="false">
      <c r="A1031" s="2" t="str">
        <f aca="false">HYPERLINK("https://www.fabsurplus.com/sdi_catalog/salesItemDetails.do?id=114633")</f>
        <v>https://www.fabsurplus.com/sdi_catalog/salesItemDetails.do?id=114633</v>
      </c>
      <c r="B1031" s="2" t="s">
        <v>2724</v>
      </c>
      <c r="C1031" s="2" t="s">
        <v>1050</v>
      </c>
      <c r="D1031" s="2" t="s">
        <v>2725</v>
      </c>
      <c r="E1031" s="2" t="s">
        <v>2726</v>
      </c>
      <c r="F1031" s="2" t="s">
        <v>16</v>
      </c>
      <c r="G1031" s="2" t="s">
        <v>26</v>
      </c>
      <c r="H1031" s="2"/>
      <c r="I1031" s="2"/>
      <c r="J1031" s="2" t="s">
        <v>19</v>
      </c>
      <c r="K1031" s="2"/>
      <c r="L1031" s="2" t="s">
        <v>63</v>
      </c>
    </row>
    <row r="1032" customFormat="false" ht="11.9" hidden="false" customHeight="true" outlineLevel="0" collapsed="false">
      <c r="A1032" s="2" t="str">
        <f aca="false">HYPERLINK("https://www.fabsurplus.com/sdi_catalog/salesItemDetails.do?id=114660")</f>
        <v>https://www.fabsurplus.com/sdi_catalog/salesItemDetails.do?id=114660</v>
      </c>
      <c r="B1032" s="2" t="s">
        <v>2727</v>
      </c>
      <c r="C1032" s="2" t="s">
        <v>1050</v>
      </c>
      <c r="D1032" s="2" t="s">
        <v>2728</v>
      </c>
      <c r="E1032" s="2" t="s">
        <v>2729</v>
      </c>
      <c r="F1032" s="2" t="s">
        <v>16</v>
      </c>
      <c r="G1032" s="2" t="s">
        <v>26</v>
      </c>
      <c r="H1032" s="2"/>
      <c r="I1032" s="2"/>
      <c r="J1032" s="2" t="s">
        <v>19</v>
      </c>
      <c r="K1032" s="2"/>
      <c r="L1032" s="2" t="s">
        <v>63</v>
      </c>
    </row>
    <row r="1033" customFormat="false" ht="11.9" hidden="false" customHeight="true" outlineLevel="0" collapsed="false">
      <c r="A1033" s="3" t="str">
        <f aca="false">HYPERLINK("https://www.fabsurplus.com/sdi_catalog/salesItemDetails.do?id=114994")</f>
        <v>https://www.fabsurplus.com/sdi_catalog/salesItemDetails.do?id=114994</v>
      </c>
      <c r="B1033" s="3" t="s">
        <v>2730</v>
      </c>
      <c r="C1033" s="3" t="s">
        <v>1050</v>
      </c>
      <c r="D1033" s="3" t="s">
        <v>2731</v>
      </c>
      <c r="E1033" s="3" t="s">
        <v>1312</v>
      </c>
      <c r="F1033" s="3" t="s">
        <v>69</v>
      </c>
      <c r="G1033" s="3" t="s">
        <v>26</v>
      </c>
      <c r="H1033" s="3"/>
      <c r="I1033" s="3"/>
      <c r="J1033" s="3" t="s">
        <v>19</v>
      </c>
      <c r="K1033" s="3"/>
      <c r="L1033" s="3" t="s">
        <v>63</v>
      </c>
    </row>
    <row r="1034" customFormat="false" ht="11.9" hidden="false" customHeight="true" outlineLevel="0" collapsed="false">
      <c r="A1034" s="3" t="str">
        <f aca="false">HYPERLINK("https://www.fabsurplus.com/sdi_catalog/salesItemDetails.do?id=114919")</f>
        <v>https://www.fabsurplus.com/sdi_catalog/salesItemDetails.do?id=114919</v>
      </c>
      <c r="B1034" s="3" t="s">
        <v>2732</v>
      </c>
      <c r="C1034" s="3" t="s">
        <v>1050</v>
      </c>
      <c r="D1034" s="3" t="s">
        <v>2733</v>
      </c>
      <c r="E1034" s="3" t="s">
        <v>2734</v>
      </c>
      <c r="F1034" s="3" t="s">
        <v>16</v>
      </c>
      <c r="G1034" s="3" t="s">
        <v>26</v>
      </c>
      <c r="H1034" s="3"/>
      <c r="I1034" s="3"/>
      <c r="J1034" s="3" t="s">
        <v>19</v>
      </c>
      <c r="K1034" s="3"/>
      <c r="L1034" s="3" t="s">
        <v>63</v>
      </c>
    </row>
    <row r="1035" customFormat="false" ht="11.9" hidden="false" customHeight="true" outlineLevel="0" collapsed="false">
      <c r="A1035" s="2" t="str">
        <f aca="false">HYPERLINK("https://www.fabsurplus.com/sdi_catalog/salesItemDetails.do?id=115113")</f>
        <v>https://www.fabsurplus.com/sdi_catalog/salesItemDetails.do?id=115113</v>
      </c>
      <c r="B1035" s="2" t="s">
        <v>2735</v>
      </c>
      <c r="C1035" s="2" t="s">
        <v>1050</v>
      </c>
      <c r="D1035" s="2" t="s">
        <v>2736</v>
      </c>
      <c r="E1035" s="2" t="s">
        <v>2737</v>
      </c>
      <c r="F1035" s="2" t="s">
        <v>16</v>
      </c>
      <c r="G1035" s="2" t="s">
        <v>26</v>
      </c>
      <c r="H1035" s="2"/>
      <c r="I1035" s="2"/>
      <c r="J1035" s="2" t="s">
        <v>19</v>
      </c>
      <c r="K1035" s="2"/>
      <c r="L1035" s="2" t="s">
        <v>63</v>
      </c>
    </row>
    <row r="1036" customFormat="false" ht="11.9" hidden="false" customHeight="true" outlineLevel="0" collapsed="false">
      <c r="A1036" s="2" t="str">
        <f aca="false">HYPERLINK("https://www.fabsurplus.com/sdi_catalog/salesItemDetails.do?id=115247")</f>
        <v>https://www.fabsurplus.com/sdi_catalog/salesItemDetails.do?id=115247</v>
      </c>
      <c r="B1036" s="2" t="s">
        <v>2738</v>
      </c>
      <c r="C1036" s="2" t="s">
        <v>1050</v>
      </c>
      <c r="D1036" s="2" t="s">
        <v>2739</v>
      </c>
      <c r="E1036" s="2" t="s">
        <v>2740</v>
      </c>
      <c r="F1036" s="2" t="s">
        <v>77</v>
      </c>
      <c r="G1036" s="2" t="s">
        <v>26</v>
      </c>
      <c r="H1036" s="2"/>
      <c r="I1036" s="2"/>
      <c r="J1036" s="2" t="s">
        <v>19</v>
      </c>
      <c r="K1036" s="2"/>
      <c r="L1036" s="2" t="s">
        <v>63</v>
      </c>
    </row>
    <row r="1037" customFormat="false" ht="11.9" hidden="false" customHeight="true" outlineLevel="0" collapsed="false">
      <c r="A1037" s="3" t="str">
        <f aca="false">HYPERLINK("https://www.fabsurplus.com/sdi_catalog/salesItemDetails.do?id=114742")</f>
        <v>https://www.fabsurplus.com/sdi_catalog/salesItemDetails.do?id=114742</v>
      </c>
      <c r="B1037" s="3" t="s">
        <v>2741</v>
      </c>
      <c r="C1037" s="3" t="s">
        <v>1050</v>
      </c>
      <c r="D1037" s="3" t="s">
        <v>2742</v>
      </c>
      <c r="E1037" s="3" t="s">
        <v>2743</v>
      </c>
      <c r="F1037" s="3" t="s">
        <v>16</v>
      </c>
      <c r="G1037" s="3" t="s">
        <v>26</v>
      </c>
      <c r="H1037" s="3"/>
      <c r="I1037" s="3"/>
      <c r="J1037" s="3" t="s">
        <v>19</v>
      </c>
      <c r="K1037" s="3"/>
      <c r="L1037" s="3" t="s">
        <v>63</v>
      </c>
    </row>
    <row r="1038" customFormat="false" ht="11.9" hidden="false" customHeight="true" outlineLevel="0" collapsed="false">
      <c r="A1038" s="3" t="str">
        <f aca="false">HYPERLINK("https://www.fabsurplus.com/sdi_catalog/salesItemDetails.do?id=115182")</f>
        <v>https://www.fabsurplus.com/sdi_catalog/salesItemDetails.do?id=115182</v>
      </c>
      <c r="B1038" s="3" t="s">
        <v>2744</v>
      </c>
      <c r="C1038" s="3" t="s">
        <v>1050</v>
      </c>
      <c r="D1038" s="3" t="s">
        <v>2745</v>
      </c>
      <c r="E1038" s="3" t="s">
        <v>2746</v>
      </c>
      <c r="F1038" s="3" t="s">
        <v>2293</v>
      </c>
      <c r="G1038" s="3" t="s">
        <v>26</v>
      </c>
      <c r="H1038" s="3"/>
      <c r="I1038" s="3"/>
      <c r="J1038" s="3" t="s">
        <v>19</v>
      </c>
      <c r="K1038" s="3"/>
      <c r="L1038" s="3" t="s">
        <v>63</v>
      </c>
    </row>
    <row r="1039" customFormat="false" ht="11.9" hidden="false" customHeight="true" outlineLevel="0" collapsed="false">
      <c r="A1039" s="3" t="str">
        <f aca="false">HYPERLINK("https://www.fabsurplus.com/sdi_catalog/salesItemDetails.do?id=114995")</f>
        <v>https://www.fabsurplus.com/sdi_catalog/salesItemDetails.do?id=114995</v>
      </c>
      <c r="B1039" s="3" t="s">
        <v>2747</v>
      </c>
      <c r="C1039" s="3" t="s">
        <v>1050</v>
      </c>
      <c r="D1039" s="3" t="s">
        <v>2748</v>
      </c>
      <c r="E1039" s="3" t="s">
        <v>2749</v>
      </c>
      <c r="F1039" s="3" t="s">
        <v>16</v>
      </c>
      <c r="G1039" s="3" t="s">
        <v>26</v>
      </c>
      <c r="H1039" s="3"/>
      <c r="I1039" s="3"/>
      <c r="J1039" s="3" t="s">
        <v>19</v>
      </c>
      <c r="K1039" s="3"/>
      <c r="L1039" s="3" t="s">
        <v>63</v>
      </c>
    </row>
    <row r="1040" customFormat="false" ht="11.9" hidden="false" customHeight="true" outlineLevel="0" collapsed="false">
      <c r="A1040" s="2" t="str">
        <f aca="false">HYPERLINK("https://www.fabsurplus.com/sdi_catalog/salesItemDetails.do?id=115248")</f>
        <v>https://www.fabsurplus.com/sdi_catalog/salesItemDetails.do?id=115248</v>
      </c>
      <c r="B1040" s="2" t="s">
        <v>2750</v>
      </c>
      <c r="C1040" s="2" t="s">
        <v>1050</v>
      </c>
      <c r="D1040" s="2" t="s">
        <v>2751</v>
      </c>
      <c r="E1040" s="2" t="s">
        <v>2752</v>
      </c>
      <c r="F1040" s="2" t="s">
        <v>16</v>
      </c>
      <c r="G1040" s="2" t="s">
        <v>26</v>
      </c>
      <c r="H1040" s="2"/>
      <c r="I1040" s="2"/>
      <c r="J1040" s="2" t="s">
        <v>19</v>
      </c>
      <c r="K1040" s="2"/>
      <c r="L1040" s="2" t="s">
        <v>63</v>
      </c>
    </row>
    <row r="1041" customFormat="false" ht="11.9" hidden="false" customHeight="true" outlineLevel="0" collapsed="false">
      <c r="A1041" s="3" t="str">
        <f aca="false">HYPERLINK("https://www.fabsurplus.com/sdi_catalog/salesItemDetails.do?id=115163")</f>
        <v>https://www.fabsurplus.com/sdi_catalog/salesItemDetails.do?id=115163</v>
      </c>
      <c r="B1041" s="3" t="s">
        <v>2753</v>
      </c>
      <c r="C1041" s="3" t="s">
        <v>1050</v>
      </c>
      <c r="D1041" s="3" t="s">
        <v>2754</v>
      </c>
      <c r="E1041" s="3" t="s">
        <v>2755</v>
      </c>
      <c r="F1041" s="3" t="s">
        <v>16</v>
      </c>
      <c r="G1041" s="3" t="s">
        <v>26</v>
      </c>
      <c r="H1041" s="3"/>
      <c r="I1041" s="3"/>
      <c r="J1041" s="3" t="s">
        <v>19</v>
      </c>
      <c r="K1041" s="3"/>
      <c r="L1041" s="3" t="s">
        <v>63</v>
      </c>
    </row>
    <row r="1042" customFormat="false" ht="11.9" hidden="false" customHeight="true" outlineLevel="0" collapsed="false">
      <c r="A1042" s="3" t="str">
        <f aca="false">HYPERLINK("https://www.fabsurplus.com/sdi_catalog/salesItemDetails.do?id=115000")</f>
        <v>https://www.fabsurplus.com/sdi_catalog/salesItemDetails.do?id=115000</v>
      </c>
      <c r="B1042" s="3" t="s">
        <v>2756</v>
      </c>
      <c r="C1042" s="3" t="s">
        <v>1050</v>
      </c>
      <c r="D1042" s="3" t="s">
        <v>2757</v>
      </c>
      <c r="E1042" s="3" t="s">
        <v>2758</v>
      </c>
      <c r="F1042" s="3" t="s">
        <v>69</v>
      </c>
      <c r="G1042" s="3" t="s">
        <v>26</v>
      </c>
      <c r="H1042" s="3"/>
      <c r="I1042" s="3"/>
      <c r="J1042" s="3" t="s">
        <v>19</v>
      </c>
      <c r="K1042" s="3"/>
      <c r="L1042" s="3" t="s">
        <v>63</v>
      </c>
    </row>
    <row r="1043" customFormat="false" ht="11.9" hidden="false" customHeight="true" outlineLevel="0" collapsed="false">
      <c r="A1043" s="2" t="str">
        <f aca="false">HYPERLINK("https://www.fabsurplus.com/sdi_catalog/salesItemDetails.do?id=115183")</f>
        <v>https://www.fabsurplus.com/sdi_catalog/salesItemDetails.do?id=115183</v>
      </c>
      <c r="B1043" s="2" t="s">
        <v>2759</v>
      </c>
      <c r="C1043" s="2" t="s">
        <v>1050</v>
      </c>
      <c r="D1043" s="2" t="s">
        <v>2760</v>
      </c>
      <c r="E1043" s="2" t="s">
        <v>2422</v>
      </c>
      <c r="F1043" s="2" t="s">
        <v>16</v>
      </c>
      <c r="G1043" s="2" t="s">
        <v>26</v>
      </c>
      <c r="H1043" s="2"/>
      <c r="I1043" s="2"/>
      <c r="J1043" s="2" t="s">
        <v>19</v>
      </c>
      <c r="K1043" s="2"/>
      <c r="L1043" s="2" t="s">
        <v>63</v>
      </c>
    </row>
    <row r="1044" customFormat="false" ht="11.9" hidden="false" customHeight="true" outlineLevel="0" collapsed="false">
      <c r="A1044" s="2" t="str">
        <f aca="false">HYPERLINK("https://www.fabsurplus.com/sdi_catalog/salesItemDetails.do?id=114681")</f>
        <v>https://www.fabsurplus.com/sdi_catalog/salesItemDetails.do?id=114681</v>
      </c>
      <c r="B1044" s="2" t="s">
        <v>2761</v>
      </c>
      <c r="C1044" s="2" t="s">
        <v>1050</v>
      </c>
      <c r="D1044" s="2" t="s">
        <v>2762</v>
      </c>
      <c r="E1044" s="2" t="s">
        <v>2763</v>
      </c>
      <c r="F1044" s="2" t="s">
        <v>77</v>
      </c>
      <c r="G1044" s="2" t="s">
        <v>26</v>
      </c>
      <c r="H1044" s="2"/>
      <c r="I1044" s="2"/>
      <c r="J1044" s="2" t="s">
        <v>19</v>
      </c>
      <c r="K1044" s="2"/>
      <c r="L1044" s="2" t="s">
        <v>63</v>
      </c>
    </row>
    <row r="1045" customFormat="false" ht="11.9" hidden="false" customHeight="true" outlineLevel="0" collapsed="false">
      <c r="A1045" s="2" t="str">
        <f aca="false">HYPERLINK("https://www.fabsurplus.com/sdi_catalog/salesItemDetails.do?id=114682")</f>
        <v>https://www.fabsurplus.com/sdi_catalog/salesItemDetails.do?id=114682</v>
      </c>
      <c r="B1045" s="2" t="s">
        <v>2764</v>
      </c>
      <c r="C1045" s="2" t="s">
        <v>1050</v>
      </c>
      <c r="D1045" s="2" t="s">
        <v>2765</v>
      </c>
      <c r="E1045" s="2" t="s">
        <v>2766</v>
      </c>
      <c r="F1045" s="2" t="s">
        <v>16</v>
      </c>
      <c r="G1045" s="2" t="s">
        <v>26</v>
      </c>
      <c r="H1045" s="2"/>
      <c r="I1045" s="2"/>
      <c r="J1045" s="2" t="s">
        <v>19</v>
      </c>
      <c r="K1045" s="2"/>
      <c r="L1045" s="2" t="s">
        <v>63</v>
      </c>
    </row>
    <row r="1046" customFormat="false" ht="11.9" hidden="false" customHeight="true" outlineLevel="0" collapsed="false">
      <c r="A1046" s="3" t="str">
        <f aca="false">HYPERLINK("https://www.fabsurplus.com/sdi_catalog/salesItemDetails.do?id=114753")</f>
        <v>https://www.fabsurplus.com/sdi_catalog/salesItemDetails.do?id=114753</v>
      </c>
      <c r="B1046" s="3" t="s">
        <v>2767</v>
      </c>
      <c r="C1046" s="3" t="s">
        <v>1050</v>
      </c>
      <c r="D1046" s="3" t="s">
        <v>2768</v>
      </c>
      <c r="E1046" s="3" t="s">
        <v>2769</v>
      </c>
      <c r="F1046" s="3" t="s">
        <v>16</v>
      </c>
      <c r="G1046" s="3" t="s">
        <v>26</v>
      </c>
      <c r="H1046" s="3"/>
      <c r="I1046" s="3"/>
      <c r="J1046" s="3" t="s">
        <v>19</v>
      </c>
      <c r="K1046" s="3"/>
      <c r="L1046" s="3" t="s">
        <v>63</v>
      </c>
    </row>
    <row r="1047" customFormat="false" ht="11.9" hidden="false" customHeight="true" outlineLevel="0" collapsed="false">
      <c r="A1047" s="3" t="str">
        <f aca="false">HYPERLINK("https://www.fabsurplus.com/sdi_catalog/salesItemDetails.do?id=114754")</f>
        <v>https://www.fabsurplus.com/sdi_catalog/salesItemDetails.do?id=114754</v>
      </c>
      <c r="B1047" s="3" t="s">
        <v>2770</v>
      </c>
      <c r="C1047" s="3" t="s">
        <v>1050</v>
      </c>
      <c r="D1047" s="3" t="s">
        <v>2771</v>
      </c>
      <c r="E1047" s="3" t="s">
        <v>2772</v>
      </c>
      <c r="F1047" s="3" t="s">
        <v>16</v>
      </c>
      <c r="G1047" s="3" t="s">
        <v>26</v>
      </c>
      <c r="H1047" s="3"/>
      <c r="I1047" s="3"/>
      <c r="J1047" s="3" t="s">
        <v>19</v>
      </c>
      <c r="K1047" s="3"/>
      <c r="L1047" s="3" t="s">
        <v>63</v>
      </c>
    </row>
    <row r="1048" customFormat="false" ht="11.9" hidden="false" customHeight="true" outlineLevel="0" collapsed="false">
      <c r="A1048" s="3" t="str">
        <f aca="false">HYPERLINK("https://www.fabsurplus.com/sdi_catalog/salesItemDetails.do?id=114687")</f>
        <v>https://www.fabsurplus.com/sdi_catalog/salesItemDetails.do?id=114687</v>
      </c>
      <c r="B1048" s="3" t="s">
        <v>2773</v>
      </c>
      <c r="C1048" s="3" t="s">
        <v>1050</v>
      </c>
      <c r="D1048" s="3" t="s">
        <v>2774</v>
      </c>
      <c r="E1048" s="3" t="s">
        <v>1151</v>
      </c>
      <c r="F1048" s="3" t="s">
        <v>16</v>
      </c>
      <c r="G1048" s="3" t="s">
        <v>26</v>
      </c>
      <c r="H1048" s="3"/>
      <c r="I1048" s="3"/>
      <c r="J1048" s="3" t="s">
        <v>19</v>
      </c>
      <c r="K1048" s="3"/>
      <c r="L1048" s="3" t="s">
        <v>63</v>
      </c>
    </row>
    <row r="1049" customFormat="false" ht="11.9" hidden="false" customHeight="true" outlineLevel="0" collapsed="false">
      <c r="A1049" s="3" t="str">
        <f aca="false">HYPERLINK("https://www.fabsurplus.com/sdi_catalog/salesItemDetails.do?id=115164")</f>
        <v>https://www.fabsurplus.com/sdi_catalog/salesItemDetails.do?id=115164</v>
      </c>
      <c r="B1049" s="3" t="s">
        <v>2775</v>
      </c>
      <c r="C1049" s="3" t="s">
        <v>1050</v>
      </c>
      <c r="D1049" s="3" t="s">
        <v>2776</v>
      </c>
      <c r="E1049" s="3" t="s">
        <v>1222</v>
      </c>
      <c r="F1049" s="3" t="s">
        <v>16</v>
      </c>
      <c r="G1049" s="3" t="s">
        <v>26</v>
      </c>
      <c r="H1049" s="3"/>
      <c r="I1049" s="3"/>
      <c r="J1049" s="3" t="s">
        <v>19</v>
      </c>
      <c r="K1049" s="3"/>
      <c r="L1049" s="3" t="s">
        <v>63</v>
      </c>
    </row>
    <row r="1050" customFormat="false" ht="11.9" hidden="false" customHeight="true" outlineLevel="0" collapsed="false">
      <c r="A1050" s="3" t="str">
        <f aca="false">HYPERLINK("https://www.fabsurplus.com/sdi_catalog/salesItemDetails.do?id=115020")</f>
        <v>https://www.fabsurplus.com/sdi_catalog/salesItemDetails.do?id=115020</v>
      </c>
      <c r="B1050" s="3" t="s">
        <v>2777</v>
      </c>
      <c r="C1050" s="3" t="s">
        <v>1050</v>
      </c>
      <c r="D1050" s="3" t="s">
        <v>2778</v>
      </c>
      <c r="E1050" s="3" t="s">
        <v>2779</v>
      </c>
      <c r="F1050" s="3" t="s">
        <v>69</v>
      </c>
      <c r="G1050" s="3" t="s">
        <v>26</v>
      </c>
      <c r="H1050" s="3"/>
      <c r="I1050" s="3"/>
      <c r="J1050" s="3" t="s">
        <v>19</v>
      </c>
      <c r="K1050" s="3"/>
      <c r="L1050" s="3" t="s">
        <v>63</v>
      </c>
    </row>
    <row r="1051" customFormat="false" ht="11.9" hidden="false" customHeight="true" outlineLevel="0" collapsed="false">
      <c r="A1051" s="3" t="str">
        <f aca="false">HYPERLINK("https://www.fabsurplus.com/sdi_catalog/salesItemDetails.do?id=115090")</f>
        <v>https://www.fabsurplus.com/sdi_catalog/salesItemDetails.do?id=115090</v>
      </c>
      <c r="B1051" s="3" t="s">
        <v>2780</v>
      </c>
      <c r="C1051" s="3" t="s">
        <v>1050</v>
      </c>
      <c r="D1051" s="3" t="s">
        <v>2781</v>
      </c>
      <c r="E1051" s="3" t="s">
        <v>2782</v>
      </c>
      <c r="F1051" s="3" t="s">
        <v>16</v>
      </c>
      <c r="G1051" s="3" t="s">
        <v>26</v>
      </c>
      <c r="H1051" s="3"/>
      <c r="I1051" s="3"/>
      <c r="J1051" s="3" t="s">
        <v>19</v>
      </c>
      <c r="K1051" s="3"/>
      <c r="L1051" s="3" t="s">
        <v>63</v>
      </c>
    </row>
    <row r="1052" customFormat="false" ht="11.9" hidden="false" customHeight="true" outlineLevel="0" collapsed="false">
      <c r="A1052" s="3" t="str">
        <f aca="false">HYPERLINK("https://www.fabsurplus.com/sdi_catalog/salesItemDetails.do?id=115249")</f>
        <v>https://www.fabsurplus.com/sdi_catalog/salesItemDetails.do?id=115249</v>
      </c>
      <c r="B1052" s="3" t="s">
        <v>2783</v>
      </c>
      <c r="C1052" s="3" t="s">
        <v>1050</v>
      </c>
      <c r="D1052" s="3" t="s">
        <v>2784</v>
      </c>
      <c r="E1052" s="3" t="s">
        <v>2785</v>
      </c>
      <c r="F1052" s="3" t="s">
        <v>16</v>
      </c>
      <c r="G1052" s="3" t="s">
        <v>26</v>
      </c>
      <c r="H1052" s="3"/>
      <c r="I1052" s="3"/>
      <c r="J1052" s="3" t="s">
        <v>19</v>
      </c>
      <c r="K1052" s="3"/>
      <c r="L1052" s="3" t="s">
        <v>63</v>
      </c>
    </row>
    <row r="1053" customFormat="false" ht="11.9" hidden="false" customHeight="true" outlineLevel="0" collapsed="false">
      <c r="A1053" s="2" t="str">
        <f aca="false">HYPERLINK("https://www.fabsurplus.com/sdi_catalog/salesItemDetails.do?id=115250")</f>
        <v>https://www.fabsurplus.com/sdi_catalog/salesItemDetails.do?id=115250</v>
      </c>
      <c r="B1053" s="2" t="s">
        <v>2786</v>
      </c>
      <c r="C1053" s="2" t="s">
        <v>1050</v>
      </c>
      <c r="D1053" s="2" t="s">
        <v>2787</v>
      </c>
      <c r="E1053" s="2" t="s">
        <v>2788</v>
      </c>
      <c r="F1053" s="2" t="s">
        <v>16</v>
      </c>
      <c r="G1053" s="2" t="s">
        <v>26</v>
      </c>
      <c r="H1053" s="2"/>
      <c r="I1053" s="2"/>
      <c r="J1053" s="2" t="s">
        <v>19</v>
      </c>
      <c r="K1053" s="2"/>
      <c r="L1053" s="2" t="s">
        <v>63</v>
      </c>
    </row>
    <row r="1054" customFormat="false" ht="11.9" hidden="false" customHeight="true" outlineLevel="0" collapsed="false">
      <c r="A1054" s="3" t="str">
        <f aca="false">HYPERLINK("https://www.fabsurplus.com/sdi_catalog/salesItemDetails.do?id=114803")</f>
        <v>https://www.fabsurplus.com/sdi_catalog/salesItemDetails.do?id=114803</v>
      </c>
      <c r="B1054" s="3" t="s">
        <v>2789</v>
      </c>
      <c r="C1054" s="3" t="s">
        <v>1050</v>
      </c>
      <c r="D1054" s="3" t="s">
        <v>2790</v>
      </c>
      <c r="E1054" s="3" t="s">
        <v>2791</v>
      </c>
      <c r="F1054" s="3" t="s">
        <v>69</v>
      </c>
      <c r="G1054" s="3" t="s">
        <v>26</v>
      </c>
      <c r="H1054" s="3"/>
      <c r="I1054" s="3"/>
      <c r="J1054" s="3" t="s">
        <v>19</v>
      </c>
      <c r="K1054" s="3"/>
      <c r="L1054" s="3" t="s">
        <v>63</v>
      </c>
    </row>
    <row r="1055" customFormat="false" ht="11.9" hidden="false" customHeight="true" outlineLevel="0" collapsed="false">
      <c r="A1055" s="3" t="str">
        <f aca="false">HYPERLINK("https://www.fabsurplus.com/sdi_catalog/salesItemDetails.do?id=115132")</f>
        <v>https://www.fabsurplus.com/sdi_catalog/salesItemDetails.do?id=115132</v>
      </c>
      <c r="B1055" s="3" t="s">
        <v>2792</v>
      </c>
      <c r="C1055" s="3" t="s">
        <v>1050</v>
      </c>
      <c r="D1055" s="3" t="s">
        <v>2793</v>
      </c>
      <c r="E1055" s="3" t="s">
        <v>2794</v>
      </c>
      <c r="F1055" s="3" t="s">
        <v>16</v>
      </c>
      <c r="G1055" s="3" t="s">
        <v>26</v>
      </c>
      <c r="H1055" s="3"/>
      <c r="I1055" s="3"/>
      <c r="J1055" s="3" t="s">
        <v>19</v>
      </c>
      <c r="K1055" s="3"/>
      <c r="L1055" s="3" t="s">
        <v>63</v>
      </c>
    </row>
    <row r="1056" customFormat="false" ht="11.9" hidden="false" customHeight="true" outlineLevel="0" collapsed="false">
      <c r="A1056" s="2" t="str">
        <f aca="false">HYPERLINK("https://www.fabsurplus.com/sdi_catalog/salesItemDetails.do?id=115024")</f>
        <v>https://www.fabsurplus.com/sdi_catalog/salesItemDetails.do?id=115024</v>
      </c>
      <c r="B1056" s="2" t="s">
        <v>2795</v>
      </c>
      <c r="C1056" s="2" t="s">
        <v>1050</v>
      </c>
      <c r="D1056" s="2" t="s">
        <v>2796</v>
      </c>
      <c r="E1056" s="2" t="s">
        <v>2797</v>
      </c>
      <c r="F1056" s="2" t="s">
        <v>77</v>
      </c>
      <c r="G1056" s="2" t="s">
        <v>26</v>
      </c>
      <c r="H1056" s="2"/>
      <c r="I1056" s="2"/>
      <c r="J1056" s="2" t="s">
        <v>19</v>
      </c>
      <c r="K1056" s="2"/>
      <c r="L1056" s="2" t="s">
        <v>63</v>
      </c>
    </row>
    <row r="1057" customFormat="false" ht="11.9" hidden="false" customHeight="true" outlineLevel="0" collapsed="false">
      <c r="A1057" s="3" t="str">
        <f aca="false">HYPERLINK("https://www.fabsurplus.com/sdi_catalog/salesItemDetails.do?id=115184")</f>
        <v>https://www.fabsurplus.com/sdi_catalog/salesItemDetails.do?id=115184</v>
      </c>
      <c r="B1057" s="3" t="s">
        <v>2798</v>
      </c>
      <c r="C1057" s="3" t="s">
        <v>1050</v>
      </c>
      <c r="D1057" s="3" t="s">
        <v>2799</v>
      </c>
      <c r="E1057" s="3" t="s">
        <v>2800</v>
      </c>
      <c r="F1057" s="3" t="s">
        <v>77</v>
      </c>
      <c r="G1057" s="3" t="s">
        <v>26</v>
      </c>
      <c r="H1057" s="3"/>
      <c r="I1057" s="3"/>
      <c r="J1057" s="3" t="s">
        <v>19</v>
      </c>
      <c r="K1057" s="3"/>
      <c r="L1057" s="3" t="s">
        <v>63</v>
      </c>
    </row>
    <row r="1058" customFormat="false" ht="11.9" hidden="false" customHeight="true" outlineLevel="0" collapsed="false">
      <c r="A1058" s="2" t="str">
        <f aca="false">HYPERLINK("https://www.fabsurplus.com/sdi_catalog/salesItemDetails.do?id=115251")</f>
        <v>https://www.fabsurplus.com/sdi_catalog/salesItemDetails.do?id=115251</v>
      </c>
      <c r="B1058" s="2" t="s">
        <v>2801</v>
      </c>
      <c r="C1058" s="2" t="s">
        <v>1050</v>
      </c>
      <c r="D1058" s="2" t="s">
        <v>2802</v>
      </c>
      <c r="E1058" s="2" t="s">
        <v>2803</v>
      </c>
      <c r="F1058" s="2" t="s">
        <v>77</v>
      </c>
      <c r="G1058" s="2" t="s">
        <v>26</v>
      </c>
      <c r="H1058" s="2"/>
      <c r="I1058" s="2"/>
      <c r="J1058" s="2" t="s">
        <v>19</v>
      </c>
      <c r="K1058" s="2"/>
      <c r="L1058" s="2" t="s">
        <v>63</v>
      </c>
    </row>
    <row r="1059" customFormat="false" ht="11.9" hidden="false" customHeight="true" outlineLevel="0" collapsed="false">
      <c r="A1059" s="2" t="str">
        <f aca="false">HYPERLINK("https://www.fabsurplus.com/sdi_catalog/salesItemDetails.do?id=115021")</f>
        <v>https://www.fabsurplus.com/sdi_catalog/salesItemDetails.do?id=115021</v>
      </c>
      <c r="B1059" s="2" t="s">
        <v>2804</v>
      </c>
      <c r="C1059" s="2" t="s">
        <v>1050</v>
      </c>
      <c r="D1059" s="2" t="s">
        <v>2805</v>
      </c>
      <c r="E1059" s="2" t="s">
        <v>2806</v>
      </c>
      <c r="F1059" s="2" t="s">
        <v>16</v>
      </c>
      <c r="G1059" s="2" t="s">
        <v>26</v>
      </c>
      <c r="H1059" s="2"/>
      <c r="I1059" s="2"/>
      <c r="J1059" s="2" t="s">
        <v>19</v>
      </c>
      <c r="K1059" s="2"/>
      <c r="L1059" s="2" t="s">
        <v>63</v>
      </c>
    </row>
    <row r="1060" customFormat="false" ht="11.9" hidden="false" customHeight="true" outlineLevel="0" collapsed="false">
      <c r="A1060" s="2" t="str">
        <f aca="false">HYPERLINK("https://www.fabsurplus.com/sdi_catalog/salesItemDetails.do?id=114996")</f>
        <v>https://www.fabsurplus.com/sdi_catalog/salesItemDetails.do?id=114996</v>
      </c>
      <c r="B1060" s="2" t="s">
        <v>2807</v>
      </c>
      <c r="C1060" s="2" t="s">
        <v>1050</v>
      </c>
      <c r="D1060" s="2" t="s">
        <v>2808</v>
      </c>
      <c r="E1060" s="2" t="s">
        <v>2809</v>
      </c>
      <c r="F1060" s="2" t="s">
        <v>16</v>
      </c>
      <c r="G1060" s="2" t="s">
        <v>26</v>
      </c>
      <c r="H1060" s="2"/>
      <c r="I1060" s="2"/>
      <c r="J1060" s="2" t="s">
        <v>19</v>
      </c>
      <c r="K1060" s="2"/>
      <c r="L1060" s="2" t="s">
        <v>63</v>
      </c>
    </row>
    <row r="1061" customFormat="false" ht="11.9" hidden="false" customHeight="true" outlineLevel="0" collapsed="false">
      <c r="A1061" s="2" t="str">
        <f aca="false">HYPERLINK("https://www.fabsurplus.com/sdi_catalog/salesItemDetails.do?id=114908")</f>
        <v>https://www.fabsurplus.com/sdi_catalog/salesItemDetails.do?id=114908</v>
      </c>
      <c r="B1061" s="2" t="s">
        <v>2810</v>
      </c>
      <c r="C1061" s="2" t="s">
        <v>1050</v>
      </c>
      <c r="D1061" s="2" t="s">
        <v>2811</v>
      </c>
      <c r="E1061" s="2" t="s">
        <v>2812</v>
      </c>
      <c r="F1061" s="2" t="s">
        <v>16</v>
      </c>
      <c r="G1061" s="2" t="s">
        <v>26</v>
      </c>
      <c r="H1061" s="2"/>
      <c r="I1061" s="2"/>
      <c r="J1061" s="2" t="s">
        <v>19</v>
      </c>
      <c r="K1061" s="2"/>
      <c r="L1061" s="2" t="s">
        <v>63</v>
      </c>
    </row>
    <row r="1062" customFormat="false" ht="11.9" hidden="false" customHeight="true" outlineLevel="0" collapsed="false">
      <c r="A1062" s="3" t="str">
        <f aca="false">HYPERLINK("https://www.fabsurplus.com/sdi_catalog/salesItemDetails.do?id=115165")</f>
        <v>https://www.fabsurplus.com/sdi_catalog/salesItemDetails.do?id=115165</v>
      </c>
      <c r="B1062" s="3" t="s">
        <v>2813</v>
      </c>
      <c r="C1062" s="3" t="s">
        <v>1050</v>
      </c>
      <c r="D1062" s="3" t="s">
        <v>2814</v>
      </c>
      <c r="E1062" s="3" t="s">
        <v>2815</v>
      </c>
      <c r="F1062" s="3" t="s">
        <v>77</v>
      </c>
      <c r="G1062" s="3" t="s">
        <v>26</v>
      </c>
      <c r="H1062" s="3"/>
      <c r="I1062" s="3"/>
      <c r="J1062" s="3" t="s">
        <v>19</v>
      </c>
      <c r="K1062" s="3"/>
      <c r="L1062" s="3" t="s">
        <v>63</v>
      </c>
    </row>
    <row r="1063" customFormat="false" ht="11.9" hidden="false" customHeight="true" outlineLevel="0" collapsed="false">
      <c r="A1063" s="2" t="str">
        <f aca="false">HYPERLINK("https://www.fabsurplus.com/sdi_catalog/salesItemDetails.do?id=115166")</f>
        <v>https://www.fabsurplus.com/sdi_catalog/salesItemDetails.do?id=115166</v>
      </c>
      <c r="B1063" s="2" t="s">
        <v>2816</v>
      </c>
      <c r="C1063" s="2" t="s">
        <v>1050</v>
      </c>
      <c r="D1063" s="2" t="s">
        <v>2817</v>
      </c>
      <c r="E1063" s="2" t="s">
        <v>2818</v>
      </c>
      <c r="F1063" s="2" t="s">
        <v>16</v>
      </c>
      <c r="G1063" s="2" t="s">
        <v>26</v>
      </c>
      <c r="H1063" s="2"/>
      <c r="I1063" s="2"/>
      <c r="J1063" s="2" t="s">
        <v>19</v>
      </c>
      <c r="K1063" s="2"/>
      <c r="L1063" s="2" t="s">
        <v>63</v>
      </c>
    </row>
    <row r="1064" customFormat="false" ht="11.9" hidden="false" customHeight="true" outlineLevel="0" collapsed="false">
      <c r="A1064" s="2" t="str">
        <f aca="false">HYPERLINK("https://www.fabsurplus.com/sdi_catalog/salesItemDetails.do?id=114997")</f>
        <v>https://www.fabsurplus.com/sdi_catalog/salesItemDetails.do?id=114997</v>
      </c>
      <c r="B1064" s="2" t="s">
        <v>2819</v>
      </c>
      <c r="C1064" s="2" t="s">
        <v>1050</v>
      </c>
      <c r="D1064" s="2" t="s">
        <v>2820</v>
      </c>
      <c r="E1064" s="2" t="s">
        <v>2821</v>
      </c>
      <c r="F1064" s="2" t="s">
        <v>16</v>
      </c>
      <c r="G1064" s="2" t="s">
        <v>26</v>
      </c>
      <c r="H1064" s="2"/>
      <c r="I1064" s="2"/>
      <c r="J1064" s="2" t="s">
        <v>19</v>
      </c>
      <c r="K1064" s="2"/>
      <c r="L1064" s="2" t="s">
        <v>63</v>
      </c>
    </row>
    <row r="1065" customFormat="false" ht="11.9" hidden="false" customHeight="true" outlineLevel="0" collapsed="false">
      <c r="A1065" s="2" t="str">
        <f aca="false">HYPERLINK("https://www.fabsurplus.com/sdi_catalog/salesItemDetails.do?id=115167")</f>
        <v>https://www.fabsurplus.com/sdi_catalog/salesItemDetails.do?id=115167</v>
      </c>
      <c r="B1065" s="2" t="s">
        <v>2822</v>
      </c>
      <c r="C1065" s="2" t="s">
        <v>1050</v>
      </c>
      <c r="D1065" s="2" t="s">
        <v>2823</v>
      </c>
      <c r="E1065" s="2" t="s">
        <v>2824</v>
      </c>
      <c r="F1065" s="2" t="s">
        <v>69</v>
      </c>
      <c r="G1065" s="2" t="s">
        <v>26</v>
      </c>
      <c r="H1065" s="2"/>
      <c r="I1065" s="2"/>
      <c r="J1065" s="2" t="s">
        <v>19</v>
      </c>
      <c r="K1065" s="2"/>
      <c r="L1065" s="2" t="s">
        <v>63</v>
      </c>
    </row>
    <row r="1066" customFormat="false" ht="11.9" hidden="false" customHeight="true" outlineLevel="0" collapsed="false">
      <c r="A1066" s="2" t="str">
        <f aca="false">HYPERLINK("https://www.fabsurplus.com/sdi_catalog/salesItemDetails.do?id=115002")</f>
        <v>https://www.fabsurplus.com/sdi_catalog/salesItemDetails.do?id=115002</v>
      </c>
      <c r="B1066" s="2" t="s">
        <v>2825</v>
      </c>
      <c r="C1066" s="2" t="s">
        <v>1050</v>
      </c>
      <c r="D1066" s="2" t="s">
        <v>2826</v>
      </c>
      <c r="E1066" s="2" t="s">
        <v>2827</v>
      </c>
      <c r="F1066" s="2" t="s">
        <v>16</v>
      </c>
      <c r="G1066" s="2" t="s">
        <v>26</v>
      </c>
      <c r="H1066" s="2"/>
      <c r="I1066" s="2"/>
      <c r="J1066" s="2" t="s">
        <v>19</v>
      </c>
      <c r="K1066" s="2"/>
      <c r="L1066" s="2" t="s">
        <v>63</v>
      </c>
    </row>
    <row r="1067" customFormat="false" ht="11.9" hidden="false" customHeight="true" outlineLevel="0" collapsed="false">
      <c r="A1067" s="3" t="str">
        <f aca="false">HYPERLINK("https://www.fabsurplus.com/sdi_catalog/salesItemDetails.do?id=115252")</f>
        <v>https://www.fabsurplus.com/sdi_catalog/salesItemDetails.do?id=115252</v>
      </c>
      <c r="B1067" s="3" t="s">
        <v>2828</v>
      </c>
      <c r="C1067" s="3" t="s">
        <v>1050</v>
      </c>
      <c r="D1067" s="3" t="s">
        <v>2829</v>
      </c>
      <c r="E1067" s="3" t="s">
        <v>2830</v>
      </c>
      <c r="F1067" s="3" t="s">
        <v>77</v>
      </c>
      <c r="G1067" s="3" t="s">
        <v>26</v>
      </c>
      <c r="H1067" s="3"/>
      <c r="I1067" s="3"/>
      <c r="J1067" s="3" t="s">
        <v>19</v>
      </c>
      <c r="K1067" s="3"/>
      <c r="L1067" s="3" t="s">
        <v>63</v>
      </c>
    </row>
    <row r="1068" customFormat="false" ht="11.9" hidden="false" customHeight="true" outlineLevel="0" collapsed="false">
      <c r="A1068" s="2" t="str">
        <f aca="false">HYPERLINK("https://www.fabsurplus.com/sdi_catalog/salesItemDetails.do?id=115109")</f>
        <v>https://www.fabsurplus.com/sdi_catalog/salesItemDetails.do?id=115109</v>
      </c>
      <c r="B1068" s="2" t="s">
        <v>2831</v>
      </c>
      <c r="C1068" s="2" t="s">
        <v>1050</v>
      </c>
      <c r="D1068" s="2" t="s">
        <v>2832</v>
      </c>
      <c r="E1068" s="2" t="s">
        <v>2833</v>
      </c>
      <c r="F1068" s="2" t="s">
        <v>16</v>
      </c>
      <c r="G1068" s="2" t="s">
        <v>26</v>
      </c>
      <c r="H1068" s="2"/>
      <c r="I1068" s="2"/>
      <c r="J1068" s="2" t="s">
        <v>19</v>
      </c>
      <c r="K1068" s="2"/>
      <c r="L1068" s="2" t="s">
        <v>63</v>
      </c>
    </row>
    <row r="1069" customFormat="false" ht="11.9" hidden="false" customHeight="true" outlineLevel="0" collapsed="false">
      <c r="A1069" s="3" t="str">
        <f aca="false">HYPERLINK("https://www.fabsurplus.com/sdi_catalog/salesItemDetails.do?id=115128")</f>
        <v>https://www.fabsurplus.com/sdi_catalog/salesItemDetails.do?id=115128</v>
      </c>
      <c r="B1069" s="3" t="s">
        <v>2834</v>
      </c>
      <c r="C1069" s="3" t="s">
        <v>1050</v>
      </c>
      <c r="D1069" s="3" t="s">
        <v>2835</v>
      </c>
      <c r="E1069" s="3" t="s">
        <v>2836</v>
      </c>
      <c r="F1069" s="3" t="s">
        <v>16</v>
      </c>
      <c r="G1069" s="3" t="s">
        <v>26</v>
      </c>
      <c r="H1069" s="3"/>
      <c r="I1069" s="3"/>
      <c r="J1069" s="3" t="s">
        <v>19</v>
      </c>
      <c r="K1069" s="3"/>
      <c r="L1069" s="3" t="s">
        <v>63</v>
      </c>
    </row>
    <row r="1070" customFormat="false" ht="11.9" hidden="false" customHeight="true" outlineLevel="0" collapsed="false">
      <c r="A1070" s="2" t="str">
        <f aca="false">HYPERLINK("https://www.fabsurplus.com/sdi_catalog/salesItemDetails.do?id=114862")</f>
        <v>https://www.fabsurplus.com/sdi_catalog/salesItemDetails.do?id=114862</v>
      </c>
      <c r="B1070" s="2" t="s">
        <v>2837</v>
      </c>
      <c r="C1070" s="2" t="s">
        <v>1050</v>
      </c>
      <c r="D1070" s="2" t="s">
        <v>2838</v>
      </c>
      <c r="E1070" s="2" t="s">
        <v>2839</v>
      </c>
      <c r="F1070" s="2" t="s">
        <v>16</v>
      </c>
      <c r="G1070" s="2" t="s">
        <v>26</v>
      </c>
      <c r="H1070" s="2"/>
      <c r="I1070" s="2"/>
      <c r="J1070" s="2" t="s">
        <v>19</v>
      </c>
      <c r="K1070" s="2"/>
      <c r="L1070" s="2" t="s">
        <v>63</v>
      </c>
    </row>
    <row r="1071" customFormat="false" ht="11.9" hidden="false" customHeight="true" outlineLevel="0" collapsed="false">
      <c r="A1071" s="2" t="str">
        <f aca="false">HYPERLINK("https://www.fabsurplus.com/sdi_catalog/salesItemDetails.do?id=115091")</f>
        <v>https://www.fabsurplus.com/sdi_catalog/salesItemDetails.do?id=115091</v>
      </c>
      <c r="B1071" s="2" t="s">
        <v>2840</v>
      </c>
      <c r="C1071" s="2" t="s">
        <v>1050</v>
      </c>
      <c r="D1071" s="2" t="s">
        <v>2841</v>
      </c>
      <c r="E1071" s="2" t="s">
        <v>2842</v>
      </c>
      <c r="F1071" s="2" t="s">
        <v>16</v>
      </c>
      <c r="G1071" s="2" t="s">
        <v>26</v>
      </c>
      <c r="H1071" s="2"/>
      <c r="I1071" s="2"/>
      <c r="J1071" s="2" t="s">
        <v>19</v>
      </c>
      <c r="K1071" s="2"/>
      <c r="L1071" s="2" t="s">
        <v>63</v>
      </c>
    </row>
    <row r="1072" customFormat="false" ht="11.9" hidden="false" customHeight="true" outlineLevel="0" collapsed="false">
      <c r="A1072" s="2" t="str">
        <f aca="false">HYPERLINK("https://www.fabsurplus.com/sdi_catalog/salesItemDetails.do?id=115092")</f>
        <v>https://www.fabsurplus.com/sdi_catalog/salesItemDetails.do?id=115092</v>
      </c>
      <c r="B1072" s="2" t="s">
        <v>2843</v>
      </c>
      <c r="C1072" s="2" t="s">
        <v>1050</v>
      </c>
      <c r="D1072" s="2" t="s">
        <v>2844</v>
      </c>
      <c r="E1072" s="2" t="s">
        <v>2845</v>
      </c>
      <c r="F1072" s="2" t="s">
        <v>16</v>
      </c>
      <c r="G1072" s="2" t="s">
        <v>26</v>
      </c>
      <c r="H1072" s="2"/>
      <c r="I1072" s="2"/>
      <c r="J1072" s="2" t="s">
        <v>19</v>
      </c>
      <c r="K1072" s="2"/>
      <c r="L1072" s="2" t="s">
        <v>63</v>
      </c>
    </row>
    <row r="1073" customFormat="false" ht="11.9" hidden="false" customHeight="true" outlineLevel="0" collapsed="false">
      <c r="A1073" s="2" t="str">
        <f aca="false">HYPERLINK("https://www.fabsurplus.com/sdi_catalog/salesItemDetails.do?id=115093")</f>
        <v>https://www.fabsurplus.com/sdi_catalog/salesItemDetails.do?id=115093</v>
      </c>
      <c r="B1073" s="2" t="s">
        <v>2846</v>
      </c>
      <c r="C1073" s="2" t="s">
        <v>1050</v>
      </c>
      <c r="D1073" s="2" t="s">
        <v>2847</v>
      </c>
      <c r="E1073" s="2" t="s">
        <v>2848</v>
      </c>
      <c r="F1073" s="2" t="s">
        <v>16</v>
      </c>
      <c r="G1073" s="2" t="s">
        <v>26</v>
      </c>
      <c r="H1073" s="2"/>
      <c r="I1073" s="2"/>
      <c r="J1073" s="2" t="s">
        <v>19</v>
      </c>
      <c r="K1073" s="2"/>
      <c r="L1073" s="2" t="s">
        <v>63</v>
      </c>
    </row>
    <row r="1074" customFormat="false" ht="11.9" hidden="false" customHeight="true" outlineLevel="0" collapsed="false">
      <c r="A1074" s="3" t="str">
        <f aca="false">HYPERLINK("https://www.fabsurplus.com/sdi_catalog/salesItemDetails.do?id=114772")</f>
        <v>https://www.fabsurplus.com/sdi_catalog/salesItemDetails.do?id=114772</v>
      </c>
      <c r="B1074" s="3" t="s">
        <v>2849</v>
      </c>
      <c r="C1074" s="3" t="s">
        <v>1050</v>
      </c>
      <c r="D1074" s="3" t="s">
        <v>2850</v>
      </c>
      <c r="E1074" s="3" t="s">
        <v>2851</v>
      </c>
      <c r="F1074" s="3" t="s">
        <v>16</v>
      </c>
      <c r="G1074" s="3" t="s">
        <v>26</v>
      </c>
      <c r="H1074" s="3"/>
      <c r="I1074" s="3"/>
      <c r="J1074" s="3" t="s">
        <v>19</v>
      </c>
      <c r="K1074" s="3"/>
      <c r="L1074" s="3" t="s">
        <v>63</v>
      </c>
    </row>
    <row r="1075" customFormat="false" ht="11.9" hidden="false" customHeight="true" outlineLevel="0" collapsed="false">
      <c r="A1075" s="2" t="str">
        <f aca="false">HYPERLINK("https://www.fabsurplus.com/sdi_catalog/salesItemDetails.do?id=115005")</f>
        <v>https://www.fabsurplus.com/sdi_catalog/salesItemDetails.do?id=115005</v>
      </c>
      <c r="B1075" s="2" t="s">
        <v>2852</v>
      </c>
      <c r="C1075" s="2" t="s">
        <v>1050</v>
      </c>
      <c r="D1075" s="2" t="s">
        <v>2853</v>
      </c>
      <c r="E1075" s="2" t="s">
        <v>2854</v>
      </c>
      <c r="F1075" s="2" t="s">
        <v>101</v>
      </c>
      <c r="G1075" s="2" t="s">
        <v>26</v>
      </c>
      <c r="H1075" s="2"/>
      <c r="I1075" s="2"/>
      <c r="J1075" s="2" t="s">
        <v>19</v>
      </c>
      <c r="K1075" s="2"/>
      <c r="L1075" s="2" t="s">
        <v>63</v>
      </c>
    </row>
    <row r="1076" customFormat="false" ht="11.9" hidden="false" customHeight="true" outlineLevel="0" collapsed="false">
      <c r="A1076" s="2" t="str">
        <f aca="false">HYPERLINK("https://www.fabsurplus.com/sdi_catalog/salesItemDetails.do?id=114909")</f>
        <v>https://www.fabsurplus.com/sdi_catalog/salesItemDetails.do?id=114909</v>
      </c>
      <c r="B1076" s="2" t="s">
        <v>2855</v>
      </c>
      <c r="C1076" s="2" t="s">
        <v>1050</v>
      </c>
      <c r="D1076" s="2" t="s">
        <v>2856</v>
      </c>
      <c r="E1076" s="2" t="s">
        <v>2857</v>
      </c>
      <c r="F1076" s="2" t="s">
        <v>16</v>
      </c>
      <c r="G1076" s="2" t="s">
        <v>26</v>
      </c>
      <c r="H1076" s="2"/>
      <c r="I1076" s="2"/>
      <c r="J1076" s="2" t="s">
        <v>19</v>
      </c>
      <c r="K1076" s="2"/>
      <c r="L1076" s="2" t="s">
        <v>63</v>
      </c>
    </row>
    <row r="1077" customFormat="false" ht="11.9" hidden="false" customHeight="true" outlineLevel="0" collapsed="false">
      <c r="A1077" s="3" t="str">
        <f aca="false">HYPERLINK("https://www.fabsurplus.com/sdi_catalog/salesItemDetails.do?id=115253")</f>
        <v>https://www.fabsurplus.com/sdi_catalog/salesItemDetails.do?id=115253</v>
      </c>
      <c r="B1077" s="3" t="s">
        <v>2858</v>
      </c>
      <c r="C1077" s="3" t="s">
        <v>1050</v>
      </c>
      <c r="D1077" s="3" t="s">
        <v>2859</v>
      </c>
      <c r="E1077" s="3" t="s">
        <v>1312</v>
      </c>
      <c r="F1077" s="3" t="s">
        <v>16</v>
      </c>
      <c r="G1077" s="3" t="s">
        <v>26</v>
      </c>
      <c r="H1077" s="3"/>
      <c r="I1077" s="3"/>
      <c r="J1077" s="3" t="s">
        <v>19</v>
      </c>
      <c r="K1077" s="3"/>
      <c r="L1077" s="3" t="s">
        <v>63</v>
      </c>
    </row>
    <row r="1078" customFormat="false" ht="11.9" hidden="false" customHeight="true" outlineLevel="0" collapsed="false">
      <c r="A1078" s="3" t="str">
        <f aca="false">HYPERLINK("https://www.fabsurplus.com/sdi_catalog/salesItemDetails.do?id=115254")</f>
        <v>https://www.fabsurplus.com/sdi_catalog/salesItemDetails.do?id=115254</v>
      </c>
      <c r="B1078" s="3" t="s">
        <v>2860</v>
      </c>
      <c r="C1078" s="3" t="s">
        <v>1050</v>
      </c>
      <c r="D1078" s="3" t="s">
        <v>2861</v>
      </c>
      <c r="E1078" s="3" t="s">
        <v>1275</v>
      </c>
      <c r="F1078" s="3" t="s">
        <v>16</v>
      </c>
      <c r="G1078" s="3" t="s">
        <v>26</v>
      </c>
      <c r="H1078" s="3"/>
      <c r="I1078" s="3"/>
      <c r="J1078" s="3" t="s">
        <v>19</v>
      </c>
      <c r="K1078" s="3"/>
      <c r="L1078" s="3" t="s">
        <v>63</v>
      </c>
    </row>
    <row r="1079" customFormat="false" ht="11.9" hidden="false" customHeight="true" outlineLevel="0" collapsed="false">
      <c r="A1079" s="2" t="str">
        <f aca="false">HYPERLINK("https://www.fabsurplus.com/sdi_catalog/salesItemDetails.do?id=114964")</f>
        <v>https://www.fabsurplus.com/sdi_catalog/salesItemDetails.do?id=114964</v>
      </c>
      <c r="B1079" s="2" t="s">
        <v>2862</v>
      </c>
      <c r="C1079" s="2" t="s">
        <v>1050</v>
      </c>
      <c r="D1079" s="2" t="s">
        <v>2863</v>
      </c>
      <c r="E1079" s="2" t="s">
        <v>2864</v>
      </c>
      <c r="F1079" s="2" t="s">
        <v>16</v>
      </c>
      <c r="G1079" s="2" t="s">
        <v>26</v>
      </c>
      <c r="H1079" s="2"/>
      <c r="I1079" s="2"/>
      <c r="J1079" s="2" t="s">
        <v>19</v>
      </c>
      <c r="K1079" s="2"/>
      <c r="L1079" s="2" t="s">
        <v>63</v>
      </c>
    </row>
    <row r="1080" customFormat="false" ht="11.9" hidden="false" customHeight="true" outlineLevel="0" collapsed="false">
      <c r="A1080" s="2" t="str">
        <f aca="false">HYPERLINK("https://www.fabsurplus.com/sdi_catalog/salesItemDetails.do?id=18840")</f>
        <v>https://www.fabsurplus.com/sdi_catalog/salesItemDetails.do?id=18840</v>
      </c>
      <c r="B1080" s="2" t="s">
        <v>2865</v>
      </c>
      <c r="C1080" s="2" t="s">
        <v>2053</v>
      </c>
      <c r="D1080" s="2" t="s">
        <v>2866</v>
      </c>
      <c r="E1080" s="2" t="s">
        <v>2867</v>
      </c>
      <c r="F1080" s="2" t="s">
        <v>16</v>
      </c>
      <c r="G1080" s="2"/>
      <c r="H1080" s="2"/>
      <c r="I1080" s="2"/>
      <c r="J1080" s="2" t="s">
        <v>19</v>
      </c>
      <c r="K1080" s="2"/>
      <c r="L1080" s="2"/>
    </row>
    <row r="1081" customFormat="false" ht="11.9" hidden="false" customHeight="true" outlineLevel="0" collapsed="false">
      <c r="A1081" s="2" t="str">
        <f aca="false">HYPERLINK("https://www.fabsurplus.com/sdi_catalog/salesItemDetails.do?id=4252")</f>
        <v>https://www.fabsurplus.com/sdi_catalog/salesItemDetails.do?id=4252</v>
      </c>
      <c r="B1081" s="2" t="s">
        <v>2868</v>
      </c>
      <c r="C1081" s="2" t="s">
        <v>1050</v>
      </c>
      <c r="D1081" s="2" t="s">
        <v>2869</v>
      </c>
      <c r="E1081" s="2" t="s">
        <v>2870</v>
      </c>
      <c r="F1081" s="2" t="s">
        <v>16</v>
      </c>
      <c r="G1081" s="2" t="s">
        <v>26</v>
      </c>
      <c r="H1081" s="2"/>
      <c r="I1081" s="7" t="n">
        <v>33604</v>
      </c>
      <c r="J1081" s="2" t="s">
        <v>19</v>
      </c>
      <c r="K1081" s="2"/>
      <c r="L1081" s="2"/>
    </row>
    <row r="1082" customFormat="false" ht="11.9" hidden="false" customHeight="true" outlineLevel="0" collapsed="false">
      <c r="A1082" s="3" t="str">
        <f aca="false">HYPERLINK("https://www.fabsurplus.com/sdi_catalog/salesItemDetails.do?id=18841")</f>
        <v>https://www.fabsurplus.com/sdi_catalog/salesItemDetails.do?id=18841</v>
      </c>
      <c r="B1082" s="3" t="s">
        <v>2871</v>
      </c>
      <c r="C1082" s="3" t="s">
        <v>2053</v>
      </c>
      <c r="D1082" s="3" t="s">
        <v>2869</v>
      </c>
      <c r="E1082" s="3" t="s">
        <v>2872</v>
      </c>
      <c r="F1082" s="3" t="s">
        <v>16</v>
      </c>
      <c r="G1082" s="3"/>
      <c r="H1082" s="3"/>
      <c r="I1082" s="3"/>
      <c r="J1082" s="3" t="s">
        <v>19</v>
      </c>
      <c r="K1082" s="3"/>
      <c r="L1082" s="3"/>
    </row>
    <row r="1083" customFormat="false" ht="11.9" hidden="false" customHeight="true" outlineLevel="0" collapsed="false">
      <c r="A1083" s="2" t="str">
        <f aca="false">HYPERLINK("https://www.fabsurplus.com/sdi_catalog/salesItemDetails.do?id=18842")</f>
        <v>https://www.fabsurplus.com/sdi_catalog/salesItemDetails.do?id=18842</v>
      </c>
      <c r="B1083" s="2" t="s">
        <v>2873</v>
      </c>
      <c r="C1083" s="2" t="s">
        <v>2053</v>
      </c>
      <c r="D1083" s="2" t="s">
        <v>2874</v>
      </c>
      <c r="E1083" s="2" t="s">
        <v>2875</v>
      </c>
      <c r="F1083" s="2" t="s">
        <v>16</v>
      </c>
      <c r="G1083" s="2"/>
      <c r="H1083" s="2"/>
      <c r="I1083" s="2"/>
      <c r="J1083" s="2" t="s">
        <v>19</v>
      </c>
      <c r="K1083" s="2"/>
      <c r="L1083" s="2"/>
    </row>
    <row r="1084" customFormat="false" ht="11.9" hidden="false" customHeight="true" outlineLevel="0" collapsed="false">
      <c r="A1084" s="3" t="str">
        <f aca="false">HYPERLINK("https://www.fabsurplus.com/sdi_catalog/salesItemDetails.do?id=115255")</f>
        <v>https://www.fabsurplus.com/sdi_catalog/salesItemDetails.do?id=115255</v>
      </c>
      <c r="B1084" s="3" t="s">
        <v>2876</v>
      </c>
      <c r="C1084" s="3" t="s">
        <v>1050</v>
      </c>
      <c r="D1084" s="3" t="s">
        <v>2877</v>
      </c>
      <c r="E1084" s="3" t="s">
        <v>2878</v>
      </c>
      <c r="F1084" s="3" t="s">
        <v>77</v>
      </c>
      <c r="G1084" s="3" t="s">
        <v>26</v>
      </c>
      <c r="H1084" s="3"/>
      <c r="I1084" s="3"/>
      <c r="J1084" s="3" t="s">
        <v>19</v>
      </c>
      <c r="K1084" s="3"/>
      <c r="L1084" s="3" t="s">
        <v>63</v>
      </c>
    </row>
    <row r="1085" customFormat="false" ht="11.9" hidden="false" customHeight="true" outlineLevel="0" collapsed="false">
      <c r="A1085" s="2" t="str">
        <f aca="false">HYPERLINK("https://www.fabsurplus.com/sdi_catalog/salesItemDetails.do?id=114965")</f>
        <v>https://www.fabsurplus.com/sdi_catalog/salesItemDetails.do?id=114965</v>
      </c>
      <c r="B1085" s="2" t="s">
        <v>2879</v>
      </c>
      <c r="C1085" s="2" t="s">
        <v>1050</v>
      </c>
      <c r="D1085" s="2" t="s">
        <v>2880</v>
      </c>
      <c r="E1085" s="2" t="s">
        <v>2881</v>
      </c>
      <c r="F1085" s="2" t="s">
        <v>16</v>
      </c>
      <c r="G1085" s="2" t="s">
        <v>26</v>
      </c>
      <c r="H1085" s="2"/>
      <c r="I1085" s="2"/>
      <c r="J1085" s="2" t="s">
        <v>19</v>
      </c>
      <c r="K1085" s="2"/>
      <c r="L1085" s="2" t="s">
        <v>63</v>
      </c>
    </row>
    <row r="1086" customFormat="false" ht="11.9" hidden="false" customHeight="true" outlineLevel="0" collapsed="false">
      <c r="A1086" s="3" t="str">
        <f aca="false">HYPERLINK("https://www.fabsurplus.com/sdi_catalog/salesItemDetails.do?id=114966")</f>
        <v>https://www.fabsurplus.com/sdi_catalog/salesItemDetails.do?id=114966</v>
      </c>
      <c r="B1086" s="3" t="s">
        <v>2882</v>
      </c>
      <c r="C1086" s="3" t="s">
        <v>1050</v>
      </c>
      <c r="D1086" s="3" t="s">
        <v>2880</v>
      </c>
      <c r="E1086" s="3" t="s">
        <v>2883</v>
      </c>
      <c r="F1086" s="3" t="s">
        <v>16</v>
      </c>
      <c r="G1086" s="3" t="s">
        <v>26</v>
      </c>
      <c r="H1086" s="3"/>
      <c r="I1086" s="3"/>
      <c r="J1086" s="3" t="s">
        <v>19</v>
      </c>
      <c r="K1086" s="3"/>
      <c r="L1086" s="3" t="s">
        <v>63</v>
      </c>
    </row>
    <row r="1087" customFormat="false" ht="11.9" hidden="false" customHeight="true" outlineLevel="0" collapsed="false">
      <c r="A1087" s="3" t="str">
        <f aca="false">HYPERLINK("https://www.fabsurplus.com/sdi_catalog/salesItemDetails.do?id=114910")</f>
        <v>https://www.fabsurplus.com/sdi_catalog/salesItemDetails.do?id=114910</v>
      </c>
      <c r="B1087" s="3" t="s">
        <v>2884</v>
      </c>
      <c r="C1087" s="3" t="s">
        <v>1050</v>
      </c>
      <c r="D1087" s="3" t="s">
        <v>2880</v>
      </c>
      <c r="E1087" s="3" t="s">
        <v>2885</v>
      </c>
      <c r="F1087" s="3" t="s">
        <v>77</v>
      </c>
      <c r="G1087" s="3" t="s">
        <v>26</v>
      </c>
      <c r="H1087" s="3"/>
      <c r="I1087" s="3"/>
      <c r="J1087" s="3" t="s">
        <v>19</v>
      </c>
      <c r="K1087" s="3"/>
      <c r="L1087" s="3" t="s">
        <v>63</v>
      </c>
    </row>
    <row r="1088" customFormat="false" ht="11.9" hidden="false" customHeight="true" outlineLevel="0" collapsed="false">
      <c r="A1088" s="2" t="str">
        <f aca="false">HYPERLINK("https://www.fabsurplus.com/sdi_catalog/salesItemDetails.do?id=106207")</f>
        <v>https://www.fabsurplus.com/sdi_catalog/salesItemDetails.do?id=106207</v>
      </c>
      <c r="B1088" s="2" t="s">
        <v>2886</v>
      </c>
      <c r="C1088" s="2" t="s">
        <v>1050</v>
      </c>
      <c r="D1088" s="2" t="s">
        <v>2887</v>
      </c>
      <c r="E1088" s="2" t="s">
        <v>2888</v>
      </c>
      <c r="F1088" s="2" t="s">
        <v>16</v>
      </c>
      <c r="G1088" s="2" t="s">
        <v>26</v>
      </c>
      <c r="H1088" s="2" t="s">
        <v>1691</v>
      </c>
      <c r="I1088" s="7" t="n">
        <v>36312</v>
      </c>
      <c r="J1088" s="2" t="s">
        <v>19</v>
      </c>
      <c r="K1088" s="2" t="s">
        <v>20</v>
      </c>
      <c r="L1088" s="6" t="s">
        <v>2590</v>
      </c>
    </row>
    <row r="1089" customFormat="false" ht="11.9" hidden="false" customHeight="true" outlineLevel="0" collapsed="false">
      <c r="A1089" s="2" t="str">
        <f aca="false">HYPERLINK("https://www.fabsurplus.com/sdi_catalog/salesItemDetails.do?id=114689")</f>
        <v>https://www.fabsurplus.com/sdi_catalog/salesItemDetails.do?id=114689</v>
      </c>
      <c r="B1089" s="2" t="s">
        <v>2889</v>
      </c>
      <c r="C1089" s="2" t="s">
        <v>1050</v>
      </c>
      <c r="D1089" s="2" t="s">
        <v>2890</v>
      </c>
      <c r="E1089" s="2" t="s">
        <v>2891</v>
      </c>
      <c r="F1089" s="2" t="s">
        <v>16</v>
      </c>
      <c r="G1089" s="2" t="s">
        <v>26</v>
      </c>
      <c r="H1089" s="2"/>
      <c r="I1089" s="2"/>
      <c r="J1089" s="2" t="s">
        <v>19</v>
      </c>
      <c r="K1089" s="2"/>
      <c r="L1089" s="2" t="s">
        <v>63</v>
      </c>
    </row>
    <row r="1090" customFormat="false" ht="11.9" hidden="false" customHeight="true" outlineLevel="0" collapsed="false">
      <c r="A1090" s="3" t="str">
        <f aca="false">HYPERLINK("https://www.fabsurplus.com/sdi_catalog/salesItemDetails.do?id=114688")</f>
        <v>https://www.fabsurplus.com/sdi_catalog/salesItemDetails.do?id=114688</v>
      </c>
      <c r="B1090" s="3" t="s">
        <v>2892</v>
      </c>
      <c r="C1090" s="3" t="s">
        <v>1050</v>
      </c>
      <c r="D1090" s="3" t="s">
        <v>2890</v>
      </c>
      <c r="E1090" s="3" t="s">
        <v>2893</v>
      </c>
      <c r="F1090" s="3" t="s">
        <v>16</v>
      </c>
      <c r="G1090" s="3" t="s">
        <v>26</v>
      </c>
      <c r="H1090" s="3"/>
      <c r="I1090" s="3"/>
      <c r="J1090" s="3" t="s">
        <v>19</v>
      </c>
      <c r="K1090" s="3"/>
      <c r="L1090" s="3" t="s">
        <v>63</v>
      </c>
    </row>
    <row r="1091" customFormat="false" ht="11.9" hidden="false" customHeight="true" outlineLevel="0" collapsed="false">
      <c r="A1091" s="2" t="str">
        <f aca="false">HYPERLINK("https://www.fabsurplus.com/sdi_catalog/salesItemDetails.do?id=115168")</f>
        <v>https://www.fabsurplus.com/sdi_catalog/salesItemDetails.do?id=115168</v>
      </c>
      <c r="B1091" s="2" t="s">
        <v>2894</v>
      </c>
      <c r="C1091" s="2" t="s">
        <v>1050</v>
      </c>
      <c r="D1091" s="2" t="s">
        <v>2895</v>
      </c>
      <c r="E1091" s="2" t="s">
        <v>2896</v>
      </c>
      <c r="F1091" s="2" t="s">
        <v>16</v>
      </c>
      <c r="G1091" s="2" t="s">
        <v>26</v>
      </c>
      <c r="H1091" s="2"/>
      <c r="I1091" s="2"/>
      <c r="J1091" s="2" t="s">
        <v>19</v>
      </c>
      <c r="K1091" s="2"/>
      <c r="L1091" s="2" t="s">
        <v>63</v>
      </c>
    </row>
    <row r="1092" customFormat="false" ht="11.9" hidden="false" customHeight="true" outlineLevel="0" collapsed="false">
      <c r="A1092" s="3" t="str">
        <f aca="false">HYPERLINK("https://www.fabsurplus.com/sdi_catalog/salesItemDetails.do?id=114847")</f>
        <v>https://www.fabsurplus.com/sdi_catalog/salesItemDetails.do?id=114847</v>
      </c>
      <c r="B1092" s="3" t="s">
        <v>2897</v>
      </c>
      <c r="C1092" s="3" t="s">
        <v>1050</v>
      </c>
      <c r="D1092" s="3" t="s">
        <v>2898</v>
      </c>
      <c r="E1092" s="3" t="s">
        <v>2899</v>
      </c>
      <c r="F1092" s="3" t="s">
        <v>77</v>
      </c>
      <c r="G1092" s="3" t="s">
        <v>26</v>
      </c>
      <c r="H1092" s="3"/>
      <c r="I1092" s="3"/>
      <c r="J1092" s="3" t="s">
        <v>19</v>
      </c>
      <c r="K1092" s="3"/>
      <c r="L1092" s="3" t="s">
        <v>63</v>
      </c>
    </row>
    <row r="1093" customFormat="false" ht="11.9" hidden="false" customHeight="true" outlineLevel="0" collapsed="false">
      <c r="A1093" s="3" t="str">
        <f aca="false">HYPERLINK("https://www.fabsurplus.com/sdi_catalog/salesItemDetails.do?id=114743")</f>
        <v>https://www.fabsurplus.com/sdi_catalog/salesItemDetails.do?id=114743</v>
      </c>
      <c r="B1093" s="3" t="s">
        <v>2900</v>
      </c>
      <c r="C1093" s="3" t="s">
        <v>1050</v>
      </c>
      <c r="D1093" s="3" t="s">
        <v>2901</v>
      </c>
      <c r="E1093" s="3" t="s">
        <v>2902</v>
      </c>
      <c r="F1093" s="3" t="s">
        <v>16</v>
      </c>
      <c r="G1093" s="3" t="s">
        <v>26</v>
      </c>
      <c r="H1093" s="3"/>
      <c r="I1093" s="3"/>
      <c r="J1093" s="3" t="s">
        <v>19</v>
      </c>
      <c r="K1093" s="3"/>
      <c r="L1093" s="3" t="s">
        <v>63</v>
      </c>
    </row>
    <row r="1094" customFormat="false" ht="11.9" hidden="false" customHeight="true" outlineLevel="0" collapsed="false">
      <c r="A1094" s="2" t="str">
        <f aca="false">HYPERLINK("https://www.fabsurplus.com/sdi_catalog/salesItemDetails.do?id=115129")</f>
        <v>https://www.fabsurplus.com/sdi_catalog/salesItemDetails.do?id=115129</v>
      </c>
      <c r="B1094" s="2" t="s">
        <v>2903</v>
      </c>
      <c r="C1094" s="2" t="s">
        <v>1050</v>
      </c>
      <c r="D1094" s="2" t="s">
        <v>2904</v>
      </c>
      <c r="E1094" s="2" t="s">
        <v>2905</v>
      </c>
      <c r="F1094" s="2" t="s">
        <v>16</v>
      </c>
      <c r="G1094" s="2" t="s">
        <v>26</v>
      </c>
      <c r="H1094" s="2"/>
      <c r="I1094" s="2"/>
      <c r="J1094" s="2" t="s">
        <v>19</v>
      </c>
      <c r="K1094" s="2"/>
      <c r="L1094" s="2" t="s">
        <v>63</v>
      </c>
    </row>
    <row r="1095" customFormat="false" ht="11.9" hidden="false" customHeight="true" outlineLevel="0" collapsed="false">
      <c r="A1095" s="3" t="str">
        <f aca="false">HYPERLINK("https://www.fabsurplus.com/sdi_catalog/salesItemDetails.do?id=115094")</f>
        <v>https://www.fabsurplus.com/sdi_catalog/salesItemDetails.do?id=115094</v>
      </c>
      <c r="B1095" s="3" t="s">
        <v>2906</v>
      </c>
      <c r="C1095" s="3" t="s">
        <v>1050</v>
      </c>
      <c r="D1095" s="3" t="s">
        <v>2904</v>
      </c>
      <c r="E1095" s="3" t="s">
        <v>2907</v>
      </c>
      <c r="F1095" s="3" t="s">
        <v>77</v>
      </c>
      <c r="G1095" s="3" t="s">
        <v>26</v>
      </c>
      <c r="H1095" s="3"/>
      <c r="I1095" s="3"/>
      <c r="J1095" s="3" t="s">
        <v>19</v>
      </c>
      <c r="K1095" s="3"/>
      <c r="L1095" s="3" t="s">
        <v>63</v>
      </c>
    </row>
    <row r="1096" customFormat="false" ht="11.9" hidden="false" customHeight="true" outlineLevel="0" collapsed="false">
      <c r="A1096" s="3" t="str">
        <f aca="false">HYPERLINK("https://www.fabsurplus.com/sdi_catalog/salesItemDetails.do?id=106218")</f>
        <v>https://www.fabsurplus.com/sdi_catalog/salesItemDetails.do?id=106218</v>
      </c>
      <c r="B1096" s="3" t="s">
        <v>2908</v>
      </c>
      <c r="C1096" s="3" t="s">
        <v>1050</v>
      </c>
      <c r="D1096" s="3" t="s">
        <v>2909</v>
      </c>
      <c r="E1096" s="3" t="s">
        <v>2910</v>
      </c>
      <c r="F1096" s="3" t="s">
        <v>16</v>
      </c>
      <c r="G1096" s="3" t="s">
        <v>26</v>
      </c>
      <c r="H1096" s="3" t="s">
        <v>1691</v>
      </c>
      <c r="I1096" s="4" t="n">
        <v>36312</v>
      </c>
      <c r="J1096" s="3" t="s">
        <v>19</v>
      </c>
      <c r="K1096" s="3" t="s">
        <v>20</v>
      </c>
      <c r="L1096" s="5" t="s">
        <v>1692</v>
      </c>
    </row>
    <row r="1097" customFormat="false" ht="11.9" hidden="false" customHeight="true" outlineLevel="0" collapsed="false">
      <c r="A1097" s="3" t="str">
        <f aca="false">HYPERLINK("https://www.fabsurplus.com/sdi_catalog/salesItemDetails.do?id=114967")</f>
        <v>https://www.fabsurplus.com/sdi_catalog/salesItemDetails.do?id=114967</v>
      </c>
      <c r="B1097" s="3" t="s">
        <v>2911</v>
      </c>
      <c r="C1097" s="3" t="s">
        <v>1050</v>
      </c>
      <c r="D1097" s="3" t="s">
        <v>2912</v>
      </c>
      <c r="E1097" s="3" t="s">
        <v>2913</v>
      </c>
      <c r="F1097" s="3" t="s">
        <v>16</v>
      </c>
      <c r="G1097" s="3" t="s">
        <v>26</v>
      </c>
      <c r="H1097" s="3"/>
      <c r="I1097" s="3"/>
      <c r="J1097" s="3" t="s">
        <v>19</v>
      </c>
      <c r="K1097" s="3"/>
      <c r="L1097" s="3" t="s">
        <v>63</v>
      </c>
    </row>
    <row r="1098" customFormat="false" ht="11.9" hidden="false" customHeight="true" outlineLevel="0" collapsed="false">
      <c r="A1098" s="3" t="str">
        <f aca="false">HYPERLINK("https://www.fabsurplus.com/sdi_catalog/salesItemDetails.do?id=114791")</f>
        <v>https://www.fabsurplus.com/sdi_catalog/salesItemDetails.do?id=114791</v>
      </c>
      <c r="B1098" s="3" t="s">
        <v>2914</v>
      </c>
      <c r="C1098" s="3" t="s">
        <v>1050</v>
      </c>
      <c r="D1098" s="3" t="s">
        <v>2915</v>
      </c>
      <c r="E1098" s="3" t="s">
        <v>2916</v>
      </c>
      <c r="F1098" s="3" t="s">
        <v>77</v>
      </c>
      <c r="G1098" s="3" t="s">
        <v>26</v>
      </c>
      <c r="H1098" s="3"/>
      <c r="I1098" s="3"/>
      <c r="J1098" s="3" t="s">
        <v>19</v>
      </c>
      <c r="K1098" s="3"/>
      <c r="L1098" s="3" t="s">
        <v>63</v>
      </c>
    </row>
    <row r="1099" customFormat="false" ht="11.9" hidden="false" customHeight="true" outlineLevel="0" collapsed="false">
      <c r="A1099" s="2" t="str">
        <f aca="false">HYPERLINK("https://www.fabsurplus.com/sdi_catalog/salesItemDetails.do?id=114744")</f>
        <v>https://www.fabsurplus.com/sdi_catalog/salesItemDetails.do?id=114744</v>
      </c>
      <c r="B1099" s="2" t="s">
        <v>2917</v>
      </c>
      <c r="C1099" s="2" t="s">
        <v>1050</v>
      </c>
      <c r="D1099" s="2" t="s">
        <v>2918</v>
      </c>
      <c r="E1099" s="2" t="s">
        <v>2919</v>
      </c>
      <c r="F1099" s="2" t="s">
        <v>77</v>
      </c>
      <c r="G1099" s="2" t="s">
        <v>26</v>
      </c>
      <c r="H1099" s="2"/>
      <c r="I1099" s="2"/>
      <c r="J1099" s="2" t="s">
        <v>19</v>
      </c>
      <c r="K1099" s="2"/>
      <c r="L1099" s="2" t="s">
        <v>63</v>
      </c>
    </row>
    <row r="1100" customFormat="false" ht="11.9" hidden="false" customHeight="true" outlineLevel="0" collapsed="false">
      <c r="A1100" s="2" t="str">
        <f aca="false">HYPERLINK("https://www.fabsurplus.com/sdi_catalog/salesItemDetails.do?id=114968")</f>
        <v>https://www.fabsurplus.com/sdi_catalog/salesItemDetails.do?id=114968</v>
      </c>
      <c r="B1100" s="2" t="s">
        <v>2920</v>
      </c>
      <c r="C1100" s="2" t="s">
        <v>1050</v>
      </c>
      <c r="D1100" s="2" t="s">
        <v>2921</v>
      </c>
      <c r="E1100" s="2" t="s">
        <v>2922</v>
      </c>
      <c r="F1100" s="2" t="s">
        <v>16</v>
      </c>
      <c r="G1100" s="2" t="s">
        <v>26</v>
      </c>
      <c r="H1100" s="2"/>
      <c r="I1100" s="2"/>
      <c r="J1100" s="2" t="s">
        <v>19</v>
      </c>
      <c r="K1100" s="2"/>
      <c r="L1100" s="2" t="s">
        <v>63</v>
      </c>
    </row>
    <row r="1101" customFormat="false" ht="11.9" hidden="false" customHeight="true" outlineLevel="0" collapsed="false">
      <c r="A1101" s="2" t="str">
        <f aca="false">HYPERLINK("https://www.fabsurplus.com/sdi_catalog/salesItemDetails.do?id=114711")</f>
        <v>https://www.fabsurplus.com/sdi_catalog/salesItemDetails.do?id=114711</v>
      </c>
      <c r="B1101" s="2" t="s">
        <v>2923</v>
      </c>
      <c r="C1101" s="2" t="s">
        <v>1050</v>
      </c>
      <c r="D1101" s="2" t="s">
        <v>2924</v>
      </c>
      <c r="E1101" s="2" t="s">
        <v>2925</v>
      </c>
      <c r="F1101" s="2" t="s">
        <v>16</v>
      </c>
      <c r="G1101" s="2" t="s">
        <v>26</v>
      </c>
      <c r="H1101" s="2"/>
      <c r="I1101" s="2"/>
      <c r="J1101" s="2" t="s">
        <v>19</v>
      </c>
      <c r="K1101" s="2"/>
      <c r="L1101" s="2" t="s">
        <v>63</v>
      </c>
    </row>
    <row r="1102" customFormat="false" ht="11.9" hidden="false" customHeight="true" outlineLevel="0" collapsed="false">
      <c r="A1102" s="3" t="str">
        <f aca="false">HYPERLINK("https://www.fabsurplus.com/sdi_catalog/salesItemDetails.do?id=114745")</f>
        <v>https://www.fabsurplus.com/sdi_catalog/salesItemDetails.do?id=114745</v>
      </c>
      <c r="B1102" s="3" t="s">
        <v>2926</v>
      </c>
      <c r="C1102" s="3" t="s">
        <v>1050</v>
      </c>
      <c r="D1102" s="3" t="s">
        <v>2927</v>
      </c>
      <c r="E1102" s="3" t="s">
        <v>2928</v>
      </c>
      <c r="F1102" s="3" t="s">
        <v>16</v>
      </c>
      <c r="G1102" s="3" t="s">
        <v>26</v>
      </c>
      <c r="H1102" s="3"/>
      <c r="I1102" s="3"/>
      <c r="J1102" s="3" t="s">
        <v>19</v>
      </c>
      <c r="K1102" s="3"/>
      <c r="L1102" s="3" t="s">
        <v>63</v>
      </c>
    </row>
    <row r="1103" customFormat="false" ht="11.9" hidden="false" customHeight="true" outlineLevel="0" collapsed="false">
      <c r="A1103" s="3" t="str">
        <f aca="false">HYPERLINK("https://www.fabsurplus.com/sdi_catalog/salesItemDetails.do?id=114712")</f>
        <v>https://www.fabsurplus.com/sdi_catalog/salesItemDetails.do?id=114712</v>
      </c>
      <c r="B1103" s="3" t="s">
        <v>2929</v>
      </c>
      <c r="C1103" s="3" t="s">
        <v>1050</v>
      </c>
      <c r="D1103" s="3" t="s">
        <v>2927</v>
      </c>
      <c r="E1103" s="3" t="s">
        <v>2930</v>
      </c>
      <c r="F1103" s="3" t="s">
        <v>16</v>
      </c>
      <c r="G1103" s="3" t="s">
        <v>26</v>
      </c>
      <c r="H1103" s="3"/>
      <c r="I1103" s="3"/>
      <c r="J1103" s="3" t="s">
        <v>19</v>
      </c>
      <c r="K1103" s="3"/>
      <c r="L1103" s="3" t="s">
        <v>63</v>
      </c>
    </row>
    <row r="1104" customFormat="false" ht="11.9" hidden="false" customHeight="true" outlineLevel="0" collapsed="false">
      <c r="A1104" s="2" t="str">
        <f aca="false">HYPERLINK("https://www.fabsurplus.com/sdi_catalog/salesItemDetails.do?id=114792")</f>
        <v>https://www.fabsurplus.com/sdi_catalog/salesItemDetails.do?id=114792</v>
      </c>
      <c r="B1104" s="2" t="s">
        <v>2931</v>
      </c>
      <c r="C1104" s="2" t="s">
        <v>1050</v>
      </c>
      <c r="D1104" s="2" t="s">
        <v>2932</v>
      </c>
      <c r="E1104" s="2" t="s">
        <v>2933</v>
      </c>
      <c r="F1104" s="2" t="s">
        <v>16</v>
      </c>
      <c r="G1104" s="2" t="s">
        <v>26</v>
      </c>
      <c r="H1104" s="2"/>
      <c r="I1104" s="2"/>
      <c r="J1104" s="2" t="s">
        <v>19</v>
      </c>
      <c r="K1104" s="2"/>
      <c r="L1104" s="2" t="s">
        <v>63</v>
      </c>
    </row>
    <row r="1105" customFormat="false" ht="11.9" hidden="false" customHeight="true" outlineLevel="0" collapsed="false">
      <c r="A1105" s="2" t="str">
        <f aca="false">HYPERLINK("https://www.fabsurplus.com/sdi_catalog/salesItemDetails.do?id=114793")</f>
        <v>https://www.fabsurplus.com/sdi_catalog/salesItemDetails.do?id=114793</v>
      </c>
      <c r="B1105" s="2" t="s">
        <v>2934</v>
      </c>
      <c r="C1105" s="2" t="s">
        <v>1050</v>
      </c>
      <c r="D1105" s="2" t="s">
        <v>2932</v>
      </c>
      <c r="E1105" s="2" t="s">
        <v>2935</v>
      </c>
      <c r="F1105" s="2" t="s">
        <v>16</v>
      </c>
      <c r="G1105" s="2" t="s">
        <v>26</v>
      </c>
      <c r="H1105" s="2"/>
      <c r="I1105" s="2"/>
      <c r="J1105" s="2" t="s">
        <v>19</v>
      </c>
      <c r="K1105" s="2"/>
      <c r="L1105" s="2" t="s">
        <v>63</v>
      </c>
    </row>
    <row r="1106" customFormat="false" ht="11.9" hidden="false" customHeight="true" outlineLevel="0" collapsed="false">
      <c r="A1106" s="2" t="str">
        <f aca="false">HYPERLINK("https://www.fabsurplus.com/sdi_catalog/salesItemDetails.do?id=114848")</f>
        <v>https://www.fabsurplus.com/sdi_catalog/salesItemDetails.do?id=114848</v>
      </c>
      <c r="B1106" s="2" t="s">
        <v>2936</v>
      </c>
      <c r="C1106" s="2" t="s">
        <v>1050</v>
      </c>
      <c r="D1106" s="2" t="s">
        <v>2937</v>
      </c>
      <c r="E1106" s="2" t="s">
        <v>1312</v>
      </c>
      <c r="F1106" s="2" t="s">
        <v>77</v>
      </c>
      <c r="G1106" s="2" t="s">
        <v>26</v>
      </c>
      <c r="H1106" s="2"/>
      <c r="I1106" s="2"/>
      <c r="J1106" s="2" t="s">
        <v>19</v>
      </c>
      <c r="K1106" s="2"/>
      <c r="L1106" s="2" t="s">
        <v>63</v>
      </c>
    </row>
    <row r="1107" customFormat="false" ht="11.9" hidden="false" customHeight="true" outlineLevel="0" collapsed="false">
      <c r="A1107" s="2" t="str">
        <f aca="false">HYPERLINK("https://www.fabsurplus.com/sdi_catalog/salesItemDetails.do?id=114920")</f>
        <v>https://www.fabsurplus.com/sdi_catalog/salesItemDetails.do?id=114920</v>
      </c>
      <c r="B1107" s="2" t="s">
        <v>2938</v>
      </c>
      <c r="C1107" s="2" t="s">
        <v>1050</v>
      </c>
      <c r="D1107" s="2" t="s">
        <v>2939</v>
      </c>
      <c r="E1107" s="2" t="s">
        <v>2940</v>
      </c>
      <c r="F1107" s="2" t="s">
        <v>16</v>
      </c>
      <c r="G1107" s="2" t="s">
        <v>26</v>
      </c>
      <c r="H1107" s="2"/>
      <c r="I1107" s="2"/>
      <c r="J1107" s="2" t="s">
        <v>19</v>
      </c>
      <c r="K1107" s="2"/>
      <c r="L1107" s="2" t="s">
        <v>63</v>
      </c>
    </row>
    <row r="1108" customFormat="false" ht="11.9" hidden="false" customHeight="true" outlineLevel="0" collapsed="false">
      <c r="A1108" s="2" t="str">
        <f aca="false">HYPERLINK("https://www.fabsurplus.com/sdi_catalog/salesItemDetails.do?id=115256")</f>
        <v>https://www.fabsurplus.com/sdi_catalog/salesItemDetails.do?id=115256</v>
      </c>
      <c r="B1108" s="2" t="s">
        <v>2941</v>
      </c>
      <c r="C1108" s="2" t="s">
        <v>1050</v>
      </c>
      <c r="D1108" s="2" t="s">
        <v>2942</v>
      </c>
      <c r="E1108" s="2" t="s">
        <v>1275</v>
      </c>
      <c r="F1108" s="2" t="s">
        <v>16</v>
      </c>
      <c r="G1108" s="2" t="s">
        <v>26</v>
      </c>
      <c r="H1108" s="2"/>
      <c r="I1108" s="2"/>
      <c r="J1108" s="2" t="s">
        <v>19</v>
      </c>
      <c r="K1108" s="2"/>
      <c r="L1108" s="2" t="s">
        <v>63</v>
      </c>
    </row>
    <row r="1109" customFormat="false" ht="11.9" hidden="false" customHeight="true" outlineLevel="0" collapsed="false">
      <c r="A1109" s="3" t="str">
        <f aca="false">HYPERLINK("https://www.fabsurplus.com/sdi_catalog/salesItemDetails.do?id=114911")</f>
        <v>https://www.fabsurplus.com/sdi_catalog/salesItemDetails.do?id=114911</v>
      </c>
      <c r="B1109" s="3" t="s">
        <v>2943</v>
      </c>
      <c r="C1109" s="3" t="s">
        <v>1050</v>
      </c>
      <c r="D1109" s="3" t="s">
        <v>2944</v>
      </c>
      <c r="E1109" s="3" t="s">
        <v>2945</v>
      </c>
      <c r="F1109" s="3" t="s">
        <v>16</v>
      </c>
      <c r="G1109" s="3" t="s">
        <v>26</v>
      </c>
      <c r="H1109" s="3"/>
      <c r="I1109" s="3"/>
      <c r="J1109" s="3" t="s">
        <v>19</v>
      </c>
      <c r="K1109" s="3"/>
      <c r="L1109" s="3" t="s">
        <v>63</v>
      </c>
    </row>
    <row r="1110" customFormat="false" ht="11.9" hidden="false" customHeight="true" outlineLevel="0" collapsed="false">
      <c r="A1110" s="2" t="str">
        <f aca="false">HYPERLINK("https://www.fabsurplus.com/sdi_catalog/salesItemDetails.do?id=114691")</f>
        <v>https://www.fabsurplus.com/sdi_catalog/salesItemDetails.do?id=114691</v>
      </c>
      <c r="B1110" s="2" t="s">
        <v>2946</v>
      </c>
      <c r="C1110" s="2" t="s">
        <v>1050</v>
      </c>
      <c r="D1110" s="2" t="s">
        <v>2947</v>
      </c>
      <c r="E1110" s="2" t="s">
        <v>2948</v>
      </c>
      <c r="F1110" s="2" t="s">
        <v>16</v>
      </c>
      <c r="G1110" s="2" t="s">
        <v>26</v>
      </c>
      <c r="H1110" s="2"/>
      <c r="I1110" s="2"/>
      <c r="J1110" s="2" t="s">
        <v>19</v>
      </c>
      <c r="K1110" s="2"/>
      <c r="L1110" s="2" t="s">
        <v>63</v>
      </c>
    </row>
    <row r="1111" customFormat="false" ht="11.9" hidden="false" customHeight="true" outlineLevel="0" collapsed="false">
      <c r="A1111" s="3" t="str">
        <f aca="false">HYPERLINK("https://www.fabsurplus.com/sdi_catalog/salesItemDetails.do?id=115257")</f>
        <v>https://www.fabsurplus.com/sdi_catalog/salesItemDetails.do?id=115257</v>
      </c>
      <c r="B1111" s="3" t="s">
        <v>2949</v>
      </c>
      <c r="C1111" s="3" t="s">
        <v>1050</v>
      </c>
      <c r="D1111" s="3" t="s">
        <v>2950</v>
      </c>
      <c r="E1111" s="3" t="s">
        <v>1275</v>
      </c>
      <c r="F1111" s="3" t="s">
        <v>16</v>
      </c>
      <c r="G1111" s="3" t="s">
        <v>26</v>
      </c>
      <c r="H1111" s="3"/>
      <c r="I1111" s="3"/>
      <c r="J1111" s="3" t="s">
        <v>19</v>
      </c>
      <c r="K1111" s="3"/>
      <c r="L1111" s="3" t="s">
        <v>63</v>
      </c>
    </row>
    <row r="1112" customFormat="false" ht="11.9" hidden="false" customHeight="true" outlineLevel="0" collapsed="false">
      <c r="A1112" s="2" t="str">
        <f aca="false">HYPERLINK("https://www.fabsurplus.com/sdi_catalog/salesItemDetails.do?id=114623")</f>
        <v>https://www.fabsurplus.com/sdi_catalog/salesItemDetails.do?id=114623</v>
      </c>
      <c r="B1112" s="2" t="s">
        <v>2951</v>
      </c>
      <c r="C1112" s="2" t="s">
        <v>1050</v>
      </c>
      <c r="D1112" s="2" t="s">
        <v>2952</v>
      </c>
      <c r="E1112" s="2" t="s">
        <v>2953</v>
      </c>
      <c r="F1112" s="2" t="s">
        <v>16</v>
      </c>
      <c r="G1112" s="2" t="s">
        <v>26</v>
      </c>
      <c r="H1112" s="2"/>
      <c r="I1112" s="2"/>
      <c r="J1112" s="2" t="s">
        <v>19</v>
      </c>
      <c r="K1112" s="2"/>
      <c r="L1112" s="2" t="s">
        <v>63</v>
      </c>
    </row>
    <row r="1113" customFormat="false" ht="11.9" hidden="false" customHeight="true" outlineLevel="0" collapsed="false">
      <c r="A1113" s="3" t="str">
        <f aca="false">HYPERLINK("https://www.fabsurplus.com/sdi_catalog/salesItemDetails.do?id=114849")</f>
        <v>https://www.fabsurplus.com/sdi_catalog/salesItemDetails.do?id=114849</v>
      </c>
      <c r="B1113" s="3" t="s">
        <v>2954</v>
      </c>
      <c r="C1113" s="3" t="s">
        <v>1050</v>
      </c>
      <c r="D1113" s="3" t="s">
        <v>2955</v>
      </c>
      <c r="E1113" s="3" t="s">
        <v>2956</v>
      </c>
      <c r="F1113" s="3" t="s">
        <v>16</v>
      </c>
      <c r="G1113" s="3" t="s">
        <v>26</v>
      </c>
      <c r="H1113" s="3"/>
      <c r="I1113" s="3"/>
      <c r="J1113" s="3" t="s">
        <v>19</v>
      </c>
      <c r="K1113" s="3"/>
      <c r="L1113" s="3" t="s">
        <v>63</v>
      </c>
    </row>
    <row r="1114" customFormat="false" ht="11.9" hidden="false" customHeight="true" outlineLevel="0" collapsed="false">
      <c r="A1114" s="3" t="str">
        <f aca="false">HYPERLINK("https://www.fabsurplus.com/sdi_catalog/salesItemDetails.do?id=115258")</f>
        <v>https://www.fabsurplus.com/sdi_catalog/salesItemDetails.do?id=115258</v>
      </c>
      <c r="B1114" s="3" t="s">
        <v>2957</v>
      </c>
      <c r="C1114" s="3" t="s">
        <v>1050</v>
      </c>
      <c r="D1114" s="3" t="s">
        <v>2958</v>
      </c>
      <c r="E1114" s="3" t="s">
        <v>2959</v>
      </c>
      <c r="F1114" s="3" t="s">
        <v>16</v>
      </c>
      <c r="G1114" s="3" t="s">
        <v>26</v>
      </c>
      <c r="H1114" s="3"/>
      <c r="I1114" s="3"/>
      <c r="J1114" s="3" t="s">
        <v>19</v>
      </c>
      <c r="K1114" s="3"/>
      <c r="L1114" s="3" t="s">
        <v>63</v>
      </c>
    </row>
    <row r="1115" customFormat="false" ht="11.9" hidden="false" customHeight="true" outlineLevel="0" collapsed="false">
      <c r="A1115" s="3" t="str">
        <f aca="false">HYPERLINK("https://www.fabsurplus.com/sdi_catalog/salesItemDetails.do?id=115259")</f>
        <v>https://www.fabsurplus.com/sdi_catalog/salesItemDetails.do?id=115259</v>
      </c>
      <c r="B1115" s="3" t="s">
        <v>2960</v>
      </c>
      <c r="C1115" s="3" t="s">
        <v>1050</v>
      </c>
      <c r="D1115" s="3" t="s">
        <v>2961</v>
      </c>
      <c r="E1115" s="3" t="s">
        <v>2962</v>
      </c>
      <c r="F1115" s="3" t="s">
        <v>16</v>
      </c>
      <c r="G1115" s="3" t="s">
        <v>26</v>
      </c>
      <c r="H1115" s="3"/>
      <c r="I1115" s="3"/>
      <c r="J1115" s="3" t="s">
        <v>19</v>
      </c>
      <c r="K1115" s="3"/>
      <c r="L1115" s="3" t="s">
        <v>63</v>
      </c>
    </row>
    <row r="1116" customFormat="false" ht="11.9" hidden="false" customHeight="true" outlineLevel="0" collapsed="false">
      <c r="A1116" s="2" t="str">
        <f aca="false">HYPERLINK("https://www.fabsurplus.com/sdi_catalog/salesItemDetails.do?id=115260")</f>
        <v>https://www.fabsurplus.com/sdi_catalog/salesItemDetails.do?id=115260</v>
      </c>
      <c r="B1116" s="2" t="s">
        <v>2963</v>
      </c>
      <c r="C1116" s="2" t="s">
        <v>1050</v>
      </c>
      <c r="D1116" s="2" t="s">
        <v>2964</v>
      </c>
      <c r="E1116" s="2" t="s">
        <v>1606</v>
      </c>
      <c r="F1116" s="2" t="s">
        <v>77</v>
      </c>
      <c r="G1116" s="2" t="s">
        <v>26</v>
      </c>
      <c r="H1116" s="2"/>
      <c r="I1116" s="2"/>
      <c r="J1116" s="2" t="s">
        <v>19</v>
      </c>
      <c r="K1116" s="2"/>
      <c r="L1116" s="2" t="s">
        <v>63</v>
      </c>
    </row>
    <row r="1117" customFormat="false" ht="11.9" hidden="false" customHeight="true" outlineLevel="0" collapsed="false">
      <c r="A1117" s="3" t="str">
        <f aca="false">HYPERLINK("https://www.fabsurplus.com/sdi_catalog/salesItemDetails.do?id=115261")</f>
        <v>https://www.fabsurplus.com/sdi_catalog/salesItemDetails.do?id=115261</v>
      </c>
      <c r="B1117" s="3" t="s">
        <v>2965</v>
      </c>
      <c r="C1117" s="3" t="s">
        <v>1050</v>
      </c>
      <c r="D1117" s="3" t="s">
        <v>2966</v>
      </c>
      <c r="E1117" s="3" t="s">
        <v>2967</v>
      </c>
      <c r="F1117" s="3" t="s">
        <v>16</v>
      </c>
      <c r="G1117" s="3" t="s">
        <v>26</v>
      </c>
      <c r="H1117" s="3"/>
      <c r="I1117" s="3"/>
      <c r="J1117" s="3" t="s">
        <v>19</v>
      </c>
      <c r="K1117" s="3"/>
      <c r="L1117" s="3" t="s">
        <v>63</v>
      </c>
    </row>
    <row r="1118" customFormat="false" ht="11.9" hidden="false" customHeight="true" outlineLevel="0" collapsed="false">
      <c r="A1118" s="2" t="str">
        <f aca="false">HYPERLINK("https://www.fabsurplus.com/sdi_catalog/salesItemDetails.do?id=115262")</f>
        <v>https://www.fabsurplus.com/sdi_catalog/salesItemDetails.do?id=115262</v>
      </c>
      <c r="B1118" s="2" t="s">
        <v>2968</v>
      </c>
      <c r="C1118" s="2" t="s">
        <v>1050</v>
      </c>
      <c r="D1118" s="2" t="s">
        <v>2969</v>
      </c>
      <c r="E1118" s="2" t="s">
        <v>2970</v>
      </c>
      <c r="F1118" s="2" t="s">
        <v>16</v>
      </c>
      <c r="G1118" s="2" t="s">
        <v>26</v>
      </c>
      <c r="H1118" s="2"/>
      <c r="I1118" s="2"/>
      <c r="J1118" s="2" t="s">
        <v>19</v>
      </c>
      <c r="K1118" s="2"/>
      <c r="L1118" s="2" t="s">
        <v>63</v>
      </c>
    </row>
    <row r="1119" customFormat="false" ht="11.9" hidden="false" customHeight="true" outlineLevel="0" collapsed="false">
      <c r="A1119" s="2" t="str">
        <f aca="false">HYPERLINK("https://www.fabsurplus.com/sdi_catalog/salesItemDetails.do?id=115263")</f>
        <v>https://www.fabsurplus.com/sdi_catalog/salesItemDetails.do?id=115263</v>
      </c>
      <c r="B1119" s="2" t="s">
        <v>2971</v>
      </c>
      <c r="C1119" s="2" t="s">
        <v>1050</v>
      </c>
      <c r="D1119" s="2" t="s">
        <v>2972</v>
      </c>
      <c r="E1119" s="2" t="s">
        <v>2973</v>
      </c>
      <c r="F1119" s="2" t="s">
        <v>16</v>
      </c>
      <c r="G1119" s="2" t="s">
        <v>26</v>
      </c>
      <c r="H1119" s="2"/>
      <c r="I1119" s="2"/>
      <c r="J1119" s="2" t="s">
        <v>19</v>
      </c>
      <c r="K1119" s="2"/>
      <c r="L1119" s="2" t="s">
        <v>63</v>
      </c>
    </row>
    <row r="1120" customFormat="false" ht="11.9" hidden="false" customHeight="true" outlineLevel="0" collapsed="false">
      <c r="A1120" s="2" t="str">
        <f aca="false">HYPERLINK("https://www.fabsurplus.com/sdi_catalog/salesItemDetails.do?id=115264")</f>
        <v>https://www.fabsurplus.com/sdi_catalog/salesItemDetails.do?id=115264</v>
      </c>
      <c r="B1120" s="2" t="s">
        <v>2974</v>
      </c>
      <c r="C1120" s="2" t="s">
        <v>1050</v>
      </c>
      <c r="D1120" s="2" t="s">
        <v>2975</v>
      </c>
      <c r="E1120" s="2" t="s">
        <v>2976</v>
      </c>
      <c r="F1120" s="2" t="s">
        <v>16</v>
      </c>
      <c r="G1120" s="2" t="s">
        <v>26</v>
      </c>
      <c r="H1120" s="2"/>
      <c r="I1120" s="2"/>
      <c r="J1120" s="2" t="s">
        <v>19</v>
      </c>
      <c r="K1120" s="2"/>
      <c r="L1120" s="2" t="s">
        <v>63</v>
      </c>
    </row>
    <row r="1121" customFormat="false" ht="11.9" hidden="false" customHeight="true" outlineLevel="0" collapsed="false">
      <c r="A1121" s="3" t="str">
        <f aca="false">HYPERLINK("https://www.fabsurplus.com/sdi_catalog/salesItemDetails.do?id=115265")</f>
        <v>https://www.fabsurplus.com/sdi_catalog/salesItemDetails.do?id=115265</v>
      </c>
      <c r="B1121" s="3" t="s">
        <v>2977</v>
      </c>
      <c r="C1121" s="3" t="s">
        <v>1050</v>
      </c>
      <c r="D1121" s="3" t="s">
        <v>2978</v>
      </c>
      <c r="E1121" s="3" t="s">
        <v>2979</v>
      </c>
      <c r="F1121" s="3" t="s">
        <v>16</v>
      </c>
      <c r="G1121" s="3" t="s">
        <v>26</v>
      </c>
      <c r="H1121" s="3"/>
      <c r="I1121" s="3"/>
      <c r="J1121" s="3" t="s">
        <v>19</v>
      </c>
      <c r="K1121" s="3"/>
      <c r="L1121" s="3" t="s">
        <v>63</v>
      </c>
    </row>
    <row r="1122" customFormat="false" ht="11.9" hidden="false" customHeight="true" outlineLevel="0" collapsed="false">
      <c r="A1122" s="3" t="str">
        <f aca="false">HYPERLINK("https://www.fabsurplus.com/sdi_catalog/salesItemDetails.do?id=115266")</f>
        <v>https://www.fabsurplus.com/sdi_catalog/salesItemDetails.do?id=115266</v>
      </c>
      <c r="B1122" s="3" t="s">
        <v>2980</v>
      </c>
      <c r="C1122" s="3" t="s">
        <v>1050</v>
      </c>
      <c r="D1122" s="3" t="s">
        <v>2981</v>
      </c>
      <c r="E1122" s="3" t="s">
        <v>2982</v>
      </c>
      <c r="F1122" s="3" t="s">
        <v>16</v>
      </c>
      <c r="G1122" s="3" t="s">
        <v>26</v>
      </c>
      <c r="H1122" s="3"/>
      <c r="I1122" s="3"/>
      <c r="J1122" s="3" t="s">
        <v>19</v>
      </c>
      <c r="K1122" s="3"/>
      <c r="L1122" s="3" t="s">
        <v>63</v>
      </c>
    </row>
    <row r="1123" customFormat="false" ht="11.9" hidden="false" customHeight="true" outlineLevel="0" collapsed="false">
      <c r="A1123" s="3" t="str">
        <f aca="false">HYPERLINK("https://www.fabsurplus.com/sdi_catalog/salesItemDetails.do?id=115267")</f>
        <v>https://www.fabsurplus.com/sdi_catalog/salesItemDetails.do?id=115267</v>
      </c>
      <c r="B1123" s="3" t="s">
        <v>2983</v>
      </c>
      <c r="C1123" s="3" t="s">
        <v>1050</v>
      </c>
      <c r="D1123" s="3" t="s">
        <v>2984</v>
      </c>
      <c r="E1123" s="3" t="s">
        <v>2985</v>
      </c>
      <c r="F1123" s="3" t="s">
        <v>16</v>
      </c>
      <c r="G1123" s="3" t="s">
        <v>26</v>
      </c>
      <c r="H1123" s="3"/>
      <c r="I1123" s="3"/>
      <c r="J1123" s="3" t="s">
        <v>19</v>
      </c>
      <c r="K1123" s="3"/>
      <c r="L1123" s="3" t="s">
        <v>63</v>
      </c>
    </row>
    <row r="1124" customFormat="false" ht="11.9" hidden="false" customHeight="true" outlineLevel="0" collapsed="false">
      <c r="A1124" s="2" t="str">
        <f aca="false">HYPERLINK("https://www.fabsurplus.com/sdi_catalog/salesItemDetails.do?id=115268")</f>
        <v>https://www.fabsurplus.com/sdi_catalog/salesItemDetails.do?id=115268</v>
      </c>
      <c r="B1124" s="2" t="s">
        <v>2986</v>
      </c>
      <c r="C1124" s="2" t="s">
        <v>1050</v>
      </c>
      <c r="D1124" s="2" t="s">
        <v>2987</v>
      </c>
      <c r="E1124" s="2" t="s">
        <v>2988</v>
      </c>
      <c r="F1124" s="2" t="s">
        <v>16</v>
      </c>
      <c r="G1124" s="2" t="s">
        <v>26</v>
      </c>
      <c r="H1124" s="2"/>
      <c r="I1124" s="2"/>
      <c r="J1124" s="2" t="s">
        <v>19</v>
      </c>
      <c r="K1124" s="2"/>
      <c r="L1124" s="2" t="s">
        <v>63</v>
      </c>
    </row>
    <row r="1125" customFormat="false" ht="11.9" hidden="false" customHeight="true" outlineLevel="0" collapsed="false">
      <c r="A1125" s="2" t="str">
        <f aca="false">HYPERLINK("https://www.fabsurplus.com/sdi_catalog/salesItemDetails.do?id=115269")</f>
        <v>https://www.fabsurplus.com/sdi_catalog/salesItemDetails.do?id=115269</v>
      </c>
      <c r="B1125" s="2" t="s">
        <v>2989</v>
      </c>
      <c r="C1125" s="2" t="s">
        <v>1050</v>
      </c>
      <c r="D1125" s="2" t="s">
        <v>2990</v>
      </c>
      <c r="E1125" s="2" t="s">
        <v>2991</v>
      </c>
      <c r="F1125" s="2" t="s">
        <v>16</v>
      </c>
      <c r="G1125" s="2" t="s">
        <v>26</v>
      </c>
      <c r="H1125" s="2"/>
      <c r="I1125" s="2"/>
      <c r="J1125" s="2" t="s">
        <v>19</v>
      </c>
      <c r="K1125" s="2"/>
      <c r="L1125" s="2" t="s">
        <v>63</v>
      </c>
    </row>
    <row r="1126" customFormat="false" ht="11.9" hidden="false" customHeight="true" outlineLevel="0" collapsed="false">
      <c r="A1126" s="2" t="str">
        <f aca="false">HYPERLINK("https://www.fabsurplus.com/sdi_catalog/salesItemDetails.do?id=115270")</f>
        <v>https://www.fabsurplus.com/sdi_catalog/salesItemDetails.do?id=115270</v>
      </c>
      <c r="B1126" s="2" t="s">
        <v>2992</v>
      </c>
      <c r="C1126" s="2" t="s">
        <v>1050</v>
      </c>
      <c r="D1126" s="2" t="s">
        <v>2993</v>
      </c>
      <c r="E1126" s="2" t="s">
        <v>2994</v>
      </c>
      <c r="F1126" s="2" t="s">
        <v>16</v>
      </c>
      <c r="G1126" s="2" t="s">
        <v>26</v>
      </c>
      <c r="H1126" s="2"/>
      <c r="I1126" s="2"/>
      <c r="J1126" s="2" t="s">
        <v>19</v>
      </c>
      <c r="K1126" s="2"/>
      <c r="L1126" s="2" t="s">
        <v>63</v>
      </c>
    </row>
    <row r="1127" customFormat="false" ht="11.9" hidden="false" customHeight="true" outlineLevel="0" collapsed="false">
      <c r="A1127" s="2" t="str">
        <f aca="false">HYPERLINK("https://www.fabsurplus.com/sdi_catalog/salesItemDetails.do?id=115271")</f>
        <v>https://www.fabsurplus.com/sdi_catalog/salesItemDetails.do?id=115271</v>
      </c>
      <c r="B1127" s="2" t="s">
        <v>2995</v>
      </c>
      <c r="C1127" s="2" t="s">
        <v>1050</v>
      </c>
      <c r="D1127" s="2" t="s">
        <v>2996</v>
      </c>
      <c r="E1127" s="2" t="s">
        <v>2997</v>
      </c>
      <c r="F1127" s="2" t="s">
        <v>16</v>
      </c>
      <c r="G1127" s="2" t="s">
        <v>26</v>
      </c>
      <c r="H1127" s="2"/>
      <c r="I1127" s="2"/>
      <c r="J1127" s="2" t="s">
        <v>19</v>
      </c>
      <c r="K1127" s="2"/>
      <c r="L1127" s="2" t="s">
        <v>63</v>
      </c>
    </row>
    <row r="1128" customFormat="false" ht="11.9" hidden="false" customHeight="true" outlineLevel="0" collapsed="false">
      <c r="A1128" s="2" t="str">
        <f aca="false">HYPERLINK("https://www.fabsurplus.com/sdi_catalog/salesItemDetails.do?id=115272")</f>
        <v>https://www.fabsurplus.com/sdi_catalog/salesItemDetails.do?id=115272</v>
      </c>
      <c r="B1128" s="2" t="s">
        <v>2998</v>
      </c>
      <c r="C1128" s="2" t="s">
        <v>1050</v>
      </c>
      <c r="D1128" s="2" t="s">
        <v>2996</v>
      </c>
      <c r="E1128" s="2" t="s">
        <v>2999</v>
      </c>
      <c r="F1128" s="2" t="s">
        <v>16</v>
      </c>
      <c r="G1128" s="2" t="s">
        <v>26</v>
      </c>
      <c r="H1128" s="2"/>
      <c r="I1128" s="2"/>
      <c r="J1128" s="2" t="s">
        <v>19</v>
      </c>
      <c r="K1128" s="2"/>
      <c r="L1128" s="2" t="s">
        <v>63</v>
      </c>
    </row>
    <row r="1129" customFormat="false" ht="11.9" hidden="false" customHeight="true" outlineLevel="0" collapsed="false">
      <c r="A1129" s="3" t="str">
        <f aca="false">HYPERLINK("https://www.fabsurplus.com/sdi_catalog/salesItemDetails.do?id=115273")</f>
        <v>https://www.fabsurplus.com/sdi_catalog/salesItemDetails.do?id=115273</v>
      </c>
      <c r="B1129" s="3" t="s">
        <v>3000</v>
      </c>
      <c r="C1129" s="3" t="s">
        <v>1050</v>
      </c>
      <c r="D1129" s="3" t="s">
        <v>3001</v>
      </c>
      <c r="E1129" s="3" t="s">
        <v>3002</v>
      </c>
      <c r="F1129" s="3" t="s">
        <v>2061</v>
      </c>
      <c r="G1129" s="3" t="s">
        <v>26</v>
      </c>
      <c r="H1129" s="3"/>
      <c r="I1129" s="3"/>
      <c r="J1129" s="3" t="s">
        <v>19</v>
      </c>
      <c r="K1129" s="3"/>
      <c r="L1129" s="3" t="s">
        <v>63</v>
      </c>
    </row>
    <row r="1130" customFormat="false" ht="11.9" hidden="false" customHeight="true" outlineLevel="0" collapsed="false">
      <c r="A1130" s="2" t="str">
        <f aca="false">HYPERLINK("https://www.fabsurplus.com/sdi_catalog/salesItemDetails.do?id=115274")</f>
        <v>https://www.fabsurplus.com/sdi_catalog/salesItemDetails.do?id=115274</v>
      </c>
      <c r="B1130" s="2" t="s">
        <v>3003</v>
      </c>
      <c r="C1130" s="2" t="s">
        <v>1050</v>
      </c>
      <c r="D1130" s="2" t="s">
        <v>3004</v>
      </c>
      <c r="E1130" s="2" t="s">
        <v>3005</v>
      </c>
      <c r="F1130" s="2" t="s">
        <v>16</v>
      </c>
      <c r="G1130" s="2" t="s">
        <v>26</v>
      </c>
      <c r="H1130" s="2"/>
      <c r="I1130" s="2"/>
      <c r="J1130" s="2" t="s">
        <v>19</v>
      </c>
      <c r="K1130" s="2"/>
      <c r="L1130" s="2" t="s">
        <v>63</v>
      </c>
    </row>
    <row r="1131" customFormat="false" ht="11.9" hidden="false" customHeight="true" outlineLevel="0" collapsed="false">
      <c r="A1131" s="3" t="str">
        <f aca="false">HYPERLINK("https://www.fabsurplus.com/sdi_catalog/salesItemDetails.do?id=115275")</f>
        <v>https://www.fabsurplus.com/sdi_catalog/salesItemDetails.do?id=115275</v>
      </c>
      <c r="B1131" s="3" t="s">
        <v>3006</v>
      </c>
      <c r="C1131" s="3" t="s">
        <v>1050</v>
      </c>
      <c r="D1131" s="3" t="s">
        <v>3007</v>
      </c>
      <c r="E1131" s="3" t="s">
        <v>3008</v>
      </c>
      <c r="F1131" s="3" t="s">
        <v>16</v>
      </c>
      <c r="G1131" s="3" t="s">
        <v>26</v>
      </c>
      <c r="H1131" s="3"/>
      <c r="I1131" s="3"/>
      <c r="J1131" s="3" t="s">
        <v>19</v>
      </c>
      <c r="K1131" s="3"/>
      <c r="L1131" s="3" t="s">
        <v>63</v>
      </c>
    </row>
    <row r="1132" customFormat="false" ht="11.9" hidden="false" customHeight="true" outlineLevel="0" collapsed="false">
      <c r="A1132" s="2" t="str">
        <f aca="false">HYPERLINK("https://www.fabsurplus.com/sdi_catalog/salesItemDetails.do?id=115276")</f>
        <v>https://www.fabsurplus.com/sdi_catalog/salesItemDetails.do?id=115276</v>
      </c>
      <c r="B1132" s="2" t="s">
        <v>3009</v>
      </c>
      <c r="C1132" s="2" t="s">
        <v>1050</v>
      </c>
      <c r="D1132" s="2" t="s">
        <v>3007</v>
      </c>
      <c r="E1132" s="2" t="s">
        <v>3010</v>
      </c>
      <c r="F1132" s="2" t="s">
        <v>199</v>
      </c>
      <c r="G1132" s="2" t="s">
        <v>26</v>
      </c>
      <c r="H1132" s="2"/>
      <c r="I1132" s="2"/>
      <c r="J1132" s="2" t="s">
        <v>19</v>
      </c>
      <c r="K1132" s="2"/>
      <c r="L1132" s="2" t="s">
        <v>63</v>
      </c>
    </row>
    <row r="1133" customFormat="false" ht="11.9" hidden="false" customHeight="true" outlineLevel="0" collapsed="false">
      <c r="A1133" s="3" t="str">
        <f aca="false">HYPERLINK("https://www.fabsurplus.com/sdi_catalog/salesItemDetails.do?id=115277")</f>
        <v>https://www.fabsurplus.com/sdi_catalog/salesItemDetails.do?id=115277</v>
      </c>
      <c r="B1133" s="3" t="s">
        <v>3011</v>
      </c>
      <c r="C1133" s="3" t="s">
        <v>1050</v>
      </c>
      <c r="D1133" s="3" t="s">
        <v>3012</v>
      </c>
      <c r="E1133" s="3" t="s">
        <v>3013</v>
      </c>
      <c r="F1133" s="3" t="s">
        <v>16</v>
      </c>
      <c r="G1133" s="3" t="s">
        <v>26</v>
      </c>
      <c r="H1133" s="3"/>
      <c r="I1133" s="3"/>
      <c r="J1133" s="3" t="s">
        <v>19</v>
      </c>
      <c r="K1133" s="3"/>
      <c r="L1133" s="3" t="s">
        <v>63</v>
      </c>
    </row>
    <row r="1134" customFormat="false" ht="11.9" hidden="false" customHeight="true" outlineLevel="0" collapsed="false">
      <c r="A1134" s="2" t="str">
        <f aca="false">HYPERLINK("https://www.fabsurplus.com/sdi_catalog/salesItemDetails.do?id=115278")</f>
        <v>https://www.fabsurplus.com/sdi_catalog/salesItemDetails.do?id=115278</v>
      </c>
      <c r="B1134" s="2" t="s">
        <v>3014</v>
      </c>
      <c r="C1134" s="2" t="s">
        <v>1050</v>
      </c>
      <c r="D1134" s="2" t="s">
        <v>3015</v>
      </c>
      <c r="E1134" s="2" t="s">
        <v>3016</v>
      </c>
      <c r="F1134" s="2" t="s">
        <v>16</v>
      </c>
      <c r="G1134" s="2" t="s">
        <v>26</v>
      </c>
      <c r="H1134" s="2"/>
      <c r="I1134" s="2"/>
      <c r="J1134" s="2" t="s">
        <v>19</v>
      </c>
      <c r="K1134" s="2"/>
      <c r="L1134" s="2" t="s">
        <v>63</v>
      </c>
    </row>
    <row r="1135" customFormat="false" ht="11.9" hidden="false" customHeight="true" outlineLevel="0" collapsed="false">
      <c r="A1135" s="2" t="str">
        <f aca="false">HYPERLINK("https://www.fabsurplus.com/sdi_catalog/salesItemDetails.do?id=115279")</f>
        <v>https://www.fabsurplus.com/sdi_catalog/salesItemDetails.do?id=115279</v>
      </c>
      <c r="B1135" s="2" t="s">
        <v>3017</v>
      </c>
      <c r="C1135" s="2" t="s">
        <v>1050</v>
      </c>
      <c r="D1135" s="2" t="s">
        <v>3018</v>
      </c>
      <c r="E1135" s="2" t="s">
        <v>3019</v>
      </c>
      <c r="F1135" s="2" t="s">
        <v>77</v>
      </c>
      <c r="G1135" s="2" t="s">
        <v>26</v>
      </c>
      <c r="H1135" s="2"/>
      <c r="I1135" s="2"/>
      <c r="J1135" s="2" t="s">
        <v>19</v>
      </c>
      <c r="K1135" s="2"/>
      <c r="L1135" s="2" t="s">
        <v>63</v>
      </c>
    </row>
    <row r="1136" customFormat="false" ht="11.9" hidden="false" customHeight="true" outlineLevel="0" collapsed="false">
      <c r="A1136" s="3" t="str">
        <f aca="false">HYPERLINK("https://www.fabsurplus.com/sdi_catalog/salesItemDetails.do?id=115280")</f>
        <v>https://www.fabsurplus.com/sdi_catalog/salesItemDetails.do?id=115280</v>
      </c>
      <c r="B1136" s="3" t="s">
        <v>3020</v>
      </c>
      <c r="C1136" s="3" t="s">
        <v>1050</v>
      </c>
      <c r="D1136" s="3" t="s">
        <v>3021</v>
      </c>
      <c r="E1136" s="3" t="s">
        <v>3022</v>
      </c>
      <c r="F1136" s="3" t="s">
        <v>77</v>
      </c>
      <c r="G1136" s="3" t="s">
        <v>26</v>
      </c>
      <c r="H1136" s="3"/>
      <c r="I1136" s="3"/>
      <c r="J1136" s="3" t="s">
        <v>19</v>
      </c>
      <c r="K1136" s="3"/>
      <c r="L1136" s="3" t="s">
        <v>63</v>
      </c>
    </row>
    <row r="1137" customFormat="false" ht="11.9" hidden="false" customHeight="true" outlineLevel="0" collapsed="false">
      <c r="A1137" s="2" t="str">
        <f aca="false">HYPERLINK("https://www.fabsurplus.com/sdi_catalog/salesItemDetails.do?id=115281")</f>
        <v>https://www.fabsurplus.com/sdi_catalog/salesItemDetails.do?id=115281</v>
      </c>
      <c r="B1137" s="2" t="s">
        <v>3023</v>
      </c>
      <c r="C1137" s="2" t="s">
        <v>1050</v>
      </c>
      <c r="D1137" s="2" t="s">
        <v>3024</v>
      </c>
      <c r="E1137" s="2" t="s">
        <v>3025</v>
      </c>
      <c r="F1137" s="2" t="s">
        <v>77</v>
      </c>
      <c r="G1137" s="2" t="s">
        <v>26</v>
      </c>
      <c r="H1137" s="2"/>
      <c r="I1137" s="2"/>
      <c r="J1137" s="2" t="s">
        <v>19</v>
      </c>
      <c r="K1137" s="2"/>
      <c r="L1137" s="2" t="s">
        <v>63</v>
      </c>
    </row>
    <row r="1138" customFormat="false" ht="11.9" hidden="false" customHeight="true" outlineLevel="0" collapsed="false">
      <c r="A1138" s="3" t="str">
        <f aca="false">HYPERLINK("https://www.fabsurplus.com/sdi_catalog/salesItemDetails.do?id=115282")</f>
        <v>https://www.fabsurplus.com/sdi_catalog/salesItemDetails.do?id=115282</v>
      </c>
      <c r="B1138" s="3" t="s">
        <v>3026</v>
      </c>
      <c r="C1138" s="3" t="s">
        <v>1050</v>
      </c>
      <c r="D1138" s="3" t="s">
        <v>3027</v>
      </c>
      <c r="E1138" s="3" t="s">
        <v>3028</v>
      </c>
      <c r="F1138" s="3" t="s">
        <v>16</v>
      </c>
      <c r="G1138" s="3" t="s">
        <v>26</v>
      </c>
      <c r="H1138" s="3"/>
      <c r="I1138" s="3"/>
      <c r="J1138" s="3" t="s">
        <v>19</v>
      </c>
      <c r="K1138" s="3"/>
      <c r="L1138" s="3" t="s">
        <v>63</v>
      </c>
    </row>
    <row r="1139" customFormat="false" ht="11.9" hidden="false" customHeight="true" outlineLevel="0" collapsed="false">
      <c r="A1139" s="2" t="str">
        <f aca="false">HYPERLINK("https://www.fabsurplus.com/sdi_catalog/salesItemDetails.do?id=115283")</f>
        <v>https://www.fabsurplus.com/sdi_catalog/salesItemDetails.do?id=115283</v>
      </c>
      <c r="B1139" s="2" t="s">
        <v>3029</v>
      </c>
      <c r="C1139" s="2" t="s">
        <v>1050</v>
      </c>
      <c r="D1139" s="2" t="s">
        <v>3030</v>
      </c>
      <c r="E1139" s="2" t="s">
        <v>3031</v>
      </c>
      <c r="F1139" s="2" t="s">
        <v>16</v>
      </c>
      <c r="G1139" s="2" t="s">
        <v>26</v>
      </c>
      <c r="H1139" s="2"/>
      <c r="I1139" s="2"/>
      <c r="J1139" s="2" t="s">
        <v>19</v>
      </c>
      <c r="K1139" s="2"/>
      <c r="L1139" s="2" t="s">
        <v>63</v>
      </c>
    </row>
    <row r="1140" customFormat="false" ht="11.9" hidden="false" customHeight="true" outlineLevel="0" collapsed="false">
      <c r="A1140" s="3" t="str">
        <f aca="false">HYPERLINK("https://www.fabsurplus.com/sdi_catalog/salesItemDetails.do?id=115284")</f>
        <v>https://www.fabsurplus.com/sdi_catalog/salesItemDetails.do?id=115284</v>
      </c>
      <c r="B1140" s="3" t="s">
        <v>3032</v>
      </c>
      <c r="C1140" s="3" t="s">
        <v>1050</v>
      </c>
      <c r="D1140" s="3" t="s">
        <v>3033</v>
      </c>
      <c r="E1140" s="3" t="s">
        <v>3034</v>
      </c>
      <c r="F1140" s="3" t="s">
        <v>16</v>
      </c>
      <c r="G1140" s="3" t="s">
        <v>26</v>
      </c>
      <c r="H1140" s="3"/>
      <c r="I1140" s="3"/>
      <c r="J1140" s="3" t="s">
        <v>19</v>
      </c>
      <c r="K1140" s="3"/>
      <c r="L1140" s="3" t="s">
        <v>63</v>
      </c>
    </row>
    <row r="1141" customFormat="false" ht="11.9" hidden="false" customHeight="true" outlineLevel="0" collapsed="false">
      <c r="A1141" s="3" t="str">
        <f aca="false">HYPERLINK("https://www.fabsurplus.com/sdi_catalog/salesItemDetails.do?id=115285")</f>
        <v>https://www.fabsurplus.com/sdi_catalog/salesItemDetails.do?id=115285</v>
      </c>
      <c r="B1141" s="3" t="s">
        <v>3035</v>
      </c>
      <c r="C1141" s="3" t="s">
        <v>1050</v>
      </c>
      <c r="D1141" s="3" t="s">
        <v>3036</v>
      </c>
      <c r="E1141" s="3" t="s">
        <v>3037</v>
      </c>
      <c r="F1141" s="3" t="s">
        <v>16</v>
      </c>
      <c r="G1141" s="3" t="s">
        <v>26</v>
      </c>
      <c r="H1141" s="3"/>
      <c r="I1141" s="3"/>
      <c r="J1141" s="3" t="s">
        <v>19</v>
      </c>
      <c r="K1141" s="3"/>
      <c r="L1141" s="3" t="s">
        <v>63</v>
      </c>
    </row>
    <row r="1142" customFormat="false" ht="11.9" hidden="false" customHeight="true" outlineLevel="0" collapsed="false">
      <c r="A1142" s="3" t="str">
        <f aca="false">HYPERLINK("https://www.fabsurplus.com/sdi_catalog/salesItemDetails.do?id=115286")</f>
        <v>https://www.fabsurplus.com/sdi_catalog/salesItemDetails.do?id=115286</v>
      </c>
      <c r="B1142" s="3" t="s">
        <v>3038</v>
      </c>
      <c r="C1142" s="3" t="s">
        <v>1050</v>
      </c>
      <c r="D1142" s="3" t="s">
        <v>3036</v>
      </c>
      <c r="E1142" s="3" t="s">
        <v>3039</v>
      </c>
      <c r="F1142" s="3" t="s">
        <v>16</v>
      </c>
      <c r="G1142" s="3" t="s">
        <v>26</v>
      </c>
      <c r="H1142" s="3"/>
      <c r="I1142" s="3"/>
      <c r="J1142" s="3" t="s">
        <v>19</v>
      </c>
      <c r="K1142" s="3"/>
      <c r="L1142" s="3" t="s">
        <v>63</v>
      </c>
    </row>
    <row r="1143" customFormat="false" ht="11.9" hidden="false" customHeight="true" outlineLevel="0" collapsed="false">
      <c r="A1143" s="2" t="str">
        <f aca="false">HYPERLINK("https://www.fabsurplus.com/sdi_catalog/salesItemDetails.do?id=115287")</f>
        <v>https://www.fabsurplus.com/sdi_catalog/salesItemDetails.do?id=115287</v>
      </c>
      <c r="B1143" s="2" t="s">
        <v>3040</v>
      </c>
      <c r="C1143" s="2" t="s">
        <v>1050</v>
      </c>
      <c r="D1143" s="2" t="s">
        <v>3036</v>
      </c>
      <c r="E1143" s="2" t="s">
        <v>3041</v>
      </c>
      <c r="F1143" s="2" t="s">
        <v>16</v>
      </c>
      <c r="G1143" s="2" t="s">
        <v>26</v>
      </c>
      <c r="H1143" s="2"/>
      <c r="I1143" s="2"/>
      <c r="J1143" s="2" t="s">
        <v>19</v>
      </c>
      <c r="K1143" s="2"/>
      <c r="L1143" s="2" t="s">
        <v>63</v>
      </c>
    </row>
    <row r="1144" customFormat="false" ht="11.9" hidden="false" customHeight="true" outlineLevel="0" collapsed="false">
      <c r="A1144" s="3" t="str">
        <f aca="false">HYPERLINK("https://www.fabsurplus.com/sdi_catalog/salesItemDetails.do?id=115288")</f>
        <v>https://www.fabsurplus.com/sdi_catalog/salesItemDetails.do?id=115288</v>
      </c>
      <c r="B1144" s="3" t="s">
        <v>3042</v>
      </c>
      <c r="C1144" s="3" t="s">
        <v>1050</v>
      </c>
      <c r="D1144" s="3" t="s">
        <v>3036</v>
      </c>
      <c r="E1144" s="3" t="s">
        <v>3043</v>
      </c>
      <c r="F1144" s="3" t="s">
        <v>16</v>
      </c>
      <c r="G1144" s="3" t="s">
        <v>26</v>
      </c>
      <c r="H1144" s="3"/>
      <c r="I1144" s="3"/>
      <c r="J1144" s="3" t="s">
        <v>19</v>
      </c>
      <c r="K1144" s="3"/>
      <c r="L1144" s="3" t="s">
        <v>63</v>
      </c>
    </row>
    <row r="1145" customFormat="false" ht="11.9" hidden="false" customHeight="true" outlineLevel="0" collapsed="false">
      <c r="A1145" s="2" t="str">
        <f aca="false">HYPERLINK("https://www.fabsurplus.com/sdi_catalog/salesItemDetails.do?id=115289")</f>
        <v>https://www.fabsurplus.com/sdi_catalog/salesItemDetails.do?id=115289</v>
      </c>
      <c r="B1145" s="2" t="s">
        <v>3044</v>
      </c>
      <c r="C1145" s="2" t="s">
        <v>1050</v>
      </c>
      <c r="D1145" s="2" t="s">
        <v>3045</v>
      </c>
      <c r="E1145" s="2" t="s">
        <v>3046</v>
      </c>
      <c r="F1145" s="2" t="s">
        <v>16</v>
      </c>
      <c r="G1145" s="2" t="s">
        <v>26</v>
      </c>
      <c r="H1145" s="2"/>
      <c r="I1145" s="2"/>
      <c r="J1145" s="2" t="s">
        <v>19</v>
      </c>
      <c r="K1145" s="2"/>
      <c r="L1145" s="2" t="s">
        <v>63</v>
      </c>
    </row>
    <row r="1146" customFormat="false" ht="11.9" hidden="false" customHeight="true" outlineLevel="0" collapsed="false">
      <c r="A1146" s="2" t="str">
        <f aca="false">HYPERLINK("https://www.fabsurplus.com/sdi_catalog/salesItemDetails.do?id=115290")</f>
        <v>https://www.fabsurplus.com/sdi_catalog/salesItemDetails.do?id=115290</v>
      </c>
      <c r="B1146" s="2" t="s">
        <v>3047</v>
      </c>
      <c r="C1146" s="2" t="s">
        <v>1050</v>
      </c>
      <c r="D1146" s="2" t="s">
        <v>3048</v>
      </c>
      <c r="E1146" s="2" t="s">
        <v>3049</v>
      </c>
      <c r="F1146" s="2" t="s">
        <v>16</v>
      </c>
      <c r="G1146" s="2" t="s">
        <v>26</v>
      </c>
      <c r="H1146" s="2"/>
      <c r="I1146" s="2"/>
      <c r="J1146" s="2" t="s">
        <v>19</v>
      </c>
      <c r="K1146" s="2"/>
      <c r="L1146" s="2" t="s">
        <v>63</v>
      </c>
    </row>
    <row r="1147" customFormat="false" ht="11.9" hidden="false" customHeight="true" outlineLevel="0" collapsed="false">
      <c r="A1147" s="2" t="str">
        <f aca="false">HYPERLINK("https://www.fabsurplus.com/sdi_catalog/salesItemDetails.do?id=115291")</f>
        <v>https://www.fabsurplus.com/sdi_catalog/salesItemDetails.do?id=115291</v>
      </c>
      <c r="B1147" s="2" t="s">
        <v>3050</v>
      </c>
      <c r="C1147" s="2" t="s">
        <v>1050</v>
      </c>
      <c r="D1147" s="2" t="s">
        <v>3051</v>
      </c>
      <c r="E1147" s="2" t="s">
        <v>2356</v>
      </c>
      <c r="F1147" s="2" t="s">
        <v>16</v>
      </c>
      <c r="G1147" s="2" t="s">
        <v>26</v>
      </c>
      <c r="H1147" s="2"/>
      <c r="I1147" s="2"/>
      <c r="J1147" s="2" t="s">
        <v>19</v>
      </c>
      <c r="K1147" s="2"/>
      <c r="L1147" s="2" t="s">
        <v>63</v>
      </c>
    </row>
    <row r="1148" customFormat="false" ht="11.9" hidden="false" customHeight="true" outlineLevel="0" collapsed="false">
      <c r="A1148" s="2" t="str">
        <f aca="false">HYPERLINK("https://www.fabsurplus.com/sdi_catalog/salesItemDetails.do?id=115292")</f>
        <v>https://www.fabsurplus.com/sdi_catalog/salesItemDetails.do?id=115292</v>
      </c>
      <c r="B1148" s="2" t="s">
        <v>3052</v>
      </c>
      <c r="C1148" s="2" t="s">
        <v>1050</v>
      </c>
      <c r="D1148" s="2" t="s">
        <v>3053</v>
      </c>
      <c r="E1148" s="2" t="s">
        <v>3054</v>
      </c>
      <c r="F1148" s="2" t="s">
        <v>69</v>
      </c>
      <c r="G1148" s="2" t="s">
        <v>26</v>
      </c>
      <c r="H1148" s="2"/>
      <c r="I1148" s="2"/>
      <c r="J1148" s="2" t="s">
        <v>19</v>
      </c>
      <c r="K1148" s="2"/>
      <c r="L1148" s="2" t="s">
        <v>63</v>
      </c>
    </row>
    <row r="1149" customFormat="false" ht="11.9" hidden="false" customHeight="true" outlineLevel="0" collapsed="false">
      <c r="A1149" s="3" t="str">
        <f aca="false">HYPERLINK("https://www.fabsurplus.com/sdi_catalog/salesItemDetails.do?id=115293")</f>
        <v>https://www.fabsurplus.com/sdi_catalog/salesItemDetails.do?id=115293</v>
      </c>
      <c r="B1149" s="3" t="s">
        <v>3055</v>
      </c>
      <c r="C1149" s="3" t="s">
        <v>1050</v>
      </c>
      <c r="D1149" s="3" t="s">
        <v>3056</v>
      </c>
      <c r="E1149" s="3" t="s">
        <v>3057</v>
      </c>
      <c r="F1149" s="3" t="s">
        <v>16</v>
      </c>
      <c r="G1149" s="3" t="s">
        <v>26</v>
      </c>
      <c r="H1149" s="3"/>
      <c r="I1149" s="3"/>
      <c r="J1149" s="3" t="s">
        <v>19</v>
      </c>
      <c r="K1149" s="3"/>
      <c r="L1149" s="3" t="s">
        <v>63</v>
      </c>
    </row>
    <row r="1150" customFormat="false" ht="11.9" hidden="false" customHeight="true" outlineLevel="0" collapsed="false">
      <c r="A1150" s="2" t="str">
        <f aca="false">HYPERLINK("https://www.fabsurplus.com/sdi_catalog/salesItemDetails.do?id=115294")</f>
        <v>https://www.fabsurplus.com/sdi_catalog/salesItemDetails.do?id=115294</v>
      </c>
      <c r="B1150" s="2" t="s">
        <v>3058</v>
      </c>
      <c r="C1150" s="2" t="s">
        <v>1050</v>
      </c>
      <c r="D1150" s="2" t="s">
        <v>3059</v>
      </c>
      <c r="E1150" s="2" t="s">
        <v>3060</v>
      </c>
      <c r="F1150" s="2" t="s">
        <v>16</v>
      </c>
      <c r="G1150" s="2" t="s">
        <v>26</v>
      </c>
      <c r="H1150" s="2"/>
      <c r="I1150" s="2"/>
      <c r="J1150" s="2" t="s">
        <v>19</v>
      </c>
      <c r="K1150" s="2"/>
      <c r="L1150" s="2" t="s">
        <v>63</v>
      </c>
    </row>
    <row r="1151" customFormat="false" ht="11.9" hidden="false" customHeight="true" outlineLevel="0" collapsed="false">
      <c r="A1151" s="2" t="str">
        <f aca="false">HYPERLINK("https://www.fabsurplus.com/sdi_catalog/salesItemDetails.do?id=106221")</f>
        <v>https://www.fabsurplus.com/sdi_catalog/salesItemDetails.do?id=106221</v>
      </c>
      <c r="B1151" s="2" t="s">
        <v>3061</v>
      </c>
      <c r="C1151" s="2" t="s">
        <v>1050</v>
      </c>
      <c r="D1151" s="2" t="s">
        <v>3062</v>
      </c>
      <c r="E1151" s="2" t="s">
        <v>3063</v>
      </c>
      <c r="F1151" s="2" t="s">
        <v>77</v>
      </c>
      <c r="G1151" s="2" t="s">
        <v>26</v>
      </c>
      <c r="H1151" s="2" t="s">
        <v>1691</v>
      </c>
      <c r="I1151" s="7" t="n">
        <v>36312</v>
      </c>
      <c r="J1151" s="2" t="s">
        <v>19</v>
      </c>
      <c r="K1151" s="2" t="s">
        <v>20</v>
      </c>
      <c r="L1151" s="6" t="s">
        <v>1692</v>
      </c>
    </row>
    <row r="1152" customFormat="false" ht="11.9" hidden="false" customHeight="true" outlineLevel="0" collapsed="false">
      <c r="A1152" s="3" t="str">
        <f aca="false">HYPERLINK("https://www.fabsurplus.com/sdi_catalog/salesItemDetails.do?id=106222")</f>
        <v>https://www.fabsurplus.com/sdi_catalog/salesItemDetails.do?id=106222</v>
      </c>
      <c r="B1152" s="3" t="s">
        <v>3064</v>
      </c>
      <c r="C1152" s="3" t="s">
        <v>1050</v>
      </c>
      <c r="D1152" s="3" t="s">
        <v>3065</v>
      </c>
      <c r="E1152" s="3" t="s">
        <v>3063</v>
      </c>
      <c r="F1152" s="3" t="s">
        <v>16</v>
      </c>
      <c r="G1152" s="3" t="s">
        <v>26</v>
      </c>
      <c r="H1152" s="3" t="s">
        <v>1691</v>
      </c>
      <c r="I1152" s="4" t="n">
        <v>36312</v>
      </c>
      <c r="J1152" s="3" t="s">
        <v>19</v>
      </c>
      <c r="K1152" s="3" t="s">
        <v>20</v>
      </c>
      <c r="L1152" s="5" t="s">
        <v>1692</v>
      </c>
    </row>
    <row r="1153" customFormat="false" ht="11.9" hidden="false" customHeight="true" outlineLevel="0" collapsed="false">
      <c r="A1153" s="2" t="str">
        <f aca="false">HYPERLINK("https://www.fabsurplus.com/sdi_catalog/salesItemDetails.do?id=115295")</f>
        <v>https://www.fabsurplus.com/sdi_catalog/salesItemDetails.do?id=115295</v>
      </c>
      <c r="B1153" s="2" t="s">
        <v>3066</v>
      </c>
      <c r="C1153" s="2" t="s">
        <v>1050</v>
      </c>
      <c r="D1153" s="2" t="s">
        <v>3067</v>
      </c>
      <c r="E1153" s="2" t="s">
        <v>3068</v>
      </c>
      <c r="F1153" s="2" t="s">
        <v>16</v>
      </c>
      <c r="G1153" s="2" t="s">
        <v>26</v>
      </c>
      <c r="H1153" s="2"/>
      <c r="I1153" s="2"/>
      <c r="J1153" s="2" t="s">
        <v>19</v>
      </c>
      <c r="K1153" s="2"/>
      <c r="L1153" s="2" t="s">
        <v>63</v>
      </c>
    </row>
    <row r="1154" customFormat="false" ht="11.9" hidden="false" customHeight="true" outlineLevel="0" collapsed="false">
      <c r="A1154" s="3" t="str">
        <f aca="false">HYPERLINK("https://www.fabsurplus.com/sdi_catalog/salesItemDetails.do?id=115296")</f>
        <v>https://www.fabsurplus.com/sdi_catalog/salesItemDetails.do?id=115296</v>
      </c>
      <c r="B1154" s="3" t="s">
        <v>3069</v>
      </c>
      <c r="C1154" s="3" t="s">
        <v>1050</v>
      </c>
      <c r="D1154" s="3" t="s">
        <v>3070</v>
      </c>
      <c r="E1154" s="3" t="s">
        <v>3071</v>
      </c>
      <c r="F1154" s="3" t="s">
        <v>16</v>
      </c>
      <c r="G1154" s="3" t="s">
        <v>26</v>
      </c>
      <c r="H1154" s="3"/>
      <c r="I1154" s="3"/>
      <c r="J1154" s="3" t="s">
        <v>19</v>
      </c>
      <c r="K1154" s="3"/>
      <c r="L1154" s="3" t="s">
        <v>63</v>
      </c>
    </row>
    <row r="1155" customFormat="false" ht="11.9" hidden="false" customHeight="true" outlineLevel="0" collapsed="false">
      <c r="A1155" s="3" t="str">
        <f aca="false">HYPERLINK("https://www.fabsurplus.com/sdi_catalog/salesItemDetails.do?id=106224")</f>
        <v>https://www.fabsurplus.com/sdi_catalog/salesItemDetails.do?id=106224</v>
      </c>
      <c r="B1155" s="3" t="s">
        <v>3072</v>
      </c>
      <c r="C1155" s="3" t="s">
        <v>1050</v>
      </c>
      <c r="D1155" s="3" t="s">
        <v>3073</v>
      </c>
      <c r="E1155" s="3" t="s">
        <v>3074</v>
      </c>
      <c r="F1155" s="3" t="s">
        <v>69</v>
      </c>
      <c r="G1155" s="3" t="s">
        <v>26</v>
      </c>
      <c r="H1155" s="3" t="s">
        <v>1691</v>
      </c>
      <c r="I1155" s="4" t="n">
        <v>36312</v>
      </c>
      <c r="J1155" s="3" t="s">
        <v>19</v>
      </c>
      <c r="K1155" s="3" t="s">
        <v>20</v>
      </c>
      <c r="L1155" s="5" t="s">
        <v>1692</v>
      </c>
    </row>
    <row r="1156" customFormat="false" ht="11.9" hidden="false" customHeight="true" outlineLevel="0" collapsed="false">
      <c r="A1156" s="2" t="str">
        <f aca="false">HYPERLINK("https://www.fabsurplus.com/sdi_catalog/salesItemDetails.do?id=106225")</f>
        <v>https://www.fabsurplus.com/sdi_catalog/salesItemDetails.do?id=106225</v>
      </c>
      <c r="B1156" s="2" t="s">
        <v>3075</v>
      </c>
      <c r="C1156" s="2" t="s">
        <v>1050</v>
      </c>
      <c r="D1156" s="2" t="s">
        <v>3076</v>
      </c>
      <c r="E1156" s="2" t="s">
        <v>3077</v>
      </c>
      <c r="F1156" s="2" t="s">
        <v>16</v>
      </c>
      <c r="G1156" s="2" t="s">
        <v>26</v>
      </c>
      <c r="H1156" s="2" t="s">
        <v>1691</v>
      </c>
      <c r="I1156" s="7" t="n">
        <v>36312</v>
      </c>
      <c r="J1156" s="2" t="s">
        <v>19</v>
      </c>
      <c r="K1156" s="2" t="s">
        <v>20</v>
      </c>
      <c r="L1156" s="6" t="s">
        <v>1692</v>
      </c>
    </row>
    <row r="1157" customFormat="false" ht="11.9" hidden="false" customHeight="true" outlineLevel="0" collapsed="false">
      <c r="A1157" s="3" t="str">
        <f aca="false">HYPERLINK("https://www.fabsurplus.com/sdi_catalog/salesItemDetails.do?id=115297")</f>
        <v>https://www.fabsurplus.com/sdi_catalog/salesItemDetails.do?id=115297</v>
      </c>
      <c r="B1157" s="3" t="s">
        <v>3078</v>
      </c>
      <c r="C1157" s="3" t="s">
        <v>1050</v>
      </c>
      <c r="D1157" s="3" t="s">
        <v>3079</v>
      </c>
      <c r="E1157" s="3" t="s">
        <v>3080</v>
      </c>
      <c r="F1157" s="3" t="s">
        <v>16</v>
      </c>
      <c r="G1157" s="3" t="s">
        <v>26</v>
      </c>
      <c r="H1157" s="3"/>
      <c r="I1157" s="3"/>
      <c r="J1157" s="3" t="s">
        <v>19</v>
      </c>
      <c r="K1157" s="3"/>
      <c r="L1157" s="3" t="s">
        <v>63</v>
      </c>
    </row>
    <row r="1158" customFormat="false" ht="11.9" hidden="false" customHeight="true" outlineLevel="0" collapsed="false">
      <c r="A1158" s="3" t="str">
        <f aca="false">HYPERLINK("https://www.fabsurplus.com/sdi_catalog/salesItemDetails.do?id=115298")</f>
        <v>https://www.fabsurplus.com/sdi_catalog/salesItemDetails.do?id=115298</v>
      </c>
      <c r="B1158" s="3" t="s">
        <v>3081</v>
      </c>
      <c r="C1158" s="3" t="s">
        <v>1050</v>
      </c>
      <c r="D1158" s="3" t="s">
        <v>3082</v>
      </c>
      <c r="E1158" s="3" t="s">
        <v>3083</v>
      </c>
      <c r="F1158" s="3" t="s">
        <v>16</v>
      </c>
      <c r="G1158" s="3" t="s">
        <v>26</v>
      </c>
      <c r="H1158" s="3"/>
      <c r="I1158" s="3"/>
      <c r="J1158" s="3" t="s">
        <v>19</v>
      </c>
      <c r="K1158" s="3"/>
      <c r="L1158" s="3" t="s">
        <v>63</v>
      </c>
    </row>
    <row r="1159" customFormat="false" ht="11.9" hidden="false" customHeight="true" outlineLevel="0" collapsed="false">
      <c r="A1159" s="3" t="str">
        <f aca="false">HYPERLINK("https://www.fabsurplus.com/sdi_catalog/salesItemDetails.do?id=115299")</f>
        <v>https://www.fabsurplus.com/sdi_catalog/salesItemDetails.do?id=115299</v>
      </c>
      <c r="B1159" s="3" t="s">
        <v>3084</v>
      </c>
      <c r="C1159" s="3" t="s">
        <v>1050</v>
      </c>
      <c r="D1159" s="3" t="s">
        <v>3085</v>
      </c>
      <c r="E1159" s="3" t="s">
        <v>3086</v>
      </c>
      <c r="F1159" s="3" t="s">
        <v>16</v>
      </c>
      <c r="G1159" s="3" t="s">
        <v>26</v>
      </c>
      <c r="H1159" s="3"/>
      <c r="I1159" s="3"/>
      <c r="J1159" s="3" t="s">
        <v>19</v>
      </c>
      <c r="K1159" s="3"/>
      <c r="L1159" s="3" t="s">
        <v>63</v>
      </c>
    </row>
    <row r="1160" customFormat="false" ht="11.9" hidden="false" customHeight="true" outlineLevel="0" collapsed="false">
      <c r="A1160" s="2" t="str">
        <f aca="false">HYPERLINK("https://www.fabsurplus.com/sdi_catalog/salesItemDetails.do?id=115300")</f>
        <v>https://www.fabsurplus.com/sdi_catalog/salesItemDetails.do?id=115300</v>
      </c>
      <c r="B1160" s="2" t="s">
        <v>3087</v>
      </c>
      <c r="C1160" s="2" t="s">
        <v>1050</v>
      </c>
      <c r="D1160" s="2" t="s">
        <v>3088</v>
      </c>
      <c r="E1160" s="2" t="s">
        <v>3089</v>
      </c>
      <c r="F1160" s="2" t="s">
        <v>77</v>
      </c>
      <c r="G1160" s="2" t="s">
        <v>26</v>
      </c>
      <c r="H1160" s="2"/>
      <c r="I1160" s="2"/>
      <c r="J1160" s="2" t="s">
        <v>19</v>
      </c>
      <c r="K1160" s="2"/>
      <c r="L1160" s="2" t="s">
        <v>63</v>
      </c>
    </row>
    <row r="1161" customFormat="false" ht="11.9" hidden="false" customHeight="true" outlineLevel="0" collapsed="false">
      <c r="A1161" s="2" t="str">
        <f aca="false">HYPERLINK("https://www.fabsurplus.com/sdi_catalog/salesItemDetails.do?id=115301")</f>
        <v>https://www.fabsurplus.com/sdi_catalog/salesItemDetails.do?id=115301</v>
      </c>
      <c r="B1161" s="2" t="s">
        <v>3090</v>
      </c>
      <c r="C1161" s="2" t="s">
        <v>1050</v>
      </c>
      <c r="D1161" s="2" t="s">
        <v>3091</v>
      </c>
      <c r="E1161" s="2" t="s">
        <v>3092</v>
      </c>
      <c r="F1161" s="2" t="s">
        <v>77</v>
      </c>
      <c r="G1161" s="2" t="s">
        <v>26</v>
      </c>
      <c r="H1161" s="2"/>
      <c r="I1161" s="2"/>
      <c r="J1161" s="2" t="s">
        <v>19</v>
      </c>
      <c r="K1161" s="2"/>
      <c r="L1161" s="2" t="s">
        <v>63</v>
      </c>
    </row>
    <row r="1162" customFormat="false" ht="11.9" hidden="false" customHeight="true" outlineLevel="0" collapsed="false">
      <c r="A1162" s="2" t="str">
        <f aca="false">HYPERLINK("https://www.fabsurplus.com/sdi_catalog/salesItemDetails.do?id=115302")</f>
        <v>https://www.fabsurplus.com/sdi_catalog/salesItemDetails.do?id=115302</v>
      </c>
      <c r="B1162" s="2" t="s">
        <v>3093</v>
      </c>
      <c r="C1162" s="2" t="s">
        <v>1050</v>
      </c>
      <c r="D1162" s="2" t="s">
        <v>3094</v>
      </c>
      <c r="E1162" s="2" t="s">
        <v>3095</v>
      </c>
      <c r="F1162" s="2" t="s">
        <v>16</v>
      </c>
      <c r="G1162" s="2" t="s">
        <v>26</v>
      </c>
      <c r="H1162" s="2"/>
      <c r="I1162" s="2"/>
      <c r="J1162" s="2" t="s">
        <v>19</v>
      </c>
      <c r="K1162" s="2"/>
      <c r="L1162" s="2" t="s">
        <v>63</v>
      </c>
    </row>
    <row r="1163" customFormat="false" ht="11.9" hidden="false" customHeight="true" outlineLevel="0" collapsed="false">
      <c r="A1163" s="2" t="str">
        <f aca="false">HYPERLINK("https://www.fabsurplus.com/sdi_catalog/salesItemDetails.do?id=115304")</f>
        <v>https://www.fabsurplus.com/sdi_catalog/salesItemDetails.do?id=115304</v>
      </c>
      <c r="B1163" s="2" t="s">
        <v>3096</v>
      </c>
      <c r="C1163" s="2" t="s">
        <v>1050</v>
      </c>
      <c r="D1163" s="2" t="s">
        <v>3097</v>
      </c>
      <c r="E1163" s="2" t="s">
        <v>1222</v>
      </c>
      <c r="F1163" s="2" t="s">
        <v>16</v>
      </c>
      <c r="G1163" s="2" t="s">
        <v>26</v>
      </c>
      <c r="H1163" s="2"/>
      <c r="I1163" s="2"/>
      <c r="J1163" s="2" t="s">
        <v>19</v>
      </c>
      <c r="K1163" s="2"/>
      <c r="L1163" s="2" t="s">
        <v>63</v>
      </c>
    </row>
    <row r="1164" customFormat="false" ht="11.9" hidden="false" customHeight="true" outlineLevel="0" collapsed="false">
      <c r="A1164" s="2" t="str">
        <f aca="false">HYPERLINK("https://www.fabsurplus.com/sdi_catalog/salesItemDetails.do?id=115305")</f>
        <v>https://www.fabsurplus.com/sdi_catalog/salesItemDetails.do?id=115305</v>
      </c>
      <c r="B1164" s="2" t="s">
        <v>3098</v>
      </c>
      <c r="C1164" s="2" t="s">
        <v>1050</v>
      </c>
      <c r="D1164" s="2" t="s">
        <v>3099</v>
      </c>
      <c r="E1164" s="2" t="s">
        <v>3100</v>
      </c>
      <c r="F1164" s="2" t="s">
        <v>16</v>
      </c>
      <c r="G1164" s="2" t="s">
        <v>26</v>
      </c>
      <c r="H1164" s="2"/>
      <c r="I1164" s="2"/>
      <c r="J1164" s="2" t="s">
        <v>19</v>
      </c>
      <c r="K1164" s="2"/>
      <c r="L1164" s="2" t="s">
        <v>63</v>
      </c>
    </row>
    <row r="1165" customFormat="false" ht="11.9" hidden="false" customHeight="true" outlineLevel="0" collapsed="false">
      <c r="A1165" s="3" t="str">
        <f aca="false">HYPERLINK("https://www.fabsurplus.com/sdi_catalog/salesItemDetails.do?id=115306")</f>
        <v>https://www.fabsurplus.com/sdi_catalog/salesItemDetails.do?id=115306</v>
      </c>
      <c r="B1165" s="3" t="s">
        <v>3101</v>
      </c>
      <c r="C1165" s="3" t="s">
        <v>1050</v>
      </c>
      <c r="D1165" s="3" t="s">
        <v>3099</v>
      </c>
      <c r="E1165" s="3" t="s">
        <v>3102</v>
      </c>
      <c r="F1165" s="3" t="s">
        <v>101</v>
      </c>
      <c r="G1165" s="3" t="s">
        <v>26</v>
      </c>
      <c r="H1165" s="3"/>
      <c r="I1165" s="3"/>
      <c r="J1165" s="3" t="s">
        <v>19</v>
      </c>
      <c r="K1165" s="3"/>
      <c r="L1165" s="3" t="s">
        <v>63</v>
      </c>
    </row>
    <row r="1166" customFormat="false" ht="11.9" hidden="false" customHeight="true" outlineLevel="0" collapsed="false">
      <c r="A1166" s="2" t="str">
        <f aca="false">HYPERLINK("https://www.fabsurplus.com/sdi_catalog/salesItemDetails.do?id=116421")</f>
        <v>https://www.fabsurplus.com/sdi_catalog/salesItemDetails.do?id=116421</v>
      </c>
      <c r="B1166" s="2" t="s">
        <v>3103</v>
      </c>
      <c r="C1166" s="2" t="s">
        <v>1050</v>
      </c>
      <c r="D1166" s="2" t="s">
        <v>3104</v>
      </c>
      <c r="E1166" s="2" t="s">
        <v>3105</v>
      </c>
      <c r="F1166" s="2" t="s">
        <v>16</v>
      </c>
      <c r="G1166" s="2" t="s">
        <v>3106</v>
      </c>
      <c r="H1166" s="2" t="s">
        <v>35</v>
      </c>
      <c r="I1166" s="2"/>
      <c r="J1166" s="2"/>
      <c r="K1166" s="2" t="s">
        <v>20</v>
      </c>
      <c r="L1166" s="6" t="s">
        <v>3107</v>
      </c>
    </row>
    <row r="1167" customFormat="false" ht="11.9" hidden="false" customHeight="true" outlineLevel="0" collapsed="false">
      <c r="A1167" s="3" t="str">
        <f aca="false">HYPERLINK("https://www.fabsurplus.com/sdi_catalog/salesItemDetails.do?id=115352")</f>
        <v>https://www.fabsurplus.com/sdi_catalog/salesItemDetails.do?id=115352</v>
      </c>
      <c r="B1167" s="3" t="s">
        <v>3108</v>
      </c>
      <c r="C1167" s="3" t="s">
        <v>1050</v>
      </c>
      <c r="D1167" s="3" t="s">
        <v>3109</v>
      </c>
      <c r="E1167" s="3" t="s">
        <v>3110</v>
      </c>
      <c r="F1167" s="3" t="s">
        <v>16</v>
      </c>
      <c r="G1167" s="3" t="s">
        <v>26</v>
      </c>
      <c r="H1167" s="3"/>
      <c r="I1167" s="3"/>
      <c r="J1167" s="3" t="s">
        <v>19</v>
      </c>
      <c r="K1167" s="3"/>
      <c r="L1167" s="3" t="s">
        <v>63</v>
      </c>
    </row>
    <row r="1168" customFormat="false" ht="11.9" hidden="false" customHeight="true" outlineLevel="0" collapsed="false">
      <c r="A1168" s="3" t="str">
        <f aca="false">HYPERLINK("https://www.fabsurplus.com/sdi_catalog/salesItemDetails.do?id=11579")</f>
        <v>https://www.fabsurplus.com/sdi_catalog/salesItemDetails.do?id=11579</v>
      </c>
      <c r="B1168" s="3" t="s">
        <v>3111</v>
      </c>
      <c r="C1168" s="3" t="s">
        <v>1050</v>
      </c>
      <c r="D1168" s="3" t="s">
        <v>3112</v>
      </c>
      <c r="E1168" s="3" t="s">
        <v>3113</v>
      </c>
      <c r="F1168" s="3" t="s">
        <v>16</v>
      </c>
      <c r="G1168" s="3" t="s">
        <v>3114</v>
      </c>
      <c r="H1168" s="3" t="s">
        <v>27</v>
      </c>
      <c r="I1168" s="4" t="n">
        <v>36312</v>
      </c>
      <c r="J1168" s="3" t="s">
        <v>42</v>
      </c>
      <c r="K1168" s="3" t="s">
        <v>20</v>
      </c>
      <c r="L1168" s="5" t="s">
        <v>3115</v>
      </c>
    </row>
    <row r="1169" customFormat="false" ht="11.9" hidden="false" customHeight="true" outlineLevel="0" collapsed="false">
      <c r="A1169" s="3" t="str">
        <f aca="false">HYPERLINK("https://www.fabsurplus.com/sdi_catalog/salesItemDetails.do?id=70004")</f>
        <v>https://www.fabsurplus.com/sdi_catalog/salesItemDetails.do?id=70004</v>
      </c>
      <c r="B1169" s="3" t="s">
        <v>3116</v>
      </c>
      <c r="C1169" s="3" t="s">
        <v>1050</v>
      </c>
      <c r="D1169" s="3" t="s">
        <v>3117</v>
      </c>
      <c r="E1169" s="3" t="s">
        <v>3118</v>
      </c>
      <c r="F1169" s="3" t="s">
        <v>16</v>
      </c>
      <c r="G1169" s="3" t="s">
        <v>26</v>
      </c>
      <c r="H1169" s="3" t="s">
        <v>1691</v>
      </c>
      <c r="I1169" s="3"/>
      <c r="J1169" s="3" t="s">
        <v>19</v>
      </c>
      <c r="K1169" s="3" t="s">
        <v>20</v>
      </c>
      <c r="L1169" s="5" t="s">
        <v>3119</v>
      </c>
    </row>
    <row r="1170" customFormat="false" ht="11.9" hidden="false" customHeight="true" outlineLevel="0" collapsed="false">
      <c r="A1170" s="2" t="str">
        <f aca="false">HYPERLINK("https://www.fabsurplus.com/sdi_catalog/salesItemDetails.do?id=114580")</f>
        <v>https://www.fabsurplus.com/sdi_catalog/salesItemDetails.do?id=114580</v>
      </c>
      <c r="B1170" s="2" t="s">
        <v>3120</v>
      </c>
      <c r="C1170" s="2" t="s">
        <v>1050</v>
      </c>
      <c r="D1170" s="2" t="s">
        <v>3121</v>
      </c>
      <c r="E1170" s="2" t="s">
        <v>3122</v>
      </c>
      <c r="F1170" s="2" t="s">
        <v>16</v>
      </c>
      <c r="G1170" s="2" t="s">
        <v>3123</v>
      </c>
      <c r="H1170" s="2"/>
      <c r="I1170" s="2"/>
      <c r="J1170" s="2" t="s">
        <v>19</v>
      </c>
      <c r="K1170" s="2"/>
      <c r="L1170" s="6" t="s">
        <v>3124</v>
      </c>
    </row>
    <row r="1171" customFormat="false" ht="11.9" hidden="false" customHeight="true" outlineLevel="0" collapsed="false">
      <c r="A1171" s="2" t="str">
        <f aca="false">HYPERLINK("https://www.fabsurplus.com/sdi_catalog/salesItemDetails.do?id=114581")</f>
        <v>https://www.fabsurplus.com/sdi_catalog/salesItemDetails.do?id=114581</v>
      </c>
      <c r="B1171" s="2" t="s">
        <v>3125</v>
      </c>
      <c r="C1171" s="2" t="s">
        <v>1050</v>
      </c>
      <c r="D1171" s="2" t="s">
        <v>3126</v>
      </c>
      <c r="E1171" s="2" t="s">
        <v>3127</v>
      </c>
      <c r="F1171" s="2" t="s">
        <v>16</v>
      </c>
      <c r="G1171" s="2" t="s">
        <v>3123</v>
      </c>
      <c r="H1171" s="2"/>
      <c r="I1171" s="2"/>
      <c r="J1171" s="2" t="s">
        <v>19</v>
      </c>
      <c r="K1171" s="2"/>
      <c r="L1171" s="6" t="s">
        <v>3128</v>
      </c>
    </row>
    <row r="1172" customFormat="false" ht="11.9" hidden="false" customHeight="true" outlineLevel="0" collapsed="false">
      <c r="A1172" s="2" t="str">
        <f aca="false">HYPERLINK("https://www.fabsurplus.com/sdi_catalog/salesItemDetails.do?id=114569")</f>
        <v>https://www.fabsurplus.com/sdi_catalog/salesItemDetails.do?id=114569</v>
      </c>
      <c r="B1172" s="2" t="s">
        <v>3129</v>
      </c>
      <c r="C1172" s="2" t="s">
        <v>1050</v>
      </c>
      <c r="D1172" s="2" t="s">
        <v>3130</v>
      </c>
      <c r="E1172" s="2" t="s">
        <v>3131</v>
      </c>
      <c r="F1172" s="2" t="s">
        <v>16</v>
      </c>
      <c r="G1172" s="2" t="s">
        <v>3123</v>
      </c>
      <c r="H1172" s="2"/>
      <c r="I1172" s="2"/>
      <c r="J1172" s="2" t="s">
        <v>19</v>
      </c>
      <c r="K1172" s="2"/>
      <c r="L1172" s="2" t="s">
        <v>63</v>
      </c>
    </row>
    <row r="1173" customFormat="false" ht="11.9" hidden="false" customHeight="true" outlineLevel="0" collapsed="false">
      <c r="A1173" s="2" t="str">
        <f aca="false">HYPERLINK("https://www.fabsurplus.com/sdi_catalog/salesItemDetails.do?id=114565")</f>
        <v>https://www.fabsurplus.com/sdi_catalog/salesItemDetails.do?id=114565</v>
      </c>
      <c r="B1173" s="2" t="s">
        <v>3132</v>
      </c>
      <c r="C1173" s="2" t="s">
        <v>1050</v>
      </c>
      <c r="D1173" s="2" t="s">
        <v>3130</v>
      </c>
      <c r="E1173" s="2" t="s">
        <v>3131</v>
      </c>
      <c r="F1173" s="2" t="s">
        <v>16</v>
      </c>
      <c r="G1173" s="2" t="s">
        <v>3123</v>
      </c>
      <c r="H1173" s="2"/>
      <c r="I1173" s="2"/>
      <c r="J1173" s="2" t="s">
        <v>19</v>
      </c>
      <c r="K1173" s="2"/>
      <c r="L1173" s="2" t="s">
        <v>63</v>
      </c>
    </row>
    <row r="1174" customFormat="false" ht="11.9" hidden="false" customHeight="true" outlineLevel="0" collapsed="false">
      <c r="A1174" s="3" t="str">
        <f aca="false">HYPERLINK("https://www.fabsurplus.com/sdi_catalog/salesItemDetails.do?id=114564")</f>
        <v>https://www.fabsurplus.com/sdi_catalog/salesItemDetails.do?id=114564</v>
      </c>
      <c r="B1174" s="3" t="s">
        <v>3133</v>
      </c>
      <c r="C1174" s="3" t="s">
        <v>1050</v>
      </c>
      <c r="D1174" s="3" t="s">
        <v>3130</v>
      </c>
      <c r="E1174" s="3" t="s">
        <v>3131</v>
      </c>
      <c r="F1174" s="3" t="s">
        <v>16</v>
      </c>
      <c r="G1174" s="3" t="s">
        <v>3123</v>
      </c>
      <c r="H1174" s="3"/>
      <c r="I1174" s="3"/>
      <c r="J1174" s="3" t="s">
        <v>19</v>
      </c>
      <c r="K1174" s="3"/>
      <c r="L1174" s="3" t="s">
        <v>63</v>
      </c>
    </row>
    <row r="1175" customFormat="false" ht="11.9" hidden="false" customHeight="true" outlineLevel="0" collapsed="false">
      <c r="A1175" s="3" t="str">
        <f aca="false">HYPERLINK("https://www.fabsurplus.com/sdi_catalog/salesItemDetails.do?id=114566")</f>
        <v>https://www.fabsurplus.com/sdi_catalog/salesItemDetails.do?id=114566</v>
      </c>
      <c r="B1175" s="3" t="s">
        <v>3134</v>
      </c>
      <c r="C1175" s="3" t="s">
        <v>1050</v>
      </c>
      <c r="D1175" s="3" t="s">
        <v>3130</v>
      </c>
      <c r="E1175" s="3" t="s">
        <v>3135</v>
      </c>
      <c r="F1175" s="3" t="s">
        <v>16</v>
      </c>
      <c r="G1175" s="3" t="s">
        <v>3123</v>
      </c>
      <c r="H1175" s="3"/>
      <c r="I1175" s="3"/>
      <c r="J1175" s="3" t="s">
        <v>19</v>
      </c>
      <c r="K1175" s="3"/>
      <c r="L1175" s="3" t="s">
        <v>63</v>
      </c>
    </row>
    <row r="1176" customFormat="false" ht="11.9" hidden="false" customHeight="true" outlineLevel="0" collapsed="false">
      <c r="A1176" s="2" t="str">
        <f aca="false">HYPERLINK("https://www.fabsurplus.com/sdi_catalog/salesItemDetails.do?id=114563")</f>
        <v>https://www.fabsurplus.com/sdi_catalog/salesItemDetails.do?id=114563</v>
      </c>
      <c r="B1176" s="2" t="s">
        <v>3136</v>
      </c>
      <c r="C1176" s="2" t="s">
        <v>1050</v>
      </c>
      <c r="D1176" s="2" t="s">
        <v>3130</v>
      </c>
      <c r="E1176" s="2" t="s">
        <v>3137</v>
      </c>
      <c r="F1176" s="2" t="s">
        <v>16</v>
      </c>
      <c r="G1176" s="2" t="s">
        <v>3123</v>
      </c>
      <c r="H1176" s="2"/>
      <c r="I1176" s="2"/>
      <c r="J1176" s="2" t="s">
        <v>19</v>
      </c>
      <c r="K1176" s="2"/>
      <c r="L1176" s="2" t="s">
        <v>63</v>
      </c>
    </row>
    <row r="1177" customFormat="false" ht="11.9" hidden="false" customHeight="true" outlineLevel="0" collapsed="false">
      <c r="A1177" s="3" t="str">
        <f aca="false">HYPERLINK("https://www.fabsurplus.com/sdi_catalog/salesItemDetails.do?id=114567")</f>
        <v>https://www.fabsurplus.com/sdi_catalog/salesItemDetails.do?id=114567</v>
      </c>
      <c r="B1177" s="3" t="s">
        <v>3138</v>
      </c>
      <c r="C1177" s="3" t="s">
        <v>1050</v>
      </c>
      <c r="D1177" s="3" t="s">
        <v>3130</v>
      </c>
      <c r="E1177" s="3" t="s">
        <v>3139</v>
      </c>
      <c r="F1177" s="3" t="s">
        <v>16</v>
      </c>
      <c r="G1177" s="3" t="s">
        <v>3123</v>
      </c>
      <c r="H1177" s="3"/>
      <c r="I1177" s="3"/>
      <c r="J1177" s="3" t="s">
        <v>19</v>
      </c>
      <c r="K1177" s="3"/>
      <c r="L1177" s="3" t="s">
        <v>63</v>
      </c>
    </row>
    <row r="1178" customFormat="false" ht="11.9" hidden="false" customHeight="true" outlineLevel="0" collapsed="false">
      <c r="A1178" s="3" t="str">
        <f aca="false">HYPERLINK("https://www.fabsurplus.com/sdi_catalog/salesItemDetails.do?id=114568")</f>
        <v>https://www.fabsurplus.com/sdi_catalog/salesItemDetails.do?id=114568</v>
      </c>
      <c r="B1178" s="3" t="s">
        <v>3140</v>
      </c>
      <c r="C1178" s="3" t="s">
        <v>1050</v>
      </c>
      <c r="D1178" s="3" t="s">
        <v>3130</v>
      </c>
      <c r="E1178" s="3" t="s">
        <v>3141</v>
      </c>
      <c r="F1178" s="3" t="s">
        <v>16</v>
      </c>
      <c r="G1178" s="3" t="s">
        <v>3123</v>
      </c>
      <c r="H1178" s="3"/>
      <c r="I1178" s="3"/>
      <c r="J1178" s="3" t="s">
        <v>19</v>
      </c>
      <c r="K1178" s="3"/>
      <c r="L1178" s="3" t="s">
        <v>63</v>
      </c>
    </row>
    <row r="1179" customFormat="false" ht="11.9" hidden="false" customHeight="true" outlineLevel="0" collapsed="false">
      <c r="A1179" s="2" t="str">
        <f aca="false">HYPERLINK("https://www.fabsurplus.com/sdi_catalog/salesItemDetails.do?id=114573")</f>
        <v>https://www.fabsurplus.com/sdi_catalog/salesItemDetails.do?id=114573</v>
      </c>
      <c r="B1179" s="2" t="s">
        <v>3142</v>
      </c>
      <c r="C1179" s="2" t="s">
        <v>1050</v>
      </c>
      <c r="D1179" s="2" t="s">
        <v>3143</v>
      </c>
      <c r="E1179" s="2" t="s">
        <v>3144</v>
      </c>
      <c r="F1179" s="2" t="s">
        <v>16</v>
      </c>
      <c r="G1179" s="2" t="s">
        <v>3123</v>
      </c>
      <c r="H1179" s="2"/>
      <c r="I1179" s="2"/>
      <c r="J1179" s="2" t="s">
        <v>19</v>
      </c>
      <c r="K1179" s="2"/>
      <c r="L1179" s="2" t="s">
        <v>63</v>
      </c>
    </row>
    <row r="1180" customFormat="false" ht="11.9" hidden="false" customHeight="true" outlineLevel="0" collapsed="false">
      <c r="A1180" s="3" t="str">
        <f aca="false">HYPERLINK("https://www.fabsurplus.com/sdi_catalog/salesItemDetails.do?id=114572")</f>
        <v>https://www.fabsurplus.com/sdi_catalog/salesItemDetails.do?id=114572</v>
      </c>
      <c r="B1180" s="3" t="s">
        <v>3145</v>
      </c>
      <c r="C1180" s="3" t="s">
        <v>1050</v>
      </c>
      <c r="D1180" s="3" t="s">
        <v>3143</v>
      </c>
      <c r="E1180" s="3" t="s">
        <v>3144</v>
      </c>
      <c r="F1180" s="3" t="s">
        <v>16</v>
      </c>
      <c r="G1180" s="3" t="s">
        <v>3123</v>
      </c>
      <c r="H1180" s="3"/>
      <c r="I1180" s="3"/>
      <c r="J1180" s="3" t="s">
        <v>19</v>
      </c>
      <c r="K1180" s="3"/>
      <c r="L1180" s="3" t="s">
        <v>63</v>
      </c>
    </row>
    <row r="1181" customFormat="false" ht="11.9" hidden="false" customHeight="true" outlineLevel="0" collapsed="false">
      <c r="A1181" s="2" t="str">
        <f aca="false">HYPERLINK("https://www.fabsurplus.com/sdi_catalog/salesItemDetails.do?id=114571")</f>
        <v>https://www.fabsurplus.com/sdi_catalog/salesItemDetails.do?id=114571</v>
      </c>
      <c r="B1181" s="2" t="s">
        <v>3146</v>
      </c>
      <c r="C1181" s="2" t="s">
        <v>1050</v>
      </c>
      <c r="D1181" s="2" t="s">
        <v>3143</v>
      </c>
      <c r="E1181" s="2" t="s">
        <v>3144</v>
      </c>
      <c r="F1181" s="2" t="s">
        <v>16</v>
      </c>
      <c r="G1181" s="2" t="s">
        <v>3123</v>
      </c>
      <c r="H1181" s="2"/>
      <c r="I1181" s="2"/>
      <c r="J1181" s="2" t="s">
        <v>19</v>
      </c>
      <c r="K1181" s="2"/>
      <c r="L1181" s="2" t="s">
        <v>63</v>
      </c>
    </row>
    <row r="1182" customFormat="false" ht="11.9" hidden="false" customHeight="true" outlineLevel="0" collapsed="false">
      <c r="A1182" s="2" t="str">
        <f aca="false">HYPERLINK("https://www.fabsurplus.com/sdi_catalog/salesItemDetails.do?id=114570")</f>
        <v>https://www.fabsurplus.com/sdi_catalog/salesItemDetails.do?id=114570</v>
      </c>
      <c r="B1182" s="2" t="s">
        <v>3147</v>
      </c>
      <c r="C1182" s="2" t="s">
        <v>1050</v>
      </c>
      <c r="D1182" s="2" t="s">
        <v>3143</v>
      </c>
      <c r="E1182" s="2" t="s">
        <v>3144</v>
      </c>
      <c r="F1182" s="2" t="s">
        <v>16</v>
      </c>
      <c r="G1182" s="2" t="s">
        <v>3123</v>
      </c>
      <c r="H1182" s="2"/>
      <c r="I1182" s="2"/>
      <c r="J1182" s="2" t="s">
        <v>19</v>
      </c>
      <c r="K1182" s="2"/>
      <c r="L1182" s="2" t="s">
        <v>63</v>
      </c>
    </row>
    <row r="1183" customFormat="false" ht="11.9" hidden="false" customHeight="true" outlineLevel="0" collapsed="false">
      <c r="A1183" s="3" t="str">
        <f aca="false">HYPERLINK("https://www.fabsurplus.com/sdi_catalog/salesItemDetails.do?id=114582")</f>
        <v>https://www.fabsurplus.com/sdi_catalog/salesItemDetails.do?id=114582</v>
      </c>
      <c r="B1183" s="3" t="s">
        <v>3148</v>
      </c>
      <c r="C1183" s="3" t="s">
        <v>1050</v>
      </c>
      <c r="D1183" s="3" t="s">
        <v>3149</v>
      </c>
      <c r="E1183" s="3" t="s">
        <v>3122</v>
      </c>
      <c r="F1183" s="3" t="s">
        <v>16</v>
      </c>
      <c r="G1183" s="3" t="s">
        <v>3123</v>
      </c>
      <c r="H1183" s="3"/>
      <c r="I1183" s="3"/>
      <c r="J1183" s="3" t="s">
        <v>19</v>
      </c>
      <c r="K1183" s="3"/>
      <c r="L1183" s="5" t="s">
        <v>3150</v>
      </c>
    </row>
    <row r="1184" customFormat="false" ht="11.9" hidden="false" customHeight="true" outlineLevel="0" collapsed="false">
      <c r="A1184" s="2" t="str">
        <f aca="false">HYPERLINK("https://www.fabsurplus.com/sdi_catalog/salesItemDetails.do?id=106944")</f>
        <v>https://www.fabsurplus.com/sdi_catalog/salesItemDetails.do?id=106944</v>
      </c>
      <c r="B1184" s="2" t="s">
        <v>3151</v>
      </c>
      <c r="C1184" s="2" t="s">
        <v>1050</v>
      </c>
      <c r="D1184" s="2" t="s">
        <v>3152</v>
      </c>
      <c r="E1184" s="2" t="s">
        <v>3153</v>
      </c>
      <c r="F1184" s="2" t="s">
        <v>16</v>
      </c>
      <c r="G1184" s="2" t="s">
        <v>3154</v>
      </c>
      <c r="H1184" s="2" t="s">
        <v>1691</v>
      </c>
      <c r="I1184" s="7" t="n">
        <v>37196</v>
      </c>
      <c r="J1184" s="2" t="s">
        <v>19</v>
      </c>
      <c r="K1184" s="2" t="s">
        <v>20</v>
      </c>
      <c r="L1184" s="6" t="s">
        <v>3155</v>
      </c>
    </row>
    <row r="1185" customFormat="false" ht="11.9" hidden="false" customHeight="true" outlineLevel="0" collapsed="false">
      <c r="A1185" s="2" t="str">
        <f aca="false">HYPERLINK("https://www.fabsurplus.com/sdi_catalog/salesItemDetails.do?id=114561")</f>
        <v>https://www.fabsurplus.com/sdi_catalog/salesItemDetails.do?id=114561</v>
      </c>
      <c r="B1185" s="2" t="s">
        <v>3156</v>
      </c>
      <c r="C1185" s="2" t="s">
        <v>1050</v>
      </c>
      <c r="D1185" s="2" t="s">
        <v>3157</v>
      </c>
      <c r="E1185" s="2" t="s">
        <v>3158</v>
      </c>
      <c r="F1185" s="2" t="s">
        <v>16</v>
      </c>
      <c r="G1185" s="2" t="s">
        <v>3123</v>
      </c>
      <c r="H1185" s="2"/>
      <c r="I1185" s="2"/>
      <c r="J1185" s="2" t="s">
        <v>19</v>
      </c>
      <c r="K1185" s="2"/>
      <c r="L1185" s="2" t="s">
        <v>63</v>
      </c>
    </row>
    <row r="1186" customFormat="false" ht="11.9" hidden="false" customHeight="true" outlineLevel="0" collapsed="false">
      <c r="A1186" s="2" t="str">
        <f aca="false">HYPERLINK("https://www.fabsurplus.com/sdi_catalog/salesItemDetails.do?id=114559")</f>
        <v>https://www.fabsurplus.com/sdi_catalog/salesItemDetails.do?id=114559</v>
      </c>
      <c r="B1186" s="2" t="s">
        <v>3159</v>
      </c>
      <c r="C1186" s="2" t="s">
        <v>1050</v>
      </c>
      <c r="D1186" s="2" t="s">
        <v>3157</v>
      </c>
      <c r="E1186" s="2" t="s">
        <v>3158</v>
      </c>
      <c r="F1186" s="2" t="s">
        <v>16</v>
      </c>
      <c r="G1186" s="2" t="s">
        <v>3123</v>
      </c>
      <c r="H1186" s="2"/>
      <c r="I1186" s="2"/>
      <c r="J1186" s="2" t="s">
        <v>19</v>
      </c>
      <c r="K1186" s="2"/>
      <c r="L1186" s="2" t="s">
        <v>63</v>
      </c>
    </row>
    <row r="1187" customFormat="false" ht="11.9" hidden="false" customHeight="true" outlineLevel="0" collapsed="false">
      <c r="A1187" s="2" t="str">
        <f aca="false">HYPERLINK("https://www.fabsurplus.com/sdi_catalog/salesItemDetails.do?id=114562")</f>
        <v>https://www.fabsurplus.com/sdi_catalog/salesItemDetails.do?id=114562</v>
      </c>
      <c r="B1187" s="2" t="s">
        <v>3160</v>
      </c>
      <c r="C1187" s="2" t="s">
        <v>1050</v>
      </c>
      <c r="D1187" s="2" t="s">
        <v>3161</v>
      </c>
      <c r="E1187" s="2" t="s">
        <v>3162</v>
      </c>
      <c r="F1187" s="2" t="s">
        <v>16</v>
      </c>
      <c r="G1187" s="2" t="s">
        <v>3123</v>
      </c>
      <c r="H1187" s="2" t="s">
        <v>27</v>
      </c>
      <c r="I1187" s="2"/>
      <c r="J1187" s="2" t="s">
        <v>19</v>
      </c>
      <c r="K1187" s="2" t="s">
        <v>20</v>
      </c>
      <c r="L1187" s="2" t="s">
        <v>63</v>
      </c>
    </row>
    <row r="1188" customFormat="false" ht="11.9" hidden="false" customHeight="true" outlineLevel="0" collapsed="false">
      <c r="A1188" s="2" t="str">
        <f aca="false">HYPERLINK("https://www.fabsurplus.com/sdi_catalog/salesItemDetails.do?id=114579")</f>
        <v>https://www.fabsurplus.com/sdi_catalog/salesItemDetails.do?id=114579</v>
      </c>
      <c r="B1188" s="2" t="s">
        <v>3163</v>
      </c>
      <c r="C1188" s="2" t="s">
        <v>1050</v>
      </c>
      <c r="D1188" s="2" t="s">
        <v>3161</v>
      </c>
      <c r="E1188" s="2" t="s">
        <v>3164</v>
      </c>
      <c r="F1188" s="2" t="s">
        <v>16</v>
      </c>
      <c r="G1188" s="2" t="s">
        <v>3123</v>
      </c>
      <c r="H1188" s="2"/>
      <c r="I1188" s="2"/>
      <c r="J1188" s="2" t="s">
        <v>19</v>
      </c>
      <c r="K1188" s="2"/>
      <c r="L1188" s="2" t="s">
        <v>63</v>
      </c>
    </row>
    <row r="1189" customFormat="false" ht="11.9" hidden="false" customHeight="true" outlineLevel="0" collapsed="false">
      <c r="A1189" s="3" t="str">
        <f aca="false">HYPERLINK("https://www.fabsurplus.com/sdi_catalog/salesItemDetails.do?id=114578")</f>
        <v>https://www.fabsurplus.com/sdi_catalog/salesItemDetails.do?id=114578</v>
      </c>
      <c r="B1189" s="3" t="s">
        <v>3165</v>
      </c>
      <c r="C1189" s="3" t="s">
        <v>1050</v>
      </c>
      <c r="D1189" s="3" t="s">
        <v>3161</v>
      </c>
      <c r="E1189" s="3" t="s">
        <v>3166</v>
      </c>
      <c r="F1189" s="3" t="s">
        <v>16</v>
      </c>
      <c r="G1189" s="3" t="s">
        <v>3123</v>
      </c>
      <c r="H1189" s="3"/>
      <c r="I1189" s="3"/>
      <c r="J1189" s="3" t="s">
        <v>19</v>
      </c>
      <c r="K1189" s="3"/>
      <c r="L1189" s="3" t="s">
        <v>63</v>
      </c>
    </row>
    <row r="1190" customFormat="false" ht="11.9" hidden="false" customHeight="true" outlineLevel="0" collapsed="false">
      <c r="A1190" s="2" t="str">
        <f aca="false">HYPERLINK("https://www.fabsurplus.com/sdi_catalog/salesItemDetails.do?id=114577")</f>
        <v>https://www.fabsurplus.com/sdi_catalog/salesItemDetails.do?id=114577</v>
      </c>
      <c r="B1190" s="2" t="s">
        <v>3167</v>
      </c>
      <c r="C1190" s="2" t="s">
        <v>1050</v>
      </c>
      <c r="D1190" s="2" t="s">
        <v>3168</v>
      </c>
      <c r="E1190" s="2" t="s">
        <v>3169</v>
      </c>
      <c r="F1190" s="2" t="s">
        <v>16</v>
      </c>
      <c r="G1190" s="2" t="s">
        <v>3123</v>
      </c>
      <c r="H1190" s="2"/>
      <c r="I1190" s="2"/>
      <c r="J1190" s="2" t="s">
        <v>19</v>
      </c>
      <c r="K1190" s="2"/>
      <c r="L1190" s="2" t="s">
        <v>63</v>
      </c>
    </row>
    <row r="1191" customFormat="false" ht="11.9" hidden="false" customHeight="true" outlineLevel="0" collapsed="false">
      <c r="A1191" s="2" t="str">
        <f aca="false">HYPERLINK("https://www.fabsurplus.com/sdi_catalog/salesItemDetails.do?id=114557")</f>
        <v>https://www.fabsurplus.com/sdi_catalog/salesItemDetails.do?id=114557</v>
      </c>
      <c r="B1191" s="2" t="s">
        <v>3170</v>
      </c>
      <c r="C1191" s="2" t="s">
        <v>1050</v>
      </c>
      <c r="D1191" s="2" t="s">
        <v>3171</v>
      </c>
      <c r="E1191" s="2" t="s">
        <v>3172</v>
      </c>
      <c r="F1191" s="2" t="s">
        <v>16</v>
      </c>
      <c r="G1191" s="2" t="s">
        <v>3123</v>
      </c>
      <c r="H1191" s="2"/>
      <c r="I1191" s="2"/>
      <c r="J1191" s="2" t="s">
        <v>19</v>
      </c>
      <c r="K1191" s="2"/>
      <c r="L1191" s="2" t="s">
        <v>63</v>
      </c>
    </row>
    <row r="1192" customFormat="false" ht="11.9" hidden="false" customHeight="true" outlineLevel="0" collapsed="false">
      <c r="A1192" s="2" t="str">
        <f aca="false">HYPERLINK("https://www.fabsurplus.com/sdi_catalog/salesItemDetails.do?id=114558")</f>
        <v>https://www.fabsurplus.com/sdi_catalog/salesItemDetails.do?id=114558</v>
      </c>
      <c r="B1192" s="2" t="s">
        <v>3173</v>
      </c>
      <c r="C1192" s="2" t="s">
        <v>1050</v>
      </c>
      <c r="D1192" s="2" t="s">
        <v>3171</v>
      </c>
      <c r="E1192" s="2" t="s">
        <v>3174</v>
      </c>
      <c r="F1192" s="2" t="s">
        <v>16</v>
      </c>
      <c r="G1192" s="2" t="s">
        <v>3123</v>
      </c>
      <c r="H1192" s="2"/>
      <c r="I1192" s="2"/>
      <c r="J1192" s="2" t="s">
        <v>19</v>
      </c>
      <c r="K1192" s="2"/>
      <c r="L1192" s="2" t="s">
        <v>63</v>
      </c>
    </row>
    <row r="1193" customFormat="false" ht="11.9" hidden="false" customHeight="true" outlineLevel="0" collapsed="false">
      <c r="A1193" s="3" t="str">
        <f aca="false">HYPERLINK("https://www.fabsurplus.com/sdi_catalog/salesItemDetails.do?id=114575")</f>
        <v>https://www.fabsurplus.com/sdi_catalog/salesItemDetails.do?id=114575</v>
      </c>
      <c r="B1193" s="3" t="s">
        <v>3175</v>
      </c>
      <c r="C1193" s="3" t="s">
        <v>1050</v>
      </c>
      <c r="D1193" s="3" t="s">
        <v>3171</v>
      </c>
      <c r="E1193" s="3" t="s">
        <v>3176</v>
      </c>
      <c r="F1193" s="3" t="s">
        <v>16</v>
      </c>
      <c r="G1193" s="3" t="s">
        <v>3123</v>
      </c>
      <c r="H1193" s="3"/>
      <c r="I1193" s="3"/>
      <c r="J1193" s="3" t="s">
        <v>19</v>
      </c>
      <c r="K1193" s="3"/>
      <c r="L1193" s="3" t="s">
        <v>63</v>
      </c>
    </row>
    <row r="1194" customFormat="false" ht="11.9" hidden="false" customHeight="true" outlineLevel="0" collapsed="false">
      <c r="A1194" s="3" t="str">
        <f aca="false">HYPERLINK("https://www.fabsurplus.com/sdi_catalog/salesItemDetails.do?id=114576")</f>
        <v>https://www.fabsurplus.com/sdi_catalog/salesItemDetails.do?id=114576</v>
      </c>
      <c r="B1194" s="3" t="s">
        <v>3177</v>
      </c>
      <c r="C1194" s="3" t="s">
        <v>1050</v>
      </c>
      <c r="D1194" s="3" t="s">
        <v>3178</v>
      </c>
      <c r="E1194" s="3" t="s">
        <v>3179</v>
      </c>
      <c r="F1194" s="3" t="s">
        <v>16</v>
      </c>
      <c r="G1194" s="3" t="s">
        <v>3123</v>
      </c>
      <c r="H1194" s="3"/>
      <c r="I1194" s="3"/>
      <c r="J1194" s="3" t="s">
        <v>19</v>
      </c>
      <c r="K1194" s="3"/>
      <c r="L1194" s="3" t="s">
        <v>63</v>
      </c>
    </row>
    <row r="1195" customFormat="false" ht="11.9" hidden="false" customHeight="true" outlineLevel="0" collapsed="false">
      <c r="A1195" s="2" t="str">
        <f aca="false">HYPERLINK("https://www.fabsurplus.com/sdi_catalog/salesItemDetails.do?id=115356")</f>
        <v>https://www.fabsurplus.com/sdi_catalog/salesItemDetails.do?id=115356</v>
      </c>
      <c r="B1195" s="2" t="s">
        <v>3180</v>
      </c>
      <c r="C1195" s="2" t="s">
        <v>1050</v>
      </c>
      <c r="D1195" s="2" t="s">
        <v>3181</v>
      </c>
      <c r="E1195" s="2" t="s">
        <v>3182</v>
      </c>
      <c r="F1195" s="2" t="s">
        <v>16</v>
      </c>
      <c r="G1195" s="2" t="s">
        <v>26</v>
      </c>
      <c r="H1195" s="2"/>
      <c r="I1195" s="2"/>
      <c r="J1195" s="2" t="s">
        <v>19</v>
      </c>
      <c r="K1195" s="2"/>
      <c r="L1195" s="2" t="s">
        <v>63</v>
      </c>
    </row>
    <row r="1196" customFormat="false" ht="11.9" hidden="false" customHeight="true" outlineLevel="0" collapsed="false">
      <c r="A1196" s="3" t="str">
        <f aca="false">HYPERLINK("https://www.fabsurplus.com/sdi_catalog/salesItemDetails.do?id=114574")</f>
        <v>https://www.fabsurplus.com/sdi_catalog/salesItemDetails.do?id=114574</v>
      </c>
      <c r="B1196" s="3" t="s">
        <v>3183</v>
      </c>
      <c r="C1196" s="3" t="s">
        <v>1050</v>
      </c>
      <c r="D1196" s="3" t="s">
        <v>3184</v>
      </c>
      <c r="E1196" s="3" t="s">
        <v>3185</v>
      </c>
      <c r="F1196" s="3" t="s">
        <v>16</v>
      </c>
      <c r="G1196" s="3" t="s">
        <v>3123</v>
      </c>
      <c r="H1196" s="3"/>
      <c r="I1196" s="3"/>
      <c r="J1196" s="3" t="s">
        <v>19</v>
      </c>
      <c r="K1196" s="3"/>
      <c r="L1196" s="3" t="s">
        <v>63</v>
      </c>
    </row>
    <row r="1197" customFormat="false" ht="11.9" hidden="false" customHeight="true" outlineLevel="0" collapsed="false">
      <c r="A1197" s="2" t="str">
        <f aca="false">HYPERLINK("https://www.fabsurplus.com/sdi_catalog/salesItemDetails.do?id=114560")</f>
        <v>https://www.fabsurplus.com/sdi_catalog/salesItemDetails.do?id=114560</v>
      </c>
      <c r="B1197" s="2" t="s">
        <v>3186</v>
      </c>
      <c r="C1197" s="2" t="s">
        <v>1050</v>
      </c>
      <c r="D1197" s="2" t="s">
        <v>3184</v>
      </c>
      <c r="E1197" s="2" t="s">
        <v>3185</v>
      </c>
      <c r="F1197" s="2" t="s">
        <v>16</v>
      </c>
      <c r="G1197" s="2" t="s">
        <v>3123</v>
      </c>
      <c r="H1197" s="2"/>
      <c r="I1197" s="2"/>
      <c r="J1197" s="2" t="s">
        <v>19</v>
      </c>
      <c r="K1197" s="2"/>
      <c r="L1197" s="2" t="s">
        <v>63</v>
      </c>
    </row>
    <row r="1198" customFormat="false" ht="11.9" hidden="false" customHeight="true" outlineLevel="0" collapsed="false">
      <c r="A1198" s="3" t="str">
        <f aca="false">HYPERLINK("https://www.fabsurplus.com/sdi_catalog/salesItemDetails.do?id=115357")</f>
        <v>https://www.fabsurplus.com/sdi_catalog/salesItemDetails.do?id=115357</v>
      </c>
      <c r="B1198" s="3" t="s">
        <v>3187</v>
      </c>
      <c r="C1198" s="3" t="s">
        <v>1050</v>
      </c>
      <c r="D1198" s="3" t="s">
        <v>3188</v>
      </c>
      <c r="E1198" s="3" t="s">
        <v>3189</v>
      </c>
      <c r="F1198" s="3" t="s">
        <v>16</v>
      </c>
      <c r="G1198" s="3" t="s">
        <v>26</v>
      </c>
      <c r="H1198" s="3"/>
      <c r="I1198" s="3"/>
      <c r="J1198" s="3" t="s">
        <v>19</v>
      </c>
      <c r="K1198" s="3"/>
      <c r="L1198" s="3" t="s">
        <v>63</v>
      </c>
    </row>
    <row r="1199" customFormat="false" ht="11.9" hidden="false" customHeight="true" outlineLevel="0" collapsed="false">
      <c r="A1199" s="3" t="str">
        <f aca="false">HYPERLINK("https://www.fabsurplus.com/sdi_catalog/salesItemDetails.do?id=107327")</f>
        <v>https://www.fabsurplus.com/sdi_catalog/salesItemDetails.do?id=107327</v>
      </c>
      <c r="B1199" s="3" t="s">
        <v>3190</v>
      </c>
      <c r="C1199" s="3" t="s">
        <v>1050</v>
      </c>
      <c r="D1199" s="3" t="s">
        <v>3191</v>
      </c>
      <c r="E1199" s="3" t="s">
        <v>1001</v>
      </c>
      <c r="F1199" s="3" t="s">
        <v>16</v>
      </c>
      <c r="G1199" s="3" t="s">
        <v>26</v>
      </c>
      <c r="H1199" s="3" t="s">
        <v>138</v>
      </c>
      <c r="I1199" s="3"/>
      <c r="J1199" s="3" t="s">
        <v>42</v>
      </c>
      <c r="K1199" s="3" t="s">
        <v>20</v>
      </c>
      <c r="L1199" s="5" t="s">
        <v>3192</v>
      </c>
    </row>
    <row r="1200" customFormat="false" ht="11.9" hidden="false" customHeight="true" outlineLevel="0" collapsed="false">
      <c r="A1200" s="2" t="str">
        <f aca="false">HYPERLINK("https://www.fabsurplus.com/sdi_catalog/salesItemDetails.do?id=105858")</f>
        <v>https://www.fabsurplus.com/sdi_catalog/salesItemDetails.do?id=105858</v>
      </c>
      <c r="B1200" s="2" t="s">
        <v>3193</v>
      </c>
      <c r="C1200" s="2" t="s">
        <v>3194</v>
      </c>
      <c r="D1200" s="2" t="s">
        <v>3195</v>
      </c>
      <c r="E1200" s="2" t="s">
        <v>3196</v>
      </c>
      <c r="F1200" s="2" t="s">
        <v>16</v>
      </c>
      <c r="G1200" s="2" t="s">
        <v>3114</v>
      </c>
      <c r="H1200" s="2" t="s">
        <v>35</v>
      </c>
      <c r="I1200" s="7" t="n">
        <v>35581.9166666667</v>
      </c>
      <c r="J1200" s="2" t="s">
        <v>19</v>
      </c>
      <c r="K1200" s="2" t="s">
        <v>20</v>
      </c>
      <c r="L1200" s="6" t="s">
        <v>3197</v>
      </c>
    </row>
    <row r="1201" customFormat="false" ht="11.9" hidden="false" customHeight="true" outlineLevel="0" collapsed="false">
      <c r="A1201" s="2" t="str">
        <f aca="false">HYPERLINK("https://www.fabsurplus.com/sdi_catalog/salesItemDetails.do?id=6537")</f>
        <v>https://www.fabsurplus.com/sdi_catalog/salesItemDetails.do?id=6537</v>
      </c>
      <c r="B1201" s="2" t="s">
        <v>3198</v>
      </c>
      <c r="C1201" s="2" t="s">
        <v>3194</v>
      </c>
      <c r="D1201" s="2" t="s">
        <v>3199</v>
      </c>
      <c r="E1201" s="2" t="s">
        <v>3200</v>
      </c>
      <c r="F1201" s="2" t="s">
        <v>16</v>
      </c>
      <c r="G1201" s="2" t="s">
        <v>26</v>
      </c>
      <c r="H1201" s="2" t="s">
        <v>35</v>
      </c>
      <c r="I1201" s="7" t="n">
        <v>34790</v>
      </c>
      <c r="J1201" s="2" t="s">
        <v>19</v>
      </c>
      <c r="K1201" s="2" t="s">
        <v>20</v>
      </c>
      <c r="L1201" s="2"/>
    </row>
    <row r="1202" customFormat="false" ht="11.9" hidden="false" customHeight="true" outlineLevel="0" collapsed="false">
      <c r="A1202" s="3" t="str">
        <f aca="false">HYPERLINK("https://www.fabsurplus.com/sdi_catalog/salesItemDetails.do?id=6540")</f>
        <v>https://www.fabsurplus.com/sdi_catalog/salesItemDetails.do?id=6540</v>
      </c>
      <c r="B1202" s="3" t="s">
        <v>3201</v>
      </c>
      <c r="C1202" s="3" t="s">
        <v>3194</v>
      </c>
      <c r="D1202" s="3" t="s">
        <v>3202</v>
      </c>
      <c r="E1202" s="3" t="s">
        <v>3203</v>
      </c>
      <c r="F1202" s="3" t="s">
        <v>16</v>
      </c>
      <c r="G1202" s="3" t="s">
        <v>26</v>
      </c>
      <c r="H1202" s="3" t="s">
        <v>35</v>
      </c>
      <c r="I1202" s="4" t="n">
        <v>35125</v>
      </c>
      <c r="J1202" s="3" t="s">
        <v>19</v>
      </c>
      <c r="K1202" s="3" t="s">
        <v>20</v>
      </c>
      <c r="L1202" s="3"/>
    </row>
    <row r="1203" customFormat="false" ht="11.9" hidden="false" customHeight="true" outlineLevel="0" collapsed="false">
      <c r="A1203" s="2" t="str">
        <f aca="false">HYPERLINK("https://www.fabsurplus.com/sdi_catalog/salesItemDetails.do?id=105851")</f>
        <v>https://www.fabsurplus.com/sdi_catalog/salesItemDetails.do?id=105851</v>
      </c>
      <c r="B1203" s="2" t="s">
        <v>3204</v>
      </c>
      <c r="C1203" s="2" t="s">
        <v>3194</v>
      </c>
      <c r="D1203" s="2" t="s">
        <v>3205</v>
      </c>
      <c r="E1203" s="2" t="s">
        <v>3206</v>
      </c>
      <c r="F1203" s="2" t="s">
        <v>16</v>
      </c>
      <c r="G1203" s="2" t="s">
        <v>26</v>
      </c>
      <c r="H1203" s="2" t="s">
        <v>35</v>
      </c>
      <c r="I1203" s="7" t="n">
        <v>34819.9166666667</v>
      </c>
      <c r="J1203" s="2" t="s">
        <v>19</v>
      </c>
      <c r="K1203" s="2" t="s">
        <v>20</v>
      </c>
      <c r="L1203" s="2" t="s">
        <v>3207</v>
      </c>
    </row>
    <row r="1204" customFormat="false" ht="11.9" hidden="false" customHeight="true" outlineLevel="0" collapsed="false">
      <c r="A1204" s="2" t="str">
        <f aca="false">HYPERLINK("https://www.fabsurplus.com/sdi_catalog/salesItemDetails.do?id=6539")</f>
        <v>https://www.fabsurplus.com/sdi_catalog/salesItemDetails.do?id=6539</v>
      </c>
      <c r="B1204" s="2" t="s">
        <v>3208</v>
      </c>
      <c r="C1204" s="2" t="s">
        <v>3194</v>
      </c>
      <c r="D1204" s="2" t="s">
        <v>3209</v>
      </c>
      <c r="E1204" s="2" t="s">
        <v>3210</v>
      </c>
      <c r="F1204" s="2" t="s">
        <v>16</v>
      </c>
      <c r="G1204" s="2" t="s">
        <v>26</v>
      </c>
      <c r="H1204" s="2" t="s">
        <v>35</v>
      </c>
      <c r="I1204" s="7" t="n">
        <v>35156</v>
      </c>
      <c r="J1204" s="2" t="s">
        <v>19</v>
      </c>
      <c r="K1204" s="2" t="s">
        <v>20</v>
      </c>
      <c r="L1204" s="2"/>
    </row>
    <row r="1205" customFormat="false" ht="11.9" hidden="false" customHeight="true" outlineLevel="0" collapsed="false">
      <c r="A1205" s="3" t="str">
        <f aca="false">HYPERLINK("https://www.fabsurplus.com/sdi_catalog/salesItemDetails.do?id=6538")</f>
        <v>https://www.fabsurplus.com/sdi_catalog/salesItemDetails.do?id=6538</v>
      </c>
      <c r="B1205" s="3" t="s">
        <v>3211</v>
      </c>
      <c r="C1205" s="3" t="s">
        <v>3194</v>
      </c>
      <c r="D1205" s="3" t="s">
        <v>3212</v>
      </c>
      <c r="E1205" s="3" t="s">
        <v>3213</v>
      </c>
      <c r="F1205" s="3" t="s">
        <v>16</v>
      </c>
      <c r="G1205" s="3" t="s">
        <v>26</v>
      </c>
      <c r="H1205" s="3" t="s">
        <v>35</v>
      </c>
      <c r="I1205" s="4" t="n">
        <v>34700</v>
      </c>
      <c r="J1205" s="3" t="s">
        <v>19</v>
      </c>
      <c r="K1205" s="3" t="s">
        <v>20</v>
      </c>
      <c r="L1205" s="3"/>
    </row>
    <row r="1206" customFormat="false" ht="11.9" hidden="false" customHeight="true" outlineLevel="0" collapsed="false">
      <c r="A1206" s="3" t="str">
        <f aca="false">HYPERLINK("https://www.fabsurplus.com/sdi_catalog/salesItemDetails.do?id=110617")</f>
        <v>https://www.fabsurplus.com/sdi_catalog/salesItemDetails.do?id=110617</v>
      </c>
      <c r="B1206" s="3" t="s">
        <v>3214</v>
      </c>
      <c r="C1206" s="3" t="s">
        <v>3194</v>
      </c>
      <c r="D1206" s="3" t="s">
        <v>3215</v>
      </c>
      <c r="E1206" s="3" t="s">
        <v>3216</v>
      </c>
      <c r="F1206" s="3" t="s">
        <v>3217</v>
      </c>
      <c r="G1206" s="3" t="s">
        <v>17</v>
      </c>
      <c r="H1206" s="3"/>
      <c r="I1206" s="3"/>
      <c r="J1206" s="3" t="s">
        <v>19</v>
      </c>
      <c r="K1206" s="3" t="s">
        <v>20</v>
      </c>
      <c r="L1206" s="5" t="s">
        <v>3218</v>
      </c>
    </row>
    <row r="1207" customFormat="false" ht="11.9" hidden="false" customHeight="true" outlineLevel="0" collapsed="false">
      <c r="A1207" s="2" t="str">
        <f aca="false">HYPERLINK("https://www.fabsurplus.com/sdi_catalog/salesItemDetails.do?id=105853")</f>
        <v>https://www.fabsurplus.com/sdi_catalog/salesItemDetails.do?id=105853</v>
      </c>
      <c r="B1207" s="2" t="s">
        <v>3219</v>
      </c>
      <c r="C1207" s="2" t="s">
        <v>3194</v>
      </c>
      <c r="D1207" s="2" t="s">
        <v>3220</v>
      </c>
      <c r="E1207" s="2" t="s">
        <v>3221</v>
      </c>
      <c r="F1207" s="2" t="s">
        <v>77</v>
      </c>
      <c r="G1207" s="2" t="s">
        <v>26</v>
      </c>
      <c r="H1207" s="2" t="s">
        <v>35</v>
      </c>
      <c r="I1207" s="7" t="n">
        <v>32993.9166666667</v>
      </c>
      <c r="J1207" s="2" t="s">
        <v>19</v>
      </c>
      <c r="K1207" s="2" t="s">
        <v>20</v>
      </c>
      <c r="L1207" s="2" t="s">
        <v>3222</v>
      </c>
    </row>
    <row r="1208" customFormat="false" ht="11.9" hidden="false" customHeight="true" outlineLevel="0" collapsed="false">
      <c r="A1208" s="3" t="str">
        <f aca="false">HYPERLINK("https://www.fabsurplus.com/sdi_catalog/salesItemDetails.do?id=6536")</f>
        <v>https://www.fabsurplus.com/sdi_catalog/salesItemDetails.do?id=6536</v>
      </c>
      <c r="B1208" s="3" t="s">
        <v>3223</v>
      </c>
      <c r="C1208" s="3" t="s">
        <v>3194</v>
      </c>
      <c r="D1208" s="3" t="s">
        <v>3224</v>
      </c>
      <c r="E1208" s="3" t="s">
        <v>3225</v>
      </c>
      <c r="F1208" s="3" t="s">
        <v>16</v>
      </c>
      <c r="G1208" s="3" t="s">
        <v>26</v>
      </c>
      <c r="H1208" s="3" t="s">
        <v>35</v>
      </c>
      <c r="I1208" s="4" t="n">
        <v>34516</v>
      </c>
      <c r="J1208" s="3" t="s">
        <v>19</v>
      </c>
      <c r="K1208" s="3" t="s">
        <v>20</v>
      </c>
      <c r="L1208" s="3"/>
    </row>
    <row r="1209" customFormat="false" ht="11.9" hidden="false" customHeight="true" outlineLevel="0" collapsed="false">
      <c r="A1209" s="3" t="str">
        <f aca="false">HYPERLINK("https://www.fabsurplus.com/sdi_catalog/salesItemDetails.do?id=105852")</f>
        <v>https://www.fabsurplus.com/sdi_catalog/salesItemDetails.do?id=105852</v>
      </c>
      <c r="B1209" s="3" t="s">
        <v>3226</v>
      </c>
      <c r="C1209" s="3" t="s">
        <v>3194</v>
      </c>
      <c r="D1209" s="3" t="s">
        <v>3227</v>
      </c>
      <c r="E1209" s="3" t="s">
        <v>3228</v>
      </c>
      <c r="F1209" s="3" t="s">
        <v>16</v>
      </c>
      <c r="G1209" s="3" t="s">
        <v>26</v>
      </c>
      <c r="H1209" s="3" t="s">
        <v>35</v>
      </c>
      <c r="I1209" s="4" t="n">
        <v>34515.9166666667</v>
      </c>
      <c r="J1209" s="3" t="s">
        <v>19</v>
      </c>
      <c r="K1209" s="3" t="s">
        <v>20</v>
      </c>
      <c r="L1209" s="5" t="s">
        <v>3229</v>
      </c>
    </row>
    <row r="1210" customFormat="false" ht="11.9" hidden="false" customHeight="true" outlineLevel="0" collapsed="false">
      <c r="A1210" s="3" t="str">
        <f aca="false">HYPERLINK("https://www.fabsurplus.com/sdi_catalog/salesItemDetails.do?id=105854")</f>
        <v>https://www.fabsurplus.com/sdi_catalog/salesItemDetails.do?id=105854</v>
      </c>
      <c r="B1210" s="3" t="s">
        <v>3230</v>
      </c>
      <c r="C1210" s="3" t="s">
        <v>3194</v>
      </c>
      <c r="D1210" s="3" t="s">
        <v>3231</v>
      </c>
      <c r="E1210" s="3" t="s">
        <v>3232</v>
      </c>
      <c r="F1210" s="3" t="s">
        <v>16</v>
      </c>
      <c r="G1210" s="3" t="s">
        <v>26</v>
      </c>
      <c r="H1210" s="3" t="s">
        <v>35</v>
      </c>
      <c r="I1210" s="4" t="n">
        <v>34212.9166666667</v>
      </c>
      <c r="J1210" s="3" t="s">
        <v>19</v>
      </c>
      <c r="K1210" s="3" t="s">
        <v>20</v>
      </c>
      <c r="L1210" s="3" t="s">
        <v>3233</v>
      </c>
    </row>
    <row r="1211" customFormat="false" ht="11.9" hidden="false" customHeight="true" outlineLevel="0" collapsed="false">
      <c r="A1211" s="2" t="str">
        <f aca="false">HYPERLINK("https://www.fabsurplus.com/sdi_catalog/salesItemDetails.do?id=32217")</f>
        <v>https://www.fabsurplus.com/sdi_catalog/salesItemDetails.do?id=32217</v>
      </c>
      <c r="B1211" s="2" t="s">
        <v>3234</v>
      </c>
      <c r="C1211" s="2" t="s">
        <v>3235</v>
      </c>
      <c r="D1211" s="2" t="s">
        <v>3236</v>
      </c>
      <c r="E1211" s="2" t="s">
        <v>3237</v>
      </c>
      <c r="F1211" s="2" t="s">
        <v>16</v>
      </c>
      <c r="G1211" s="2" t="s">
        <v>3238</v>
      </c>
      <c r="H1211" s="2" t="s">
        <v>27</v>
      </c>
      <c r="I1211" s="2"/>
      <c r="J1211" s="2" t="s">
        <v>19</v>
      </c>
      <c r="K1211" s="2" t="s">
        <v>20</v>
      </c>
      <c r="L1211" s="2" t="s">
        <v>3239</v>
      </c>
    </row>
    <row r="1212" customFormat="false" ht="11.9" hidden="false" customHeight="true" outlineLevel="0" collapsed="false">
      <c r="A1212" s="3" t="str">
        <f aca="false">HYPERLINK("https://www.fabsurplus.com/sdi_catalog/salesItemDetails.do?id=83894")</f>
        <v>https://www.fabsurplus.com/sdi_catalog/salesItemDetails.do?id=83894</v>
      </c>
      <c r="B1212" s="3" t="s">
        <v>3240</v>
      </c>
      <c r="C1212" s="3" t="s">
        <v>3235</v>
      </c>
      <c r="D1212" s="3" t="s">
        <v>3236</v>
      </c>
      <c r="E1212" s="3" t="s">
        <v>3237</v>
      </c>
      <c r="F1212" s="3" t="s">
        <v>16</v>
      </c>
      <c r="G1212" s="3" t="s">
        <v>3238</v>
      </c>
      <c r="H1212" s="3" t="s">
        <v>27</v>
      </c>
      <c r="I1212" s="3"/>
      <c r="J1212" s="3" t="s">
        <v>19</v>
      </c>
      <c r="K1212" s="3" t="s">
        <v>20</v>
      </c>
      <c r="L1212" s="3" t="s">
        <v>3239</v>
      </c>
    </row>
    <row r="1213" customFormat="false" ht="11.9" hidden="false" customHeight="true" outlineLevel="0" collapsed="false">
      <c r="A1213" s="2" t="str">
        <f aca="false">HYPERLINK("https://www.fabsurplus.com/sdi_catalog/salesItemDetails.do?id=77168")</f>
        <v>https://www.fabsurplus.com/sdi_catalog/salesItemDetails.do?id=77168</v>
      </c>
      <c r="B1213" s="2" t="s">
        <v>3241</v>
      </c>
      <c r="C1213" s="2" t="s">
        <v>3242</v>
      </c>
      <c r="D1213" s="2" t="s">
        <v>3243</v>
      </c>
      <c r="E1213" s="2" t="s">
        <v>3244</v>
      </c>
      <c r="F1213" s="2" t="s">
        <v>16</v>
      </c>
      <c r="G1213" s="2" t="s">
        <v>26</v>
      </c>
      <c r="H1213" s="2" t="s">
        <v>944</v>
      </c>
      <c r="I1213" s="2"/>
      <c r="J1213" s="2" t="s">
        <v>19</v>
      </c>
      <c r="K1213" s="2" t="s">
        <v>20</v>
      </c>
      <c r="L1213" s="6" t="s">
        <v>3245</v>
      </c>
    </row>
    <row r="1214" customFormat="false" ht="11.9" hidden="false" customHeight="true" outlineLevel="0" collapsed="false">
      <c r="A1214" s="3" t="str">
        <f aca="false">HYPERLINK("https://www.fabsurplus.com/sdi_catalog/salesItemDetails.do?id=83571")</f>
        <v>https://www.fabsurplus.com/sdi_catalog/salesItemDetails.do?id=83571</v>
      </c>
      <c r="B1214" s="3" t="s">
        <v>3246</v>
      </c>
      <c r="C1214" s="3" t="s">
        <v>3242</v>
      </c>
      <c r="D1214" s="3" t="s">
        <v>3247</v>
      </c>
      <c r="E1214" s="3" t="s">
        <v>3248</v>
      </c>
      <c r="F1214" s="3" t="s">
        <v>16</v>
      </c>
      <c r="G1214" s="3" t="s">
        <v>26</v>
      </c>
      <c r="H1214" s="3" t="s">
        <v>944</v>
      </c>
      <c r="I1214" s="3"/>
      <c r="J1214" s="3" t="s">
        <v>19</v>
      </c>
      <c r="K1214" s="3" t="s">
        <v>20</v>
      </c>
      <c r="L1214" s="5" t="s">
        <v>3249</v>
      </c>
    </row>
    <row r="1215" customFormat="false" ht="11.9" hidden="false" customHeight="true" outlineLevel="0" collapsed="false">
      <c r="A1215" s="2" t="str">
        <f aca="false">HYPERLINK("https://www.fabsurplus.com/sdi_catalog/salesItemDetails.do?id=115381")</f>
        <v>https://www.fabsurplus.com/sdi_catalog/salesItemDetails.do?id=115381</v>
      </c>
      <c r="B1215" s="2" t="s">
        <v>3250</v>
      </c>
      <c r="C1215" s="2" t="s">
        <v>3251</v>
      </c>
      <c r="D1215" s="2" t="s">
        <v>3252</v>
      </c>
      <c r="E1215" s="2" t="s">
        <v>3253</v>
      </c>
      <c r="F1215" s="2" t="s">
        <v>16</v>
      </c>
      <c r="G1215" s="2" t="s">
        <v>26</v>
      </c>
      <c r="H1215" s="2"/>
      <c r="I1215" s="2"/>
      <c r="J1215" s="2" t="s">
        <v>19</v>
      </c>
      <c r="K1215" s="2"/>
      <c r="L1215" s="2" t="s">
        <v>63</v>
      </c>
    </row>
    <row r="1216" customFormat="false" ht="11.9" hidden="false" customHeight="true" outlineLevel="0" collapsed="false">
      <c r="A1216" s="3" t="str">
        <f aca="false">HYPERLINK("https://www.fabsurplus.com/sdi_catalog/salesItemDetails.do?id=81828")</f>
        <v>https://www.fabsurplus.com/sdi_catalog/salesItemDetails.do?id=81828</v>
      </c>
      <c r="B1216" s="3" t="s">
        <v>3254</v>
      </c>
      <c r="C1216" s="3" t="s">
        <v>3255</v>
      </c>
      <c r="D1216" s="3" t="s">
        <v>3256</v>
      </c>
      <c r="E1216" s="3" t="s">
        <v>3257</v>
      </c>
      <c r="F1216" s="3" t="s">
        <v>16</v>
      </c>
      <c r="G1216" s="3" t="s">
        <v>26</v>
      </c>
      <c r="H1216" s="3" t="s">
        <v>35</v>
      </c>
      <c r="I1216" s="4" t="n">
        <v>40238</v>
      </c>
      <c r="J1216" s="3" t="s">
        <v>19</v>
      </c>
      <c r="K1216" s="3" t="s">
        <v>20</v>
      </c>
      <c r="L1216" s="5" t="s">
        <v>3258</v>
      </c>
    </row>
    <row r="1217" customFormat="false" ht="11.9" hidden="false" customHeight="true" outlineLevel="0" collapsed="false">
      <c r="A1217" s="2" t="str">
        <f aca="false">HYPERLINK("https://www.fabsurplus.com/sdi_catalog/salesItemDetails.do?id=81827")</f>
        <v>https://www.fabsurplus.com/sdi_catalog/salesItemDetails.do?id=81827</v>
      </c>
      <c r="B1217" s="2" t="s">
        <v>3259</v>
      </c>
      <c r="C1217" s="2" t="s">
        <v>3255</v>
      </c>
      <c r="D1217" s="2" t="s">
        <v>3260</v>
      </c>
      <c r="E1217" s="2" t="s">
        <v>3261</v>
      </c>
      <c r="F1217" s="2" t="s">
        <v>16</v>
      </c>
      <c r="G1217" s="2" t="s">
        <v>26</v>
      </c>
      <c r="H1217" s="2" t="s">
        <v>883</v>
      </c>
      <c r="I1217" s="2"/>
      <c r="J1217" s="2" t="s">
        <v>19</v>
      </c>
      <c r="K1217" s="2" t="s">
        <v>20</v>
      </c>
      <c r="L1217" s="6" t="s">
        <v>3262</v>
      </c>
    </row>
    <row r="1218" customFormat="false" ht="11.9" hidden="false" customHeight="true" outlineLevel="0" collapsed="false">
      <c r="A1218" s="2" t="str">
        <f aca="false">HYPERLINK("https://www.fabsurplus.com/sdi_catalog/salesItemDetails.do?id=109104")</f>
        <v>https://www.fabsurplus.com/sdi_catalog/salesItemDetails.do?id=109104</v>
      </c>
      <c r="B1218" s="2" t="s">
        <v>3263</v>
      </c>
      <c r="C1218" s="2" t="s">
        <v>3255</v>
      </c>
      <c r="D1218" s="2" t="s">
        <v>3264</v>
      </c>
      <c r="E1218" s="2" t="s">
        <v>3265</v>
      </c>
      <c r="F1218" s="2" t="s">
        <v>3266</v>
      </c>
      <c r="G1218" s="2" t="s">
        <v>26</v>
      </c>
      <c r="H1218" s="2" t="s">
        <v>27</v>
      </c>
      <c r="I1218" s="7" t="n">
        <v>39965</v>
      </c>
      <c r="J1218" s="2" t="s">
        <v>19</v>
      </c>
      <c r="K1218" s="2" t="s">
        <v>20</v>
      </c>
      <c r="L1218" s="6" t="s">
        <v>3267</v>
      </c>
    </row>
    <row r="1219" customFormat="false" ht="11.9" hidden="false" customHeight="true" outlineLevel="0" collapsed="false">
      <c r="A1219" s="2" t="str">
        <f aca="false">HYPERLINK("https://www.fabsurplus.com/sdi_catalog/salesItemDetails.do?id=109942")</f>
        <v>https://www.fabsurplus.com/sdi_catalog/salesItemDetails.do?id=109942</v>
      </c>
      <c r="B1219" s="2" t="s">
        <v>3268</v>
      </c>
      <c r="C1219" s="2" t="s">
        <v>3269</v>
      </c>
      <c r="D1219" s="2" t="s">
        <v>3270</v>
      </c>
      <c r="E1219" s="2" t="s">
        <v>802</v>
      </c>
      <c r="F1219" s="2" t="s">
        <v>16</v>
      </c>
      <c r="G1219" s="2" t="s">
        <v>41</v>
      </c>
      <c r="H1219" s="2"/>
      <c r="I1219" s="2"/>
      <c r="J1219" s="2" t="s">
        <v>42</v>
      </c>
      <c r="K1219" s="2"/>
      <c r="L1219" s="2" t="s">
        <v>3271</v>
      </c>
    </row>
    <row r="1220" customFormat="false" ht="11.9" hidden="false" customHeight="true" outlineLevel="0" collapsed="false">
      <c r="A1220" s="3" t="str">
        <f aca="false">HYPERLINK("https://www.fabsurplus.com/sdi_catalog/salesItemDetails.do?id=83558")</f>
        <v>https://www.fabsurplus.com/sdi_catalog/salesItemDetails.do?id=83558</v>
      </c>
      <c r="B1220" s="3" t="s">
        <v>3272</v>
      </c>
      <c r="C1220" s="3" t="s">
        <v>3269</v>
      </c>
      <c r="D1220" s="3" t="s">
        <v>3273</v>
      </c>
      <c r="E1220" s="3" t="s">
        <v>3274</v>
      </c>
      <c r="F1220" s="3" t="s">
        <v>16</v>
      </c>
      <c r="G1220" s="3" t="s">
        <v>41</v>
      </c>
      <c r="H1220" s="3" t="s">
        <v>27</v>
      </c>
      <c r="I1220" s="3"/>
      <c r="J1220" s="3" t="s">
        <v>19</v>
      </c>
      <c r="K1220" s="3" t="s">
        <v>20</v>
      </c>
      <c r="L1220" s="5" t="s">
        <v>3275</v>
      </c>
    </row>
    <row r="1221" customFormat="false" ht="11.9" hidden="false" customHeight="true" outlineLevel="0" collapsed="false">
      <c r="A1221" s="2" t="str">
        <f aca="false">HYPERLINK("https://www.fabsurplus.com/sdi_catalog/salesItemDetails.do?id=81873")</f>
        <v>https://www.fabsurplus.com/sdi_catalog/salesItemDetails.do?id=81873</v>
      </c>
      <c r="B1221" s="2" t="s">
        <v>3276</v>
      </c>
      <c r="C1221" s="2" t="s">
        <v>3269</v>
      </c>
      <c r="D1221" s="2" t="s">
        <v>3277</v>
      </c>
      <c r="E1221" s="2" t="s">
        <v>3274</v>
      </c>
      <c r="F1221" s="2" t="s">
        <v>16</v>
      </c>
      <c r="G1221" s="2" t="s">
        <v>26</v>
      </c>
      <c r="H1221" s="2" t="s">
        <v>27</v>
      </c>
      <c r="I1221" s="2"/>
      <c r="J1221" s="2" t="s">
        <v>19</v>
      </c>
      <c r="K1221" s="2" t="s">
        <v>20</v>
      </c>
      <c r="L1221" s="6" t="s">
        <v>3278</v>
      </c>
    </row>
    <row r="1222" customFormat="false" ht="11.9" hidden="false" customHeight="true" outlineLevel="0" collapsed="false">
      <c r="A1222" s="2" t="str">
        <f aca="false">HYPERLINK("https://www.fabsurplus.com/sdi_catalog/salesItemDetails.do?id=83557")</f>
        <v>https://www.fabsurplus.com/sdi_catalog/salesItemDetails.do?id=83557</v>
      </c>
      <c r="B1222" s="2" t="s">
        <v>3279</v>
      </c>
      <c r="C1222" s="2" t="s">
        <v>3269</v>
      </c>
      <c r="D1222" s="2" t="s">
        <v>3280</v>
      </c>
      <c r="E1222" s="2" t="s">
        <v>3274</v>
      </c>
      <c r="F1222" s="2" t="s">
        <v>16</v>
      </c>
      <c r="G1222" s="2"/>
      <c r="H1222" s="2" t="s">
        <v>27</v>
      </c>
      <c r="I1222" s="2"/>
      <c r="J1222" s="2" t="s">
        <v>19</v>
      </c>
      <c r="K1222" s="2" t="s">
        <v>20</v>
      </c>
      <c r="L1222" s="6" t="s">
        <v>3275</v>
      </c>
    </row>
    <row r="1223" customFormat="false" ht="11.9" hidden="false" customHeight="true" outlineLevel="0" collapsed="false">
      <c r="A1223" s="2" t="str">
        <f aca="false">HYPERLINK("https://www.fabsurplus.com/sdi_catalog/salesItemDetails.do?id=81876")</f>
        <v>https://www.fabsurplus.com/sdi_catalog/salesItemDetails.do?id=81876</v>
      </c>
      <c r="B1223" s="2" t="s">
        <v>3281</v>
      </c>
      <c r="C1223" s="2" t="s">
        <v>3269</v>
      </c>
      <c r="D1223" s="2" t="s">
        <v>3282</v>
      </c>
      <c r="E1223" s="2" t="s">
        <v>802</v>
      </c>
      <c r="F1223" s="2" t="s">
        <v>16</v>
      </c>
      <c r="G1223" s="2"/>
      <c r="H1223" s="2" t="s">
        <v>27</v>
      </c>
      <c r="I1223" s="2"/>
      <c r="J1223" s="2" t="s">
        <v>19</v>
      </c>
      <c r="K1223" s="2" t="s">
        <v>20</v>
      </c>
      <c r="L1223" s="6" t="s">
        <v>3283</v>
      </c>
    </row>
    <row r="1224" customFormat="false" ht="11.9" hidden="false" customHeight="true" outlineLevel="0" collapsed="false">
      <c r="A1224" s="2" t="str">
        <f aca="false">HYPERLINK("https://www.fabsurplus.com/sdi_catalog/salesItemDetails.do?id=82227")</f>
        <v>https://www.fabsurplus.com/sdi_catalog/salesItemDetails.do?id=82227</v>
      </c>
      <c r="B1224" s="2" t="s">
        <v>3284</v>
      </c>
      <c r="C1224" s="2" t="s">
        <v>3269</v>
      </c>
      <c r="D1224" s="2" t="s">
        <v>3285</v>
      </c>
      <c r="E1224" s="2" t="s">
        <v>3286</v>
      </c>
      <c r="F1224" s="2" t="s">
        <v>77</v>
      </c>
      <c r="G1224" s="2" t="s">
        <v>26</v>
      </c>
      <c r="H1224" s="2" t="s">
        <v>883</v>
      </c>
      <c r="I1224" s="7" t="n">
        <v>40695</v>
      </c>
      <c r="J1224" s="2" t="s">
        <v>19</v>
      </c>
      <c r="K1224" s="2" t="s">
        <v>20</v>
      </c>
      <c r="L1224" s="6" t="s">
        <v>3287</v>
      </c>
    </row>
    <row r="1225" customFormat="false" ht="11.9" hidden="false" customHeight="true" outlineLevel="0" collapsed="false">
      <c r="A1225" s="3" t="str">
        <f aca="false">HYPERLINK("https://www.fabsurplus.com/sdi_catalog/salesItemDetails.do?id=82176")</f>
        <v>https://www.fabsurplus.com/sdi_catalog/salesItemDetails.do?id=82176</v>
      </c>
      <c r="B1225" s="3" t="s">
        <v>3288</v>
      </c>
      <c r="C1225" s="3" t="s">
        <v>3269</v>
      </c>
      <c r="D1225" s="3" t="s">
        <v>3289</v>
      </c>
      <c r="E1225" s="3" t="s">
        <v>3290</v>
      </c>
      <c r="F1225" s="3" t="s">
        <v>16</v>
      </c>
      <c r="G1225" s="3"/>
      <c r="H1225" s="3" t="s">
        <v>27</v>
      </c>
      <c r="I1225" s="3"/>
      <c r="J1225" s="3" t="s">
        <v>19</v>
      </c>
      <c r="K1225" s="3" t="s">
        <v>20</v>
      </c>
      <c r="L1225" s="5" t="s">
        <v>3291</v>
      </c>
    </row>
    <row r="1226" customFormat="false" ht="11.9" hidden="false" customHeight="true" outlineLevel="0" collapsed="false">
      <c r="A1226" s="3" t="str">
        <f aca="false">HYPERLINK("https://www.fabsurplus.com/sdi_catalog/salesItemDetails.do?id=83556")</f>
        <v>https://www.fabsurplus.com/sdi_catalog/salesItemDetails.do?id=83556</v>
      </c>
      <c r="B1226" s="3" t="s">
        <v>3292</v>
      </c>
      <c r="C1226" s="3" t="s">
        <v>3269</v>
      </c>
      <c r="D1226" s="3" t="s">
        <v>3293</v>
      </c>
      <c r="E1226" s="3" t="s">
        <v>3294</v>
      </c>
      <c r="F1226" s="3" t="s">
        <v>16</v>
      </c>
      <c r="G1226" s="3" t="s">
        <v>26</v>
      </c>
      <c r="H1226" s="3" t="s">
        <v>27</v>
      </c>
      <c r="I1226" s="3"/>
      <c r="J1226" s="3" t="s">
        <v>19</v>
      </c>
      <c r="K1226" s="3" t="s">
        <v>20</v>
      </c>
      <c r="L1226" s="5" t="s">
        <v>3295</v>
      </c>
    </row>
    <row r="1227" customFormat="false" ht="11.9" hidden="false" customHeight="true" outlineLevel="0" collapsed="false">
      <c r="A1227" s="3" t="str">
        <f aca="false">HYPERLINK("https://www.fabsurplus.com/sdi_catalog/salesItemDetails.do?id=81875")</f>
        <v>https://www.fabsurplus.com/sdi_catalog/salesItemDetails.do?id=81875</v>
      </c>
      <c r="B1227" s="3" t="s">
        <v>3296</v>
      </c>
      <c r="C1227" s="3" t="s">
        <v>3269</v>
      </c>
      <c r="D1227" s="3" t="s">
        <v>3297</v>
      </c>
      <c r="E1227" s="3" t="s">
        <v>3298</v>
      </c>
      <c r="F1227" s="3" t="s">
        <v>101</v>
      </c>
      <c r="G1227" s="3" t="s">
        <v>26</v>
      </c>
      <c r="H1227" s="3" t="s">
        <v>35</v>
      </c>
      <c r="I1227" s="4" t="n">
        <v>36312</v>
      </c>
      <c r="J1227" s="3" t="s">
        <v>19</v>
      </c>
      <c r="K1227" s="3" t="s">
        <v>20</v>
      </c>
      <c r="L1227" s="5" t="s">
        <v>3299</v>
      </c>
    </row>
    <row r="1228" customFormat="false" ht="11.9" hidden="false" customHeight="true" outlineLevel="0" collapsed="false">
      <c r="A1228" s="3" t="str">
        <f aca="false">HYPERLINK("https://www.fabsurplus.com/sdi_catalog/salesItemDetails.do?id=80315")</f>
        <v>https://www.fabsurplus.com/sdi_catalog/salesItemDetails.do?id=80315</v>
      </c>
      <c r="B1228" s="3" t="s">
        <v>3300</v>
      </c>
      <c r="C1228" s="3" t="s">
        <v>3269</v>
      </c>
      <c r="D1228" s="3" t="s">
        <v>3301</v>
      </c>
      <c r="E1228" s="3" t="s">
        <v>3302</v>
      </c>
      <c r="F1228" s="3" t="s">
        <v>77</v>
      </c>
      <c r="G1228" s="3" t="s">
        <v>26</v>
      </c>
      <c r="H1228" s="3" t="s">
        <v>27</v>
      </c>
      <c r="I1228" s="3"/>
      <c r="J1228" s="3" t="s">
        <v>19</v>
      </c>
      <c r="K1228" s="3" t="s">
        <v>20</v>
      </c>
      <c r="L1228" s="5" t="s">
        <v>3303</v>
      </c>
    </row>
    <row r="1229" customFormat="false" ht="11.9" hidden="false" customHeight="true" outlineLevel="0" collapsed="false">
      <c r="A1229" s="2" t="str">
        <f aca="false">HYPERLINK("https://www.fabsurplus.com/sdi_catalog/salesItemDetails.do?id=53270")</f>
        <v>https://www.fabsurplus.com/sdi_catalog/salesItemDetails.do?id=53270</v>
      </c>
      <c r="B1229" s="2" t="s">
        <v>3304</v>
      </c>
      <c r="C1229" s="2" t="s">
        <v>3305</v>
      </c>
      <c r="D1229" s="2" t="s">
        <v>3306</v>
      </c>
      <c r="E1229" s="2" t="s">
        <v>3307</v>
      </c>
      <c r="F1229" s="2" t="s">
        <v>77</v>
      </c>
      <c r="G1229" s="2" t="s">
        <v>26</v>
      </c>
      <c r="H1229" s="2" t="s">
        <v>27</v>
      </c>
      <c r="I1229" s="7" t="n">
        <v>34485.9166666667</v>
      </c>
      <c r="J1229" s="2" t="s">
        <v>19</v>
      </c>
      <c r="K1229" s="2" t="s">
        <v>20</v>
      </c>
      <c r="L1229" s="6" t="s">
        <v>3308</v>
      </c>
    </row>
    <row r="1230" customFormat="false" ht="11.9" hidden="false" customHeight="true" outlineLevel="0" collapsed="false">
      <c r="A1230" s="2" t="str">
        <f aca="false">HYPERLINK("https://www.fabsurplus.com/sdi_catalog/salesItemDetails.do?id=109946")</f>
        <v>https://www.fabsurplus.com/sdi_catalog/salesItemDetails.do?id=109946</v>
      </c>
      <c r="B1230" s="2" t="s">
        <v>3309</v>
      </c>
      <c r="C1230" s="2" t="s">
        <v>3310</v>
      </c>
      <c r="D1230" s="2" t="s">
        <v>3311</v>
      </c>
      <c r="E1230" s="2" t="s">
        <v>133</v>
      </c>
      <c r="F1230" s="2" t="s">
        <v>16</v>
      </c>
      <c r="G1230" s="2" t="s">
        <v>41</v>
      </c>
      <c r="H1230" s="2"/>
      <c r="I1230" s="2"/>
      <c r="J1230" s="2" t="s">
        <v>42</v>
      </c>
      <c r="K1230" s="2"/>
      <c r="L1230" s="2" t="s">
        <v>3312</v>
      </c>
    </row>
    <row r="1231" customFormat="false" ht="11.9" hidden="false" customHeight="true" outlineLevel="0" collapsed="false">
      <c r="A1231" s="3" t="str">
        <f aca="false">HYPERLINK("https://www.fabsurplus.com/sdi_catalog/salesItemDetails.do?id=109945")</f>
        <v>https://www.fabsurplus.com/sdi_catalog/salesItemDetails.do?id=109945</v>
      </c>
      <c r="B1231" s="3" t="s">
        <v>3313</v>
      </c>
      <c r="C1231" s="3" t="s">
        <v>3310</v>
      </c>
      <c r="D1231" s="3" t="s">
        <v>3311</v>
      </c>
      <c r="E1231" s="3" t="s">
        <v>133</v>
      </c>
      <c r="F1231" s="3" t="s">
        <v>16</v>
      </c>
      <c r="G1231" s="3" t="s">
        <v>41</v>
      </c>
      <c r="H1231" s="3"/>
      <c r="I1231" s="3"/>
      <c r="J1231" s="3" t="s">
        <v>42</v>
      </c>
      <c r="K1231" s="3"/>
      <c r="L1231" s="3" t="s">
        <v>3312</v>
      </c>
    </row>
    <row r="1232" customFormat="false" ht="11.9" hidden="false" customHeight="true" outlineLevel="0" collapsed="false">
      <c r="A1232" s="2" t="str">
        <f aca="false">HYPERLINK("https://www.fabsurplus.com/sdi_catalog/salesItemDetails.do?id=109944")</f>
        <v>https://www.fabsurplus.com/sdi_catalog/salesItemDetails.do?id=109944</v>
      </c>
      <c r="B1232" s="2" t="s">
        <v>3314</v>
      </c>
      <c r="C1232" s="2" t="s">
        <v>3310</v>
      </c>
      <c r="D1232" s="2" t="s">
        <v>3311</v>
      </c>
      <c r="E1232" s="2" t="s">
        <v>133</v>
      </c>
      <c r="F1232" s="2" t="s">
        <v>16</v>
      </c>
      <c r="G1232" s="2" t="s">
        <v>41</v>
      </c>
      <c r="H1232" s="2"/>
      <c r="I1232" s="2"/>
      <c r="J1232" s="2" t="s">
        <v>42</v>
      </c>
      <c r="K1232" s="2"/>
      <c r="L1232" s="2" t="s">
        <v>3312</v>
      </c>
    </row>
    <row r="1233" customFormat="false" ht="11.9" hidden="false" customHeight="true" outlineLevel="0" collapsed="false">
      <c r="A1233" s="3" t="str">
        <f aca="false">HYPERLINK("https://www.fabsurplus.com/sdi_catalog/salesItemDetails.do?id=109943")</f>
        <v>https://www.fabsurplus.com/sdi_catalog/salesItemDetails.do?id=109943</v>
      </c>
      <c r="B1233" s="3" t="s">
        <v>3315</v>
      </c>
      <c r="C1233" s="3" t="s">
        <v>3310</v>
      </c>
      <c r="D1233" s="3" t="s">
        <v>3311</v>
      </c>
      <c r="E1233" s="3" t="s">
        <v>133</v>
      </c>
      <c r="F1233" s="3" t="s">
        <v>16</v>
      </c>
      <c r="G1233" s="3" t="s">
        <v>41</v>
      </c>
      <c r="H1233" s="3"/>
      <c r="I1233" s="3"/>
      <c r="J1233" s="3" t="s">
        <v>42</v>
      </c>
      <c r="K1233" s="3"/>
      <c r="L1233" s="3" t="s">
        <v>3312</v>
      </c>
    </row>
    <row r="1234" customFormat="false" ht="11.9" hidden="false" customHeight="true" outlineLevel="0" collapsed="false">
      <c r="A1234" s="3" t="str">
        <f aca="false">HYPERLINK("https://www.fabsurplus.com/sdi_catalog/salesItemDetails.do?id=109947")</f>
        <v>https://www.fabsurplus.com/sdi_catalog/salesItemDetails.do?id=109947</v>
      </c>
      <c r="B1234" s="3" t="s">
        <v>3316</v>
      </c>
      <c r="C1234" s="3" t="s">
        <v>3310</v>
      </c>
      <c r="D1234" s="3" t="s">
        <v>3317</v>
      </c>
      <c r="E1234" s="3" t="s">
        <v>133</v>
      </c>
      <c r="F1234" s="3" t="s">
        <v>16</v>
      </c>
      <c r="G1234" s="3" t="s">
        <v>41</v>
      </c>
      <c r="H1234" s="3"/>
      <c r="I1234" s="3"/>
      <c r="J1234" s="3" t="s">
        <v>42</v>
      </c>
      <c r="K1234" s="3"/>
      <c r="L1234" s="3" t="s">
        <v>3318</v>
      </c>
    </row>
    <row r="1235" customFormat="false" ht="11.9" hidden="false" customHeight="true" outlineLevel="0" collapsed="false">
      <c r="A1235" s="3" t="str">
        <f aca="false">HYPERLINK("https://www.fabsurplus.com/sdi_catalog/salesItemDetails.do?id=109948")</f>
        <v>https://www.fabsurplus.com/sdi_catalog/salesItemDetails.do?id=109948</v>
      </c>
      <c r="B1235" s="3" t="s">
        <v>3319</v>
      </c>
      <c r="C1235" s="3" t="s">
        <v>3320</v>
      </c>
      <c r="D1235" s="3" t="s">
        <v>3321</v>
      </c>
      <c r="E1235" s="3" t="s">
        <v>47</v>
      </c>
      <c r="F1235" s="3" t="s">
        <v>16</v>
      </c>
      <c r="G1235" s="3" t="s">
        <v>41</v>
      </c>
      <c r="H1235" s="3"/>
      <c r="I1235" s="3"/>
      <c r="J1235" s="3" t="s">
        <v>42</v>
      </c>
      <c r="K1235" s="3"/>
      <c r="L1235" s="3" t="s">
        <v>3322</v>
      </c>
    </row>
    <row r="1236" customFormat="false" ht="11.9" hidden="false" customHeight="true" outlineLevel="0" collapsed="false">
      <c r="A1236" s="3" t="str">
        <f aca="false">HYPERLINK("https://www.fabsurplus.com/sdi_catalog/salesItemDetails.do?id=84765")</f>
        <v>https://www.fabsurplus.com/sdi_catalog/salesItemDetails.do?id=84765</v>
      </c>
      <c r="B1236" s="3" t="s">
        <v>3323</v>
      </c>
      <c r="C1236" s="3" t="s">
        <v>3324</v>
      </c>
      <c r="D1236" s="3" t="s">
        <v>3325</v>
      </c>
      <c r="E1236" s="3" t="s">
        <v>3326</v>
      </c>
      <c r="F1236" s="3" t="s">
        <v>16</v>
      </c>
      <c r="G1236" s="3" t="s">
        <v>3327</v>
      </c>
      <c r="H1236" s="3" t="s">
        <v>35</v>
      </c>
      <c r="I1236" s="3"/>
      <c r="J1236" s="3" t="s">
        <v>19</v>
      </c>
      <c r="K1236" s="3" t="s">
        <v>20</v>
      </c>
      <c r="L1236" s="5" t="s">
        <v>3328</v>
      </c>
    </row>
    <row r="1237" customFormat="false" ht="11.9" hidden="false" customHeight="true" outlineLevel="0" collapsed="false">
      <c r="A1237" s="2" t="str">
        <f aca="false">HYPERLINK("https://www.fabsurplus.com/sdi_catalog/salesItemDetails.do?id=95404")</f>
        <v>https://www.fabsurplus.com/sdi_catalog/salesItemDetails.do?id=95404</v>
      </c>
      <c r="B1237" s="2" t="s">
        <v>3329</v>
      </c>
      <c r="C1237" s="2" t="s">
        <v>3324</v>
      </c>
      <c r="D1237" s="2" t="s">
        <v>3325</v>
      </c>
      <c r="E1237" s="2" t="s">
        <v>3326</v>
      </c>
      <c r="F1237" s="2" t="s">
        <v>16</v>
      </c>
      <c r="G1237" s="2" t="s">
        <v>3327</v>
      </c>
      <c r="H1237" s="2" t="s">
        <v>35</v>
      </c>
      <c r="I1237" s="2"/>
      <c r="J1237" s="2" t="s">
        <v>19</v>
      </c>
      <c r="K1237" s="2" t="s">
        <v>20</v>
      </c>
      <c r="L1237" s="6" t="s">
        <v>3330</v>
      </c>
    </row>
    <row r="1238" customFormat="false" ht="11.9" hidden="false" customHeight="true" outlineLevel="0" collapsed="false">
      <c r="A1238" s="3" t="str">
        <f aca="false">HYPERLINK("https://www.fabsurplus.com/sdi_catalog/salesItemDetails.do?id=77184")</f>
        <v>https://www.fabsurplus.com/sdi_catalog/salesItemDetails.do?id=77184</v>
      </c>
      <c r="B1238" s="3" t="s">
        <v>3331</v>
      </c>
      <c r="C1238" s="3" t="s">
        <v>3332</v>
      </c>
      <c r="D1238" s="3" t="s">
        <v>3333</v>
      </c>
      <c r="E1238" s="3" t="s">
        <v>3334</v>
      </c>
      <c r="F1238" s="3" t="s">
        <v>16</v>
      </c>
      <c r="G1238" s="3"/>
      <c r="H1238" s="3" t="s">
        <v>18</v>
      </c>
      <c r="I1238" s="4" t="n">
        <v>40940</v>
      </c>
      <c r="J1238" s="3" t="s">
        <v>19</v>
      </c>
      <c r="K1238" s="3" t="s">
        <v>20</v>
      </c>
      <c r="L1238" s="5" t="s">
        <v>3335</v>
      </c>
    </row>
    <row r="1239" customFormat="false" ht="11.9" hidden="false" customHeight="true" outlineLevel="0" collapsed="false">
      <c r="A1239" s="3" t="str">
        <f aca="false">HYPERLINK("https://www.fabsurplus.com/sdi_catalog/salesItemDetails.do?id=72120")</f>
        <v>https://www.fabsurplus.com/sdi_catalog/salesItemDetails.do?id=72120</v>
      </c>
      <c r="B1239" s="3" t="s">
        <v>3336</v>
      </c>
      <c r="C1239" s="3" t="s">
        <v>3337</v>
      </c>
      <c r="D1239" s="3" t="s">
        <v>3338</v>
      </c>
      <c r="E1239" s="3" t="s">
        <v>3339</v>
      </c>
      <c r="F1239" s="3" t="s">
        <v>16</v>
      </c>
      <c r="G1239" s="3" t="s">
        <v>26</v>
      </c>
      <c r="H1239" s="3" t="s">
        <v>27</v>
      </c>
      <c r="I1239" s="3"/>
      <c r="J1239" s="3" t="s">
        <v>19</v>
      </c>
      <c r="K1239" s="3" t="s">
        <v>20</v>
      </c>
      <c r="L1239" s="5" t="s">
        <v>3340</v>
      </c>
    </row>
    <row r="1240" customFormat="false" ht="11.9" hidden="false" customHeight="true" outlineLevel="0" collapsed="false">
      <c r="A1240" s="2" t="str">
        <f aca="false">HYPERLINK("https://www.fabsurplus.com/sdi_catalog/salesItemDetails.do?id=114255")</f>
        <v>https://www.fabsurplus.com/sdi_catalog/salesItemDetails.do?id=114255</v>
      </c>
      <c r="B1240" s="2" t="s">
        <v>3341</v>
      </c>
      <c r="C1240" s="2" t="s">
        <v>3337</v>
      </c>
      <c r="D1240" s="2" t="s">
        <v>3342</v>
      </c>
      <c r="E1240" s="2" t="s">
        <v>3343</v>
      </c>
      <c r="F1240" s="2" t="s">
        <v>16</v>
      </c>
      <c r="G1240" s="2" t="s">
        <v>3344</v>
      </c>
      <c r="H1240" s="2" t="s">
        <v>27</v>
      </c>
      <c r="I1240" s="7" t="n">
        <v>37408</v>
      </c>
      <c r="J1240" s="2" t="s">
        <v>19</v>
      </c>
      <c r="K1240" s="2" t="s">
        <v>20</v>
      </c>
      <c r="L1240" s="6" t="s">
        <v>3345</v>
      </c>
    </row>
    <row r="1241" customFormat="false" ht="11.9" hidden="false" customHeight="true" outlineLevel="0" collapsed="false">
      <c r="A1241" s="2" t="str">
        <f aca="false">HYPERLINK("https://www.fabsurplus.com/sdi_catalog/salesItemDetails.do?id=72111")</f>
        <v>https://www.fabsurplus.com/sdi_catalog/salesItemDetails.do?id=72111</v>
      </c>
      <c r="B1241" s="2" t="s">
        <v>3346</v>
      </c>
      <c r="C1241" s="2" t="s">
        <v>3337</v>
      </c>
      <c r="D1241" s="2" t="s">
        <v>3347</v>
      </c>
      <c r="E1241" s="2" t="s">
        <v>3348</v>
      </c>
      <c r="F1241" s="2" t="s">
        <v>69</v>
      </c>
      <c r="G1241" s="2" t="s">
        <v>26</v>
      </c>
      <c r="H1241" s="2" t="s">
        <v>27</v>
      </c>
      <c r="I1241" s="2"/>
      <c r="J1241" s="2" t="s">
        <v>19</v>
      </c>
      <c r="K1241" s="2" t="s">
        <v>20</v>
      </c>
      <c r="L1241" s="6" t="s">
        <v>3340</v>
      </c>
    </row>
    <row r="1242" customFormat="false" ht="11.9" hidden="false" customHeight="true" outlineLevel="0" collapsed="false">
      <c r="A1242" s="3" t="str">
        <f aca="false">HYPERLINK("https://www.fabsurplus.com/sdi_catalog/salesItemDetails.do?id=98713")</f>
        <v>https://www.fabsurplus.com/sdi_catalog/salesItemDetails.do?id=98713</v>
      </c>
      <c r="B1242" s="3" t="s">
        <v>3349</v>
      </c>
      <c r="C1242" s="3" t="s">
        <v>3117</v>
      </c>
      <c r="D1242" s="3" t="s">
        <v>3350</v>
      </c>
      <c r="E1242" s="3" t="s">
        <v>3351</v>
      </c>
      <c r="F1242" s="3" t="s">
        <v>3352</v>
      </c>
      <c r="G1242" s="3" t="s">
        <v>3353</v>
      </c>
      <c r="H1242" s="3" t="s">
        <v>35</v>
      </c>
      <c r="I1242" s="4" t="n">
        <v>39569</v>
      </c>
      <c r="J1242" s="3" t="s">
        <v>19</v>
      </c>
      <c r="K1242" s="3" t="s">
        <v>20</v>
      </c>
      <c r="L1242" s="5" t="s">
        <v>3354</v>
      </c>
    </row>
    <row r="1243" customFormat="false" ht="11.9" hidden="false" customHeight="true" outlineLevel="0" collapsed="false">
      <c r="A1243" s="2" t="str">
        <f aca="false">HYPERLINK("https://www.fabsurplus.com/sdi_catalog/salesItemDetails.do?id=109952")</f>
        <v>https://www.fabsurplus.com/sdi_catalog/salesItemDetails.do?id=109952</v>
      </c>
      <c r="B1243" s="2" t="s">
        <v>3355</v>
      </c>
      <c r="C1243" s="2" t="s">
        <v>3356</v>
      </c>
      <c r="D1243" s="2" t="s">
        <v>3357</v>
      </c>
      <c r="E1243" s="2" t="s">
        <v>3358</v>
      </c>
      <c r="F1243" s="2" t="s">
        <v>16</v>
      </c>
      <c r="G1243" s="2" t="s">
        <v>41</v>
      </c>
      <c r="H1243" s="2"/>
      <c r="I1243" s="2"/>
      <c r="J1243" s="2" t="s">
        <v>42</v>
      </c>
      <c r="K1243" s="2"/>
      <c r="L1243" s="2" t="s">
        <v>3359</v>
      </c>
    </row>
    <row r="1244" customFormat="false" ht="11.9" hidden="false" customHeight="true" outlineLevel="0" collapsed="false">
      <c r="A1244" s="3" t="str">
        <f aca="false">HYPERLINK("https://www.fabsurplus.com/sdi_catalog/salesItemDetails.do?id=109951")</f>
        <v>https://www.fabsurplus.com/sdi_catalog/salesItemDetails.do?id=109951</v>
      </c>
      <c r="B1244" s="3" t="s">
        <v>3360</v>
      </c>
      <c r="C1244" s="3" t="s">
        <v>3356</v>
      </c>
      <c r="D1244" s="3" t="s">
        <v>3357</v>
      </c>
      <c r="E1244" s="3" t="s">
        <v>3358</v>
      </c>
      <c r="F1244" s="3" t="s">
        <v>16</v>
      </c>
      <c r="G1244" s="3" t="s">
        <v>41</v>
      </c>
      <c r="H1244" s="3"/>
      <c r="I1244" s="3"/>
      <c r="J1244" s="3" t="s">
        <v>42</v>
      </c>
      <c r="K1244" s="3"/>
      <c r="L1244" s="3" t="s">
        <v>3359</v>
      </c>
    </row>
    <row r="1245" customFormat="false" ht="11.9" hidden="false" customHeight="true" outlineLevel="0" collapsed="false">
      <c r="A1245" s="2" t="str">
        <f aca="false">HYPERLINK("https://www.fabsurplus.com/sdi_catalog/salesItemDetails.do?id=109950")</f>
        <v>https://www.fabsurplus.com/sdi_catalog/salesItemDetails.do?id=109950</v>
      </c>
      <c r="B1245" s="2" t="s">
        <v>3361</v>
      </c>
      <c r="C1245" s="2" t="s">
        <v>3356</v>
      </c>
      <c r="D1245" s="2" t="s">
        <v>3357</v>
      </c>
      <c r="E1245" s="2" t="s">
        <v>3358</v>
      </c>
      <c r="F1245" s="2" t="s">
        <v>16</v>
      </c>
      <c r="G1245" s="2" t="s">
        <v>41</v>
      </c>
      <c r="H1245" s="2"/>
      <c r="I1245" s="2"/>
      <c r="J1245" s="2" t="s">
        <v>42</v>
      </c>
      <c r="K1245" s="2"/>
      <c r="L1245" s="2" t="s">
        <v>3359</v>
      </c>
    </row>
    <row r="1246" customFormat="false" ht="11.9" hidden="false" customHeight="true" outlineLevel="0" collapsed="false">
      <c r="A1246" s="3" t="str">
        <f aca="false">HYPERLINK("https://www.fabsurplus.com/sdi_catalog/salesItemDetails.do?id=109949")</f>
        <v>https://www.fabsurplus.com/sdi_catalog/salesItemDetails.do?id=109949</v>
      </c>
      <c r="B1246" s="3" t="s">
        <v>3362</v>
      </c>
      <c r="C1246" s="3" t="s">
        <v>3356</v>
      </c>
      <c r="D1246" s="3" t="s">
        <v>3357</v>
      </c>
      <c r="E1246" s="3" t="s">
        <v>3358</v>
      </c>
      <c r="F1246" s="3" t="s">
        <v>16</v>
      </c>
      <c r="G1246" s="3" t="s">
        <v>41</v>
      </c>
      <c r="H1246" s="3"/>
      <c r="I1246" s="3"/>
      <c r="J1246" s="3" t="s">
        <v>42</v>
      </c>
      <c r="K1246" s="3"/>
      <c r="L1246" s="3" t="s">
        <v>3359</v>
      </c>
    </row>
    <row r="1247" customFormat="false" ht="11.9" hidden="false" customHeight="true" outlineLevel="0" collapsed="false">
      <c r="A1247" s="2" t="str">
        <f aca="false">HYPERLINK("https://www.fabsurplus.com/sdi_catalog/salesItemDetails.do?id=83589")</f>
        <v>https://www.fabsurplus.com/sdi_catalog/salesItemDetails.do?id=83589</v>
      </c>
      <c r="B1247" s="2" t="s">
        <v>3363</v>
      </c>
      <c r="C1247" s="2" t="s">
        <v>3364</v>
      </c>
      <c r="D1247" s="2" t="s">
        <v>3365</v>
      </c>
      <c r="E1247" s="2" t="s">
        <v>3366</v>
      </c>
      <c r="F1247" s="2" t="s">
        <v>16</v>
      </c>
      <c r="G1247" s="2" t="s">
        <v>26</v>
      </c>
      <c r="H1247" s="2" t="s">
        <v>35</v>
      </c>
      <c r="I1247" s="2"/>
      <c r="J1247" s="2" t="s">
        <v>19</v>
      </c>
      <c r="K1247" s="2" t="s">
        <v>20</v>
      </c>
      <c r="L1247" s="6" t="s">
        <v>3367</v>
      </c>
    </row>
    <row r="1248" customFormat="false" ht="11.9" hidden="false" customHeight="true" outlineLevel="0" collapsed="false">
      <c r="A1248" s="2" t="str">
        <f aca="false">HYPERLINK("https://www.fabsurplus.com/sdi_catalog/salesItemDetails.do?id=84213")</f>
        <v>https://www.fabsurplus.com/sdi_catalog/salesItemDetails.do?id=84213</v>
      </c>
      <c r="B1248" s="2" t="s">
        <v>3368</v>
      </c>
      <c r="C1248" s="2" t="s">
        <v>3364</v>
      </c>
      <c r="D1248" s="2" t="s">
        <v>3369</v>
      </c>
      <c r="E1248" s="2" t="s">
        <v>3370</v>
      </c>
      <c r="F1248" s="2" t="s">
        <v>77</v>
      </c>
      <c r="G1248" s="2" t="s">
        <v>26</v>
      </c>
      <c r="H1248" s="2" t="s">
        <v>35</v>
      </c>
      <c r="I1248" s="2"/>
      <c r="J1248" s="2" t="s">
        <v>19</v>
      </c>
      <c r="K1248" s="2" t="s">
        <v>20</v>
      </c>
      <c r="L1248" s="6" t="s">
        <v>3371</v>
      </c>
    </row>
    <row r="1249" customFormat="false" ht="11.9" hidden="false" customHeight="true" outlineLevel="0" collapsed="false">
      <c r="A1249" s="3" t="str">
        <f aca="false">HYPERLINK("https://www.fabsurplus.com/sdi_catalog/salesItemDetails.do?id=83594")</f>
        <v>https://www.fabsurplus.com/sdi_catalog/salesItemDetails.do?id=83594</v>
      </c>
      <c r="B1249" s="3" t="s">
        <v>3372</v>
      </c>
      <c r="C1249" s="3" t="s">
        <v>3364</v>
      </c>
      <c r="D1249" s="3" t="s">
        <v>3373</v>
      </c>
      <c r="E1249" s="3" t="s">
        <v>909</v>
      </c>
      <c r="F1249" s="3" t="s">
        <v>16</v>
      </c>
      <c r="G1249" s="3"/>
      <c r="H1249" s="3" t="s">
        <v>27</v>
      </c>
      <c r="I1249" s="3"/>
      <c r="J1249" s="3" t="s">
        <v>19</v>
      </c>
      <c r="K1249" s="3" t="s">
        <v>20</v>
      </c>
      <c r="L1249" s="3" t="s">
        <v>3374</v>
      </c>
    </row>
    <row r="1250" customFormat="false" ht="11.9" hidden="false" customHeight="true" outlineLevel="0" collapsed="false">
      <c r="A1250" s="3" t="str">
        <f aca="false">HYPERLINK("https://www.fabsurplus.com/sdi_catalog/salesItemDetails.do?id=111381")</f>
        <v>https://www.fabsurplus.com/sdi_catalog/salesItemDetails.do?id=111381</v>
      </c>
      <c r="B1250" s="3" t="s">
        <v>3375</v>
      </c>
      <c r="C1250" s="3" t="s">
        <v>3376</v>
      </c>
      <c r="D1250" s="3" t="s">
        <v>3377</v>
      </c>
      <c r="E1250" s="3" t="s">
        <v>3378</v>
      </c>
      <c r="F1250" s="3" t="s">
        <v>77</v>
      </c>
      <c r="G1250" s="3" t="s">
        <v>1029</v>
      </c>
      <c r="H1250" s="3" t="s">
        <v>1691</v>
      </c>
      <c r="I1250" s="4" t="n">
        <v>40330</v>
      </c>
      <c r="J1250" s="3" t="s">
        <v>3379</v>
      </c>
      <c r="K1250" s="3" t="s">
        <v>20</v>
      </c>
      <c r="L1250" s="5" t="s">
        <v>3380</v>
      </c>
    </row>
    <row r="1251" customFormat="false" ht="11.9" hidden="false" customHeight="true" outlineLevel="0" collapsed="false">
      <c r="A1251" s="2" t="str">
        <f aca="false">HYPERLINK("https://www.fabsurplus.com/sdi_catalog/salesItemDetails.do?id=84379")</f>
        <v>https://www.fabsurplus.com/sdi_catalog/salesItemDetails.do?id=84379</v>
      </c>
      <c r="B1251" s="2" t="s">
        <v>3381</v>
      </c>
      <c r="C1251" s="2" t="s">
        <v>3382</v>
      </c>
      <c r="D1251" s="2" t="s">
        <v>3383</v>
      </c>
      <c r="E1251" s="2" t="s">
        <v>3384</v>
      </c>
      <c r="F1251" s="2" t="s">
        <v>16</v>
      </c>
      <c r="G1251" s="2"/>
      <c r="H1251" s="2" t="s">
        <v>27</v>
      </c>
      <c r="I1251" s="2"/>
      <c r="J1251" s="2" t="s">
        <v>19</v>
      </c>
      <c r="K1251" s="2" t="s">
        <v>20</v>
      </c>
      <c r="L1251" s="6" t="s">
        <v>3385</v>
      </c>
    </row>
    <row r="1252" customFormat="false" ht="11.9" hidden="false" customHeight="true" outlineLevel="0" collapsed="false">
      <c r="A1252" s="3" t="str">
        <f aca="false">HYPERLINK("https://www.fabsurplus.com/sdi_catalog/salesItemDetails.do?id=77095")</f>
        <v>https://www.fabsurplus.com/sdi_catalog/salesItemDetails.do?id=77095</v>
      </c>
      <c r="B1252" s="3" t="s">
        <v>3386</v>
      </c>
      <c r="C1252" s="3" t="s">
        <v>3387</v>
      </c>
      <c r="D1252" s="3" t="s">
        <v>3388</v>
      </c>
      <c r="E1252" s="3" t="s">
        <v>3389</v>
      </c>
      <c r="F1252" s="3" t="s">
        <v>16</v>
      </c>
      <c r="G1252" s="3"/>
      <c r="H1252" s="3"/>
      <c r="I1252" s="3"/>
      <c r="J1252" s="3" t="s">
        <v>19</v>
      </c>
      <c r="K1252" s="3"/>
      <c r="L1252" s="3"/>
    </row>
    <row r="1253" customFormat="false" ht="11.9" hidden="false" customHeight="true" outlineLevel="0" collapsed="false">
      <c r="A1253" s="3" t="str">
        <f aca="false">HYPERLINK("https://www.fabsurplus.com/sdi_catalog/salesItemDetails.do?id=77170")</f>
        <v>https://www.fabsurplus.com/sdi_catalog/salesItemDetails.do?id=77170</v>
      </c>
      <c r="B1253" s="3" t="s">
        <v>3390</v>
      </c>
      <c r="C1253" s="3" t="s">
        <v>3391</v>
      </c>
      <c r="D1253" s="3" t="s">
        <v>3392</v>
      </c>
      <c r="E1253" s="3" t="s">
        <v>3393</v>
      </c>
      <c r="F1253" s="3" t="s">
        <v>16</v>
      </c>
      <c r="G1253" s="3" t="s">
        <v>26</v>
      </c>
      <c r="H1253" s="3" t="s">
        <v>944</v>
      </c>
      <c r="I1253" s="3"/>
      <c r="J1253" s="3" t="s">
        <v>19</v>
      </c>
      <c r="K1253" s="3" t="s">
        <v>20</v>
      </c>
      <c r="L1253" s="5" t="s">
        <v>3394</v>
      </c>
    </row>
    <row r="1254" customFormat="false" ht="11.9" hidden="false" customHeight="true" outlineLevel="0" collapsed="false">
      <c r="A1254" s="2" t="str">
        <f aca="false">HYPERLINK("https://www.fabsurplus.com/sdi_catalog/salesItemDetails.do?id=77169")</f>
        <v>https://www.fabsurplus.com/sdi_catalog/salesItemDetails.do?id=77169</v>
      </c>
      <c r="B1254" s="2" t="s">
        <v>3395</v>
      </c>
      <c r="C1254" s="2" t="s">
        <v>3391</v>
      </c>
      <c r="D1254" s="2" t="s">
        <v>3396</v>
      </c>
      <c r="E1254" s="2" t="s">
        <v>3393</v>
      </c>
      <c r="F1254" s="2" t="s">
        <v>16</v>
      </c>
      <c r="G1254" s="2" t="s">
        <v>26</v>
      </c>
      <c r="H1254" s="2" t="s">
        <v>944</v>
      </c>
      <c r="I1254" s="2"/>
      <c r="J1254" s="2" t="s">
        <v>19</v>
      </c>
      <c r="K1254" s="2" t="s">
        <v>20</v>
      </c>
      <c r="L1254" s="6" t="s">
        <v>3394</v>
      </c>
    </row>
    <row r="1255" customFormat="false" ht="11.9" hidden="false" customHeight="true" outlineLevel="0" collapsed="false">
      <c r="A1255" s="2" t="str">
        <f aca="false">HYPERLINK("https://www.fabsurplus.com/sdi_catalog/salesItemDetails.do?id=109953")</f>
        <v>https://www.fabsurplus.com/sdi_catalog/salesItemDetails.do?id=109953</v>
      </c>
      <c r="B1255" s="2" t="s">
        <v>3397</v>
      </c>
      <c r="C1255" s="2" t="s">
        <v>3398</v>
      </c>
      <c r="D1255" s="2" t="s">
        <v>3399</v>
      </c>
      <c r="E1255" s="2" t="s">
        <v>40</v>
      </c>
      <c r="F1255" s="2" t="s">
        <v>16</v>
      </c>
      <c r="G1255" s="2" t="s">
        <v>41</v>
      </c>
      <c r="H1255" s="2"/>
      <c r="I1255" s="2"/>
      <c r="J1255" s="2" t="s">
        <v>42</v>
      </c>
      <c r="K1255" s="2"/>
      <c r="L1255" s="2" t="s">
        <v>3400</v>
      </c>
    </row>
    <row r="1256" customFormat="false" ht="11.9" hidden="false" customHeight="true" outlineLevel="0" collapsed="false">
      <c r="A1256" s="3" t="str">
        <f aca="false">HYPERLINK("https://www.fabsurplus.com/sdi_catalog/salesItemDetails.do?id=109954")</f>
        <v>https://www.fabsurplus.com/sdi_catalog/salesItemDetails.do?id=109954</v>
      </c>
      <c r="B1256" s="3" t="s">
        <v>3401</v>
      </c>
      <c r="C1256" s="3" t="s">
        <v>3398</v>
      </c>
      <c r="D1256" s="3" t="s">
        <v>917</v>
      </c>
      <c r="E1256" s="3" t="s">
        <v>40</v>
      </c>
      <c r="F1256" s="3" t="s">
        <v>16</v>
      </c>
      <c r="G1256" s="3" t="s">
        <v>41</v>
      </c>
      <c r="H1256" s="3"/>
      <c r="I1256" s="3"/>
      <c r="J1256" s="3" t="s">
        <v>42</v>
      </c>
      <c r="K1256" s="3"/>
      <c r="L1256" s="3" t="s">
        <v>3402</v>
      </c>
    </row>
    <row r="1257" customFormat="false" ht="11.9" hidden="false" customHeight="true" outlineLevel="0" collapsed="false">
      <c r="A1257" s="2" t="str">
        <f aca="false">HYPERLINK("https://www.fabsurplus.com/sdi_catalog/salesItemDetails.do?id=109957")</f>
        <v>https://www.fabsurplus.com/sdi_catalog/salesItemDetails.do?id=109957</v>
      </c>
      <c r="B1257" s="2" t="s">
        <v>3403</v>
      </c>
      <c r="C1257" s="2" t="s">
        <v>3398</v>
      </c>
      <c r="D1257" s="2" t="s">
        <v>3404</v>
      </c>
      <c r="E1257" s="2" t="s">
        <v>40</v>
      </c>
      <c r="F1257" s="2" t="s">
        <v>16</v>
      </c>
      <c r="G1257" s="2" t="s">
        <v>41</v>
      </c>
      <c r="H1257" s="2"/>
      <c r="I1257" s="2"/>
      <c r="J1257" s="2" t="s">
        <v>42</v>
      </c>
      <c r="K1257" s="2"/>
      <c r="L1257" s="2" t="s">
        <v>3405</v>
      </c>
    </row>
    <row r="1258" customFormat="false" ht="11.9" hidden="false" customHeight="true" outlineLevel="0" collapsed="false">
      <c r="A1258" s="3" t="str">
        <f aca="false">HYPERLINK("https://www.fabsurplus.com/sdi_catalog/salesItemDetails.do?id=109956")</f>
        <v>https://www.fabsurplus.com/sdi_catalog/salesItemDetails.do?id=109956</v>
      </c>
      <c r="B1258" s="3" t="s">
        <v>3406</v>
      </c>
      <c r="C1258" s="3" t="s">
        <v>3398</v>
      </c>
      <c r="D1258" s="3" t="s">
        <v>3404</v>
      </c>
      <c r="E1258" s="3" t="s">
        <v>40</v>
      </c>
      <c r="F1258" s="3" t="s">
        <v>16</v>
      </c>
      <c r="G1258" s="3" t="s">
        <v>41</v>
      </c>
      <c r="H1258" s="3"/>
      <c r="I1258" s="3"/>
      <c r="J1258" s="3" t="s">
        <v>42</v>
      </c>
      <c r="K1258" s="3"/>
      <c r="L1258" s="3" t="s">
        <v>3407</v>
      </c>
    </row>
    <row r="1259" customFormat="false" ht="11.9" hidden="false" customHeight="true" outlineLevel="0" collapsed="false">
      <c r="A1259" s="3" t="str">
        <f aca="false">HYPERLINK("https://www.fabsurplus.com/sdi_catalog/salesItemDetails.do?id=109966")</f>
        <v>https://www.fabsurplus.com/sdi_catalog/salesItemDetails.do?id=109966</v>
      </c>
      <c r="B1259" s="3" t="s">
        <v>3408</v>
      </c>
      <c r="C1259" s="3" t="s">
        <v>3398</v>
      </c>
      <c r="D1259" s="3" t="s">
        <v>721</v>
      </c>
      <c r="E1259" s="3" t="s">
        <v>40</v>
      </c>
      <c r="F1259" s="3" t="s">
        <v>16</v>
      </c>
      <c r="G1259" s="3" t="s">
        <v>41</v>
      </c>
      <c r="H1259" s="3"/>
      <c r="I1259" s="3"/>
      <c r="J1259" s="3" t="s">
        <v>42</v>
      </c>
      <c r="K1259" s="3"/>
      <c r="L1259" s="3" t="s">
        <v>3409</v>
      </c>
    </row>
    <row r="1260" customFormat="false" ht="11.9" hidden="false" customHeight="true" outlineLevel="0" collapsed="false">
      <c r="A1260" s="2" t="str">
        <f aca="false">HYPERLINK("https://www.fabsurplus.com/sdi_catalog/salesItemDetails.do?id=109965")</f>
        <v>https://www.fabsurplus.com/sdi_catalog/salesItemDetails.do?id=109965</v>
      </c>
      <c r="B1260" s="2" t="s">
        <v>3410</v>
      </c>
      <c r="C1260" s="2" t="s">
        <v>3398</v>
      </c>
      <c r="D1260" s="2" t="s">
        <v>721</v>
      </c>
      <c r="E1260" s="2" t="s">
        <v>40</v>
      </c>
      <c r="F1260" s="2" t="s">
        <v>16</v>
      </c>
      <c r="G1260" s="2" t="s">
        <v>41</v>
      </c>
      <c r="H1260" s="2"/>
      <c r="I1260" s="2"/>
      <c r="J1260" s="2" t="s">
        <v>42</v>
      </c>
      <c r="K1260" s="2"/>
      <c r="L1260" s="2" t="s">
        <v>3409</v>
      </c>
    </row>
    <row r="1261" customFormat="false" ht="11.9" hidden="false" customHeight="true" outlineLevel="0" collapsed="false">
      <c r="A1261" s="3" t="str">
        <f aca="false">HYPERLINK("https://www.fabsurplus.com/sdi_catalog/salesItemDetails.do?id=109964")</f>
        <v>https://www.fabsurplus.com/sdi_catalog/salesItemDetails.do?id=109964</v>
      </c>
      <c r="B1261" s="3" t="s">
        <v>3411</v>
      </c>
      <c r="C1261" s="3" t="s">
        <v>3398</v>
      </c>
      <c r="D1261" s="3" t="s">
        <v>721</v>
      </c>
      <c r="E1261" s="3" t="s">
        <v>40</v>
      </c>
      <c r="F1261" s="3" t="s">
        <v>16</v>
      </c>
      <c r="G1261" s="3" t="s">
        <v>41</v>
      </c>
      <c r="H1261" s="3"/>
      <c r="I1261" s="3"/>
      <c r="J1261" s="3" t="s">
        <v>42</v>
      </c>
      <c r="K1261" s="3"/>
      <c r="L1261" s="3" t="s">
        <v>3409</v>
      </c>
    </row>
    <row r="1262" customFormat="false" ht="11.9" hidden="false" customHeight="true" outlineLevel="0" collapsed="false">
      <c r="A1262" s="2" t="str">
        <f aca="false">HYPERLINK("https://www.fabsurplus.com/sdi_catalog/salesItemDetails.do?id=109963")</f>
        <v>https://www.fabsurplus.com/sdi_catalog/salesItemDetails.do?id=109963</v>
      </c>
      <c r="B1262" s="2" t="s">
        <v>3412</v>
      </c>
      <c r="C1262" s="2" t="s">
        <v>3398</v>
      </c>
      <c r="D1262" s="2" t="s">
        <v>721</v>
      </c>
      <c r="E1262" s="2" t="s">
        <v>40</v>
      </c>
      <c r="F1262" s="2" t="s">
        <v>16</v>
      </c>
      <c r="G1262" s="2" t="s">
        <v>41</v>
      </c>
      <c r="H1262" s="2"/>
      <c r="I1262" s="2"/>
      <c r="J1262" s="2" t="s">
        <v>42</v>
      </c>
      <c r="K1262" s="2"/>
      <c r="L1262" s="2" t="s">
        <v>3409</v>
      </c>
    </row>
    <row r="1263" customFormat="false" ht="11.9" hidden="false" customHeight="true" outlineLevel="0" collapsed="false">
      <c r="A1263" s="3" t="str">
        <f aca="false">HYPERLINK("https://www.fabsurplus.com/sdi_catalog/salesItemDetails.do?id=109962")</f>
        <v>https://www.fabsurplus.com/sdi_catalog/salesItemDetails.do?id=109962</v>
      </c>
      <c r="B1263" s="3" t="s">
        <v>3413</v>
      </c>
      <c r="C1263" s="3" t="s">
        <v>3398</v>
      </c>
      <c r="D1263" s="3" t="s">
        <v>721</v>
      </c>
      <c r="E1263" s="3" t="s">
        <v>40</v>
      </c>
      <c r="F1263" s="3" t="s">
        <v>16</v>
      </c>
      <c r="G1263" s="3" t="s">
        <v>41</v>
      </c>
      <c r="H1263" s="3"/>
      <c r="I1263" s="3"/>
      <c r="J1263" s="3" t="s">
        <v>42</v>
      </c>
      <c r="K1263" s="3"/>
      <c r="L1263" s="3" t="s">
        <v>3414</v>
      </c>
    </row>
    <row r="1264" customFormat="false" ht="11.9" hidden="false" customHeight="true" outlineLevel="0" collapsed="false">
      <c r="A1264" s="2" t="str">
        <f aca="false">HYPERLINK("https://www.fabsurplus.com/sdi_catalog/salesItemDetails.do?id=109961")</f>
        <v>https://www.fabsurplus.com/sdi_catalog/salesItemDetails.do?id=109961</v>
      </c>
      <c r="B1264" s="2" t="s">
        <v>3415</v>
      </c>
      <c r="C1264" s="2" t="s">
        <v>3398</v>
      </c>
      <c r="D1264" s="2" t="s">
        <v>721</v>
      </c>
      <c r="E1264" s="2" t="s">
        <v>40</v>
      </c>
      <c r="F1264" s="2" t="s">
        <v>16</v>
      </c>
      <c r="G1264" s="2" t="s">
        <v>41</v>
      </c>
      <c r="H1264" s="2"/>
      <c r="I1264" s="2"/>
      <c r="J1264" s="2" t="s">
        <v>42</v>
      </c>
      <c r="K1264" s="2"/>
      <c r="L1264" s="2" t="s">
        <v>3414</v>
      </c>
    </row>
    <row r="1265" customFormat="false" ht="11.9" hidden="false" customHeight="true" outlineLevel="0" collapsed="false">
      <c r="A1265" s="3" t="str">
        <f aca="false">HYPERLINK("https://www.fabsurplus.com/sdi_catalog/salesItemDetails.do?id=109960")</f>
        <v>https://www.fabsurplus.com/sdi_catalog/salesItemDetails.do?id=109960</v>
      </c>
      <c r="B1265" s="3" t="s">
        <v>3416</v>
      </c>
      <c r="C1265" s="3" t="s">
        <v>3398</v>
      </c>
      <c r="D1265" s="3" t="s">
        <v>721</v>
      </c>
      <c r="E1265" s="3" t="s">
        <v>40</v>
      </c>
      <c r="F1265" s="3" t="s">
        <v>16</v>
      </c>
      <c r="G1265" s="3" t="s">
        <v>41</v>
      </c>
      <c r="H1265" s="3"/>
      <c r="I1265" s="3"/>
      <c r="J1265" s="3" t="s">
        <v>42</v>
      </c>
      <c r="K1265" s="3"/>
      <c r="L1265" s="3" t="s">
        <v>3414</v>
      </c>
    </row>
    <row r="1266" customFormat="false" ht="11.9" hidden="false" customHeight="true" outlineLevel="0" collapsed="false">
      <c r="A1266" s="2" t="str">
        <f aca="false">HYPERLINK("https://www.fabsurplus.com/sdi_catalog/salesItemDetails.do?id=109959")</f>
        <v>https://www.fabsurplus.com/sdi_catalog/salesItemDetails.do?id=109959</v>
      </c>
      <c r="B1266" s="2" t="s">
        <v>3417</v>
      </c>
      <c r="C1266" s="2" t="s">
        <v>3398</v>
      </c>
      <c r="D1266" s="2" t="s">
        <v>721</v>
      </c>
      <c r="E1266" s="2" t="s">
        <v>40</v>
      </c>
      <c r="F1266" s="2" t="s">
        <v>16</v>
      </c>
      <c r="G1266" s="2" t="s">
        <v>41</v>
      </c>
      <c r="H1266" s="2"/>
      <c r="I1266" s="2"/>
      <c r="J1266" s="2" t="s">
        <v>42</v>
      </c>
      <c r="K1266" s="2"/>
      <c r="L1266" s="2" t="s">
        <v>3414</v>
      </c>
    </row>
    <row r="1267" customFormat="false" ht="11.9" hidden="false" customHeight="true" outlineLevel="0" collapsed="false">
      <c r="A1267" s="2" t="str">
        <f aca="false">HYPERLINK("https://www.fabsurplus.com/sdi_catalog/salesItemDetails.do?id=109955")</f>
        <v>https://www.fabsurplus.com/sdi_catalog/salesItemDetails.do?id=109955</v>
      </c>
      <c r="B1267" s="2" t="s">
        <v>3418</v>
      </c>
      <c r="C1267" s="2" t="s">
        <v>3419</v>
      </c>
      <c r="D1267" s="2" t="s">
        <v>3404</v>
      </c>
      <c r="E1267" s="2" t="s">
        <v>40</v>
      </c>
      <c r="F1267" s="2" t="s">
        <v>16</v>
      </c>
      <c r="G1267" s="2" t="s">
        <v>41</v>
      </c>
      <c r="H1267" s="2"/>
      <c r="I1267" s="2"/>
      <c r="J1267" s="2" t="s">
        <v>42</v>
      </c>
      <c r="K1267" s="2"/>
      <c r="L1267" s="2" t="s">
        <v>3420</v>
      </c>
    </row>
    <row r="1268" customFormat="false" ht="11.9" hidden="false" customHeight="true" outlineLevel="0" collapsed="false">
      <c r="A1268" s="3" t="str">
        <f aca="false">HYPERLINK("https://www.fabsurplus.com/sdi_catalog/salesItemDetails.do?id=109958")</f>
        <v>https://www.fabsurplus.com/sdi_catalog/salesItemDetails.do?id=109958</v>
      </c>
      <c r="B1268" s="3" t="s">
        <v>3421</v>
      </c>
      <c r="C1268" s="3" t="s">
        <v>3419</v>
      </c>
      <c r="D1268" s="3" t="s">
        <v>721</v>
      </c>
      <c r="E1268" s="3" t="s">
        <v>40</v>
      </c>
      <c r="F1268" s="3" t="s">
        <v>16</v>
      </c>
      <c r="G1268" s="3" t="s">
        <v>41</v>
      </c>
      <c r="H1268" s="3"/>
      <c r="I1268" s="3"/>
      <c r="J1268" s="3" t="s">
        <v>42</v>
      </c>
      <c r="K1268" s="3"/>
      <c r="L1268" s="3" t="s">
        <v>3414</v>
      </c>
    </row>
    <row r="1269" customFormat="false" ht="11.9" hidden="false" customHeight="true" outlineLevel="0" collapsed="false">
      <c r="A1269" s="2" t="str">
        <f aca="false">HYPERLINK("https://www.fabsurplus.com/sdi_catalog/salesItemDetails.do?id=83862")</f>
        <v>https://www.fabsurplus.com/sdi_catalog/salesItemDetails.do?id=83862</v>
      </c>
      <c r="B1269" s="2" t="s">
        <v>3422</v>
      </c>
      <c r="C1269" s="2" t="s">
        <v>3423</v>
      </c>
      <c r="D1269" s="2" t="s">
        <v>3424</v>
      </c>
      <c r="E1269" s="2" t="s">
        <v>3425</v>
      </c>
      <c r="F1269" s="2" t="s">
        <v>16</v>
      </c>
      <c r="G1269" s="2" t="s">
        <v>26</v>
      </c>
      <c r="H1269" s="2" t="s">
        <v>27</v>
      </c>
      <c r="I1269" s="2"/>
      <c r="J1269" s="2" t="s">
        <v>19</v>
      </c>
      <c r="K1269" s="2" t="s">
        <v>20</v>
      </c>
      <c r="L1269" s="6" t="s">
        <v>3426</v>
      </c>
    </row>
    <row r="1270" customFormat="false" ht="11.9" hidden="false" customHeight="true" outlineLevel="0" collapsed="false">
      <c r="A1270" s="3" t="str">
        <f aca="false">HYPERLINK("https://www.fabsurplus.com/sdi_catalog/salesItemDetails.do?id=84378")</f>
        <v>https://www.fabsurplus.com/sdi_catalog/salesItemDetails.do?id=84378</v>
      </c>
      <c r="B1270" s="3" t="s">
        <v>3427</v>
      </c>
      <c r="C1270" s="3" t="s">
        <v>3428</v>
      </c>
      <c r="D1270" s="3"/>
      <c r="E1270" s="3"/>
      <c r="F1270" s="3" t="s">
        <v>69</v>
      </c>
      <c r="G1270" s="3"/>
      <c r="H1270" s="3" t="s">
        <v>27</v>
      </c>
      <c r="I1270" s="3"/>
      <c r="J1270" s="3" t="s">
        <v>19</v>
      </c>
      <c r="K1270" s="3" t="s">
        <v>20</v>
      </c>
      <c r="L1270" s="5" t="s">
        <v>3429</v>
      </c>
    </row>
    <row r="1271" customFormat="false" ht="11.9" hidden="false" customHeight="true" outlineLevel="0" collapsed="false">
      <c r="A1271" s="2" t="str">
        <f aca="false">HYPERLINK("https://www.fabsurplus.com/sdi_catalog/salesItemDetails.do?id=80256")</f>
        <v>https://www.fabsurplus.com/sdi_catalog/salesItemDetails.do?id=80256</v>
      </c>
      <c r="B1271" s="2" t="s">
        <v>3430</v>
      </c>
      <c r="C1271" s="2" t="s">
        <v>3431</v>
      </c>
      <c r="D1271" s="2" t="s">
        <v>3432</v>
      </c>
      <c r="E1271" s="2" t="s">
        <v>3433</v>
      </c>
      <c r="F1271" s="2" t="s">
        <v>3434</v>
      </c>
      <c r="G1271" s="2"/>
      <c r="H1271" s="2" t="s">
        <v>27</v>
      </c>
      <c r="I1271" s="2"/>
      <c r="J1271" s="2" t="s">
        <v>19</v>
      </c>
      <c r="K1271" s="2" t="s">
        <v>20</v>
      </c>
      <c r="L1271" s="2"/>
    </row>
    <row r="1272" customFormat="false" ht="11.9" hidden="false" customHeight="true" outlineLevel="0" collapsed="false">
      <c r="A1272" s="3" t="str">
        <f aca="false">HYPERLINK("https://www.fabsurplus.com/sdi_catalog/salesItemDetails.do?id=80258")</f>
        <v>https://www.fabsurplus.com/sdi_catalog/salesItemDetails.do?id=80258</v>
      </c>
      <c r="B1272" s="3" t="s">
        <v>3435</v>
      </c>
      <c r="C1272" s="3" t="s">
        <v>3431</v>
      </c>
      <c r="D1272" s="3" t="s">
        <v>3436</v>
      </c>
      <c r="E1272" s="3" t="s">
        <v>3433</v>
      </c>
      <c r="F1272" s="3" t="s">
        <v>104</v>
      </c>
      <c r="G1272" s="3"/>
      <c r="H1272" s="3" t="s">
        <v>27</v>
      </c>
      <c r="I1272" s="3"/>
      <c r="J1272" s="3" t="s">
        <v>19</v>
      </c>
      <c r="K1272" s="3" t="s">
        <v>20</v>
      </c>
      <c r="L1272" s="3"/>
    </row>
    <row r="1273" customFormat="false" ht="11.9" hidden="false" customHeight="true" outlineLevel="0" collapsed="false">
      <c r="A1273" s="2" t="str">
        <f aca="false">HYPERLINK("https://www.fabsurplus.com/sdi_catalog/salesItemDetails.do?id=77154")</f>
        <v>https://www.fabsurplus.com/sdi_catalog/salesItemDetails.do?id=77154</v>
      </c>
      <c r="B1273" s="2" t="s">
        <v>3437</v>
      </c>
      <c r="C1273" s="2" t="s">
        <v>3438</v>
      </c>
      <c r="D1273" s="2" t="s">
        <v>3439</v>
      </c>
      <c r="E1273" s="2" t="s">
        <v>3440</v>
      </c>
      <c r="F1273" s="2" t="s">
        <v>16</v>
      </c>
      <c r="G1273" s="2" t="s">
        <v>26</v>
      </c>
      <c r="H1273" s="2" t="s">
        <v>27</v>
      </c>
      <c r="I1273" s="2"/>
      <c r="J1273" s="2" t="s">
        <v>19</v>
      </c>
      <c r="K1273" s="2" t="s">
        <v>20</v>
      </c>
      <c r="L1273" s="6" t="s">
        <v>3441</v>
      </c>
    </row>
    <row r="1274" customFormat="false" ht="11.9" hidden="false" customHeight="true" outlineLevel="0" collapsed="false">
      <c r="A1274" s="3" t="str">
        <f aca="false">HYPERLINK("https://www.fabsurplus.com/sdi_catalog/salesItemDetails.do?id=84244")</f>
        <v>https://www.fabsurplus.com/sdi_catalog/salesItemDetails.do?id=84244</v>
      </c>
      <c r="B1274" s="3" t="s">
        <v>3442</v>
      </c>
      <c r="C1274" s="3" t="s">
        <v>3443</v>
      </c>
      <c r="D1274" s="3" t="s">
        <v>3444</v>
      </c>
      <c r="E1274" s="3" t="s">
        <v>3445</v>
      </c>
      <c r="F1274" s="3" t="s">
        <v>77</v>
      </c>
      <c r="G1274" s="3" t="s">
        <v>26</v>
      </c>
      <c r="H1274" s="3" t="s">
        <v>1691</v>
      </c>
      <c r="I1274" s="3"/>
      <c r="J1274" s="3" t="s">
        <v>19</v>
      </c>
      <c r="K1274" s="3" t="s">
        <v>20</v>
      </c>
      <c r="L1274" s="5" t="s">
        <v>3446</v>
      </c>
    </row>
    <row r="1275" customFormat="false" ht="11.9" hidden="false" customHeight="true" outlineLevel="0" collapsed="false">
      <c r="A1275" s="3" t="str">
        <f aca="false">HYPERLINK("https://www.fabsurplus.com/sdi_catalog/salesItemDetails.do?id=52262")</f>
        <v>https://www.fabsurplus.com/sdi_catalog/salesItemDetails.do?id=52262</v>
      </c>
      <c r="B1275" s="3" t="s">
        <v>3447</v>
      </c>
      <c r="C1275" s="3" t="s">
        <v>3448</v>
      </c>
      <c r="D1275" s="3" t="s">
        <v>3449</v>
      </c>
      <c r="E1275" s="3" t="s">
        <v>3450</v>
      </c>
      <c r="F1275" s="3" t="s">
        <v>16</v>
      </c>
      <c r="G1275" s="3" t="s">
        <v>17</v>
      </c>
      <c r="H1275" s="3" t="s">
        <v>27</v>
      </c>
      <c r="I1275" s="4" t="n">
        <v>36312</v>
      </c>
      <c r="J1275" s="3" t="s">
        <v>19</v>
      </c>
      <c r="K1275" s="3" t="s">
        <v>20</v>
      </c>
      <c r="L1275" s="3" t="s">
        <v>3451</v>
      </c>
    </row>
    <row r="1276" customFormat="false" ht="11.9" hidden="false" customHeight="true" outlineLevel="0" collapsed="false">
      <c r="A1276" s="2" t="str">
        <f aca="false">HYPERLINK("https://www.fabsurplus.com/sdi_catalog/salesItemDetails.do?id=109091")</f>
        <v>https://www.fabsurplus.com/sdi_catalog/salesItemDetails.do?id=109091</v>
      </c>
      <c r="B1276" s="2" t="s">
        <v>3452</v>
      </c>
      <c r="C1276" s="2" t="s">
        <v>3448</v>
      </c>
      <c r="D1276" s="2" t="s">
        <v>3453</v>
      </c>
      <c r="E1276" s="2" t="s">
        <v>3454</v>
      </c>
      <c r="F1276" s="2" t="s">
        <v>16</v>
      </c>
      <c r="G1276" s="2" t="s">
        <v>26</v>
      </c>
      <c r="H1276" s="2" t="s">
        <v>35</v>
      </c>
      <c r="I1276" s="2"/>
      <c r="J1276" s="2" t="s">
        <v>19</v>
      </c>
      <c r="K1276" s="2" t="s">
        <v>20</v>
      </c>
      <c r="L1276" s="2" t="s">
        <v>3455</v>
      </c>
    </row>
    <row r="1277" customFormat="false" ht="11.9" hidden="false" customHeight="true" outlineLevel="0" collapsed="false">
      <c r="A1277" s="2" t="str">
        <f aca="false">HYPERLINK("https://www.fabsurplus.com/sdi_catalog/salesItemDetails.do?id=109094")</f>
        <v>https://www.fabsurplus.com/sdi_catalog/salesItemDetails.do?id=109094</v>
      </c>
      <c r="B1277" s="2" t="s">
        <v>3456</v>
      </c>
      <c r="C1277" s="2" t="s">
        <v>3457</v>
      </c>
      <c r="D1277" s="2" t="s">
        <v>3458</v>
      </c>
      <c r="E1277" s="2" t="s">
        <v>3459</v>
      </c>
      <c r="F1277" s="2" t="s">
        <v>16</v>
      </c>
      <c r="G1277" s="2" t="s">
        <v>26</v>
      </c>
      <c r="H1277" s="2" t="s">
        <v>35</v>
      </c>
      <c r="I1277" s="2"/>
      <c r="J1277" s="2" t="s">
        <v>19</v>
      </c>
      <c r="K1277" s="2" t="s">
        <v>3460</v>
      </c>
      <c r="L1277" s="6" t="s">
        <v>3461</v>
      </c>
    </row>
    <row r="1278" customFormat="false" ht="11.9" hidden="false" customHeight="true" outlineLevel="0" collapsed="false">
      <c r="A1278" s="3" t="str">
        <f aca="false">HYPERLINK("https://www.fabsurplus.com/sdi_catalog/salesItemDetails.do?id=106231")</f>
        <v>https://www.fabsurplus.com/sdi_catalog/salesItemDetails.do?id=106231</v>
      </c>
      <c r="B1278" s="3" t="s">
        <v>3462</v>
      </c>
      <c r="C1278" s="3" t="s">
        <v>3448</v>
      </c>
      <c r="D1278" s="3" t="s">
        <v>3463</v>
      </c>
      <c r="E1278" s="3" t="s">
        <v>3464</v>
      </c>
      <c r="F1278" s="3" t="s">
        <v>16</v>
      </c>
      <c r="G1278" s="3" t="s">
        <v>26</v>
      </c>
      <c r="H1278" s="3" t="s">
        <v>27</v>
      </c>
      <c r="I1278" s="4" t="n">
        <v>35947</v>
      </c>
      <c r="J1278" s="3" t="s">
        <v>19</v>
      </c>
      <c r="K1278" s="3" t="s">
        <v>20</v>
      </c>
      <c r="L1278" s="3" t="s">
        <v>3465</v>
      </c>
    </row>
    <row r="1279" customFormat="false" ht="11.9" hidden="false" customHeight="true" outlineLevel="0" collapsed="false">
      <c r="A1279" s="3" t="str">
        <f aca="false">HYPERLINK("https://www.fabsurplus.com/sdi_catalog/salesItemDetails.do?id=53066")</f>
        <v>https://www.fabsurplus.com/sdi_catalog/salesItemDetails.do?id=53066</v>
      </c>
      <c r="B1279" s="3" t="s">
        <v>3466</v>
      </c>
      <c r="C1279" s="3" t="s">
        <v>3448</v>
      </c>
      <c r="D1279" s="3" t="s">
        <v>3467</v>
      </c>
      <c r="E1279" s="3" t="s">
        <v>3468</v>
      </c>
      <c r="F1279" s="3" t="s">
        <v>16</v>
      </c>
      <c r="G1279" s="3" t="s">
        <v>17</v>
      </c>
      <c r="H1279" s="3" t="s">
        <v>27</v>
      </c>
      <c r="I1279" s="4" t="n">
        <v>35550.9166666667</v>
      </c>
      <c r="J1279" s="3" t="s">
        <v>19</v>
      </c>
      <c r="K1279" s="3" t="s">
        <v>20</v>
      </c>
      <c r="L1279" s="5" t="s">
        <v>3469</v>
      </c>
    </row>
    <row r="1280" customFormat="false" ht="11.9" hidden="false" customHeight="true" outlineLevel="0" collapsed="false">
      <c r="A1280" s="2" t="str">
        <f aca="false">HYPERLINK("https://www.fabsurplus.com/sdi_catalog/salesItemDetails.do?id=103739")</f>
        <v>https://www.fabsurplus.com/sdi_catalog/salesItemDetails.do?id=103739</v>
      </c>
      <c r="B1280" s="2" t="s">
        <v>3470</v>
      </c>
      <c r="C1280" s="2" t="s">
        <v>3457</v>
      </c>
      <c r="D1280" s="2" t="s">
        <v>3471</v>
      </c>
      <c r="E1280" s="2" t="s">
        <v>3472</v>
      </c>
      <c r="F1280" s="2" t="s">
        <v>16</v>
      </c>
      <c r="G1280" s="2" t="s">
        <v>26</v>
      </c>
      <c r="H1280" s="2" t="s">
        <v>27</v>
      </c>
      <c r="I1280" s="7" t="n">
        <v>35369.9583333333</v>
      </c>
      <c r="J1280" s="2" t="s">
        <v>19</v>
      </c>
      <c r="K1280" s="2" t="s">
        <v>20</v>
      </c>
      <c r="L1280" s="2" t="s">
        <v>3473</v>
      </c>
    </row>
    <row r="1281" customFormat="false" ht="11.9" hidden="false" customHeight="true" outlineLevel="0" collapsed="false">
      <c r="A1281" s="3" t="str">
        <f aca="false">HYPERLINK("https://www.fabsurplus.com/sdi_catalog/salesItemDetails.do?id=80249")</f>
        <v>https://www.fabsurplus.com/sdi_catalog/salesItemDetails.do?id=80249</v>
      </c>
      <c r="B1281" s="3" t="s">
        <v>3474</v>
      </c>
      <c r="C1281" s="3" t="s">
        <v>3457</v>
      </c>
      <c r="D1281" s="3" t="s">
        <v>3475</v>
      </c>
      <c r="E1281" s="3" t="s">
        <v>3476</v>
      </c>
      <c r="F1281" s="3" t="s">
        <v>16</v>
      </c>
      <c r="G1281" s="3"/>
      <c r="H1281" s="3" t="s">
        <v>27</v>
      </c>
      <c r="I1281" s="3"/>
      <c r="J1281" s="3" t="s">
        <v>19</v>
      </c>
      <c r="K1281" s="3" t="s">
        <v>20</v>
      </c>
      <c r="L1281" s="3"/>
    </row>
    <row r="1282" customFormat="false" ht="11.9" hidden="false" customHeight="true" outlineLevel="0" collapsed="false">
      <c r="A1282" s="2" t="str">
        <f aca="false">HYPERLINK("https://www.fabsurplus.com/sdi_catalog/salesItemDetails.do?id=106230")</f>
        <v>https://www.fabsurplus.com/sdi_catalog/salesItemDetails.do?id=106230</v>
      </c>
      <c r="B1282" s="2" t="s">
        <v>3477</v>
      </c>
      <c r="C1282" s="2" t="s">
        <v>3448</v>
      </c>
      <c r="D1282" s="2" t="s">
        <v>3478</v>
      </c>
      <c r="E1282" s="2" t="s">
        <v>3479</v>
      </c>
      <c r="F1282" s="2" t="s">
        <v>16</v>
      </c>
      <c r="G1282" s="2" t="s">
        <v>26</v>
      </c>
      <c r="H1282" s="2" t="s">
        <v>27</v>
      </c>
      <c r="I1282" s="7" t="n">
        <v>35947</v>
      </c>
      <c r="J1282" s="2" t="s">
        <v>19</v>
      </c>
      <c r="K1282" s="2" t="s">
        <v>20</v>
      </c>
      <c r="L1282" s="2" t="s">
        <v>3465</v>
      </c>
    </row>
    <row r="1283" customFormat="false" ht="11.9" hidden="false" customHeight="true" outlineLevel="0" collapsed="false">
      <c r="A1283" s="3" t="str">
        <f aca="false">HYPERLINK("https://www.fabsurplus.com/sdi_catalog/salesItemDetails.do?id=106229")</f>
        <v>https://www.fabsurplus.com/sdi_catalog/salesItemDetails.do?id=106229</v>
      </c>
      <c r="B1283" s="3" t="s">
        <v>3480</v>
      </c>
      <c r="C1283" s="3" t="s">
        <v>3448</v>
      </c>
      <c r="D1283" s="3" t="s">
        <v>3481</v>
      </c>
      <c r="E1283" s="3" t="s">
        <v>3482</v>
      </c>
      <c r="F1283" s="3" t="s">
        <v>16</v>
      </c>
      <c r="G1283" s="3" t="s">
        <v>26</v>
      </c>
      <c r="H1283" s="3" t="s">
        <v>27</v>
      </c>
      <c r="I1283" s="4" t="n">
        <v>35947</v>
      </c>
      <c r="J1283" s="3" t="s">
        <v>19</v>
      </c>
      <c r="K1283" s="3" t="s">
        <v>20</v>
      </c>
      <c r="L1283" s="3" t="s">
        <v>3465</v>
      </c>
    </row>
    <row r="1284" customFormat="false" ht="11.9" hidden="false" customHeight="true" outlineLevel="0" collapsed="false">
      <c r="A1284" s="2" t="str">
        <f aca="false">HYPERLINK("https://www.fabsurplus.com/sdi_catalog/salesItemDetails.do?id=106238")</f>
        <v>https://www.fabsurplus.com/sdi_catalog/salesItemDetails.do?id=106238</v>
      </c>
      <c r="B1284" s="2" t="s">
        <v>3483</v>
      </c>
      <c r="C1284" s="2" t="s">
        <v>3448</v>
      </c>
      <c r="D1284" s="2" t="s">
        <v>3484</v>
      </c>
      <c r="E1284" s="2" t="s">
        <v>3485</v>
      </c>
      <c r="F1284" s="2" t="s">
        <v>16</v>
      </c>
      <c r="G1284" s="2" t="s">
        <v>26</v>
      </c>
      <c r="H1284" s="2" t="s">
        <v>27</v>
      </c>
      <c r="I1284" s="7" t="n">
        <v>35947</v>
      </c>
      <c r="J1284" s="2" t="s">
        <v>19</v>
      </c>
      <c r="K1284" s="2" t="s">
        <v>20</v>
      </c>
      <c r="L1284" s="6" t="s">
        <v>3486</v>
      </c>
    </row>
    <row r="1285" customFormat="false" ht="11.9" hidden="false" customHeight="true" outlineLevel="0" collapsed="false">
      <c r="A1285" s="2" t="str">
        <f aca="false">HYPERLINK("https://www.fabsurplus.com/sdi_catalog/salesItemDetails.do?id=106232")</f>
        <v>https://www.fabsurplus.com/sdi_catalog/salesItemDetails.do?id=106232</v>
      </c>
      <c r="B1285" s="2" t="s">
        <v>3487</v>
      </c>
      <c r="C1285" s="2" t="s">
        <v>3448</v>
      </c>
      <c r="D1285" s="2" t="s">
        <v>3488</v>
      </c>
      <c r="E1285" s="2" t="s">
        <v>3489</v>
      </c>
      <c r="F1285" s="2" t="s">
        <v>16</v>
      </c>
      <c r="G1285" s="2" t="s">
        <v>26</v>
      </c>
      <c r="H1285" s="2" t="s">
        <v>27</v>
      </c>
      <c r="I1285" s="7" t="n">
        <v>35947</v>
      </c>
      <c r="J1285" s="2" t="s">
        <v>19</v>
      </c>
      <c r="K1285" s="2" t="s">
        <v>20</v>
      </c>
      <c r="L1285" s="2" t="s">
        <v>3465</v>
      </c>
    </row>
    <row r="1286" customFormat="false" ht="11.9" hidden="false" customHeight="true" outlineLevel="0" collapsed="false">
      <c r="A1286" s="2" t="str">
        <f aca="false">HYPERLINK("https://www.fabsurplus.com/sdi_catalog/salesItemDetails.do?id=106234")</f>
        <v>https://www.fabsurplus.com/sdi_catalog/salesItemDetails.do?id=106234</v>
      </c>
      <c r="B1286" s="2" t="s">
        <v>3490</v>
      </c>
      <c r="C1286" s="2" t="s">
        <v>3448</v>
      </c>
      <c r="D1286" s="2" t="s">
        <v>3491</v>
      </c>
      <c r="E1286" s="2" t="s">
        <v>3492</v>
      </c>
      <c r="F1286" s="2" t="s">
        <v>16</v>
      </c>
      <c r="G1286" s="2" t="s">
        <v>26</v>
      </c>
      <c r="H1286" s="2" t="s">
        <v>27</v>
      </c>
      <c r="I1286" s="7" t="n">
        <v>35947</v>
      </c>
      <c r="J1286" s="2" t="s">
        <v>19</v>
      </c>
      <c r="K1286" s="2" t="s">
        <v>20</v>
      </c>
      <c r="L1286" s="2" t="s">
        <v>3465</v>
      </c>
    </row>
    <row r="1287" customFormat="false" ht="11.9" hidden="false" customHeight="true" outlineLevel="0" collapsed="false">
      <c r="A1287" s="3" t="str">
        <f aca="false">HYPERLINK("https://www.fabsurplus.com/sdi_catalog/salesItemDetails.do?id=109092")</f>
        <v>https://www.fabsurplus.com/sdi_catalog/salesItemDetails.do?id=109092</v>
      </c>
      <c r="B1287" s="3" t="s">
        <v>3493</v>
      </c>
      <c r="C1287" s="3" t="s">
        <v>3448</v>
      </c>
      <c r="D1287" s="3" t="s">
        <v>3494</v>
      </c>
      <c r="E1287" s="3" t="s">
        <v>3495</v>
      </c>
      <c r="F1287" s="3" t="s">
        <v>16</v>
      </c>
      <c r="G1287" s="3" t="s">
        <v>26</v>
      </c>
      <c r="H1287" s="3" t="s">
        <v>35</v>
      </c>
      <c r="I1287" s="3"/>
      <c r="J1287" s="3" t="s">
        <v>19</v>
      </c>
      <c r="K1287" s="3" t="s">
        <v>20</v>
      </c>
      <c r="L1287" s="3" t="s">
        <v>3496</v>
      </c>
    </row>
    <row r="1288" customFormat="false" ht="11.9" hidden="false" customHeight="true" outlineLevel="0" collapsed="false">
      <c r="A1288" s="3" t="str">
        <f aca="false">HYPERLINK("https://www.fabsurplus.com/sdi_catalog/salesItemDetails.do?id=53056")</f>
        <v>https://www.fabsurplus.com/sdi_catalog/salesItemDetails.do?id=53056</v>
      </c>
      <c r="B1288" s="3" t="s">
        <v>3497</v>
      </c>
      <c r="C1288" s="3" t="s">
        <v>3448</v>
      </c>
      <c r="D1288" s="3" t="s">
        <v>3498</v>
      </c>
      <c r="E1288" s="3" t="s">
        <v>3499</v>
      </c>
      <c r="F1288" s="3" t="s">
        <v>16</v>
      </c>
      <c r="G1288" s="3" t="s">
        <v>17</v>
      </c>
      <c r="H1288" s="3" t="s">
        <v>27</v>
      </c>
      <c r="I1288" s="3"/>
      <c r="J1288" s="3" t="s">
        <v>19</v>
      </c>
      <c r="K1288" s="3" t="s">
        <v>20</v>
      </c>
      <c r="L1288" s="3" t="s">
        <v>3500</v>
      </c>
    </row>
    <row r="1289" customFormat="false" ht="11.9" hidden="false" customHeight="true" outlineLevel="0" collapsed="false">
      <c r="A1289" s="3" t="str">
        <f aca="false">HYPERLINK("https://www.fabsurplus.com/sdi_catalog/salesItemDetails.do?id=53062")</f>
        <v>https://www.fabsurplus.com/sdi_catalog/salesItemDetails.do?id=53062</v>
      </c>
      <c r="B1289" s="3" t="s">
        <v>3501</v>
      </c>
      <c r="C1289" s="3" t="s">
        <v>3448</v>
      </c>
      <c r="D1289" s="3" t="s">
        <v>3502</v>
      </c>
      <c r="E1289" s="3" t="s">
        <v>3503</v>
      </c>
      <c r="F1289" s="3" t="s">
        <v>16</v>
      </c>
      <c r="G1289" s="3" t="s">
        <v>17</v>
      </c>
      <c r="H1289" s="3" t="s">
        <v>27</v>
      </c>
      <c r="I1289" s="4" t="n">
        <v>36341.9166666667</v>
      </c>
      <c r="J1289" s="3" t="s">
        <v>19</v>
      </c>
      <c r="K1289" s="3" t="s">
        <v>20</v>
      </c>
      <c r="L1289" s="5" t="s">
        <v>3504</v>
      </c>
    </row>
    <row r="1290" customFormat="false" ht="11.9" hidden="false" customHeight="true" outlineLevel="0" collapsed="false">
      <c r="A1290" s="2" t="str">
        <f aca="false">HYPERLINK("https://www.fabsurplus.com/sdi_catalog/salesItemDetails.do?id=53063")</f>
        <v>https://www.fabsurplus.com/sdi_catalog/salesItemDetails.do?id=53063</v>
      </c>
      <c r="B1290" s="2" t="s">
        <v>3505</v>
      </c>
      <c r="C1290" s="2" t="s">
        <v>3448</v>
      </c>
      <c r="D1290" s="2" t="s">
        <v>3506</v>
      </c>
      <c r="E1290" s="2" t="s">
        <v>3507</v>
      </c>
      <c r="F1290" s="2" t="s">
        <v>16</v>
      </c>
      <c r="G1290" s="2" t="s">
        <v>17</v>
      </c>
      <c r="H1290" s="2" t="s">
        <v>27</v>
      </c>
      <c r="I1290" s="7" t="n">
        <v>36341.9166666667</v>
      </c>
      <c r="J1290" s="2" t="s">
        <v>19</v>
      </c>
      <c r="K1290" s="2" t="s">
        <v>20</v>
      </c>
      <c r="L1290" s="2" t="s">
        <v>3508</v>
      </c>
    </row>
    <row r="1291" customFormat="false" ht="11.9" hidden="false" customHeight="true" outlineLevel="0" collapsed="false">
      <c r="A1291" s="2" t="str">
        <f aca="false">HYPERLINK("https://www.fabsurplus.com/sdi_catalog/salesItemDetails.do?id=53057")</f>
        <v>https://www.fabsurplus.com/sdi_catalog/salesItemDetails.do?id=53057</v>
      </c>
      <c r="B1291" s="2" t="s">
        <v>3509</v>
      </c>
      <c r="C1291" s="2" t="s">
        <v>3448</v>
      </c>
      <c r="D1291" s="2" t="s">
        <v>3510</v>
      </c>
      <c r="E1291" s="2" t="s">
        <v>3511</v>
      </c>
      <c r="F1291" s="2" t="s">
        <v>16</v>
      </c>
      <c r="G1291" s="2" t="s">
        <v>17</v>
      </c>
      <c r="H1291" s="2" t="s">
        <v>27</v>
      </c>
      <c r="I1291" s="7" t="n">
        <v>36341.9166666667</v>
      </c>
      <c r="J1291" s="2" t="s">
        <v>19</v>
      </c>
      <c r="K1291" s="2" t="s">
        <v>20</v>
      </c>
      <c r="L1291" s="2" t="s">
        <v>3512</v>
      </c>
    </row>
    <row r="1292" customFormat="false" ht="11.9" hidden="false" customHeight="true" outlineLevel="0" collapsed="false">
      <c r="A1292" s="3" t="str">
        <f aca="false">HYPERLINK("https://www.fabsurplus.com/sdi_catalog/salesItemDetails.do?id=53058")</f>
        <v>https://www.fabsurplus.com/sdi_catalog/salesItemDetails.do?id=53058</v>
      </c>
      <c r="B1292" s="3" t="s">
        <v>3513</v>
      </c>
      <c r="C1292" s="3" t="s">
        <v>3448</v>
      </c>
      <c r="D1292" s="3" t="s">
        <v>3514</v>
      </c>
      <c r="E1292" s="3" t="s">
        <v>3515</v>
      </c>
      <c r="F1292" s="3" t="s">
        <v>16</v>
      </c>
      <c r="G1292" s="3" t="s">
        <v>17</v>
      </c>
      <c r="H1292" s="3" t="s">
        <v>27</v>
      </c>
      <c r="I1292" s="4" t="n">
        <v>36341.9166666667</v>
      </c>
      <c r="J1292" s="3" t="s">
        <v>19</v>
      </c>
      <c r="K1292" s="3" t="s">
        <v>20</v>
      </c>
      <c r="L1292" s="3" t="s">
        <v>3516</v>
      </c>
    </row>
    <row r="1293" customFormat="false" ht="11.9" hidden="false" customHeight="true" outlineLevel="0" collapsed="false">
      <c r="A1293" s="2" t="str">
        <f aca="false">HYPERLINK("https://www.fabsurplus.com/sdi_catalog/salesItemDetails.do?id=53061")</f>
        <v>https://www.fabsurplus.com/sdi_catalog/salesItemDetails.do?id=53061</v>
      </c>
      <c r="B1293" s="2" t="s">
        <v>3517</v>
      </c>
      <c r="C1293" s="2" t="s">
        <v>3448</v>
      </c>
      <c r="D1293" s="2" t="s">
        <v>3518</v>
      </c>
      <c r="E1293" s="2" t="s">
        <v>3519</v>
      </c>
      <c r="F1293" s="2" t="s">
        <v>16</v>
      </c>
      <c r="G1293" s="2" t="s">
        <v>17</v>
      </c>
      <c r="H1293" s="2" t="s">
        <v>27</v>
      </c>
      <c r="I1293" s="7" t="n">
        <v>34880.9166666667</v>
      </c>
      <c r="J1293" s="2" t="s">
        <v>19</v>
      </c>
      <c r="K1293" s="2" t="s">
        <v>20</v>
      </c>
      <c r="L1293" s="2" t="s">
        <v>3520</v>
      </c>
    </row>
    <row r="1294" customFormat="false" ht="11.9" hidden="false" customHeight="true" outlineLevel="0" collapsed="false">
      <c r="A1294" s="3" t="str">
        <f aca="false">HYPERLINK("https://www.fabsurplus.com/sdi_catalog/salesItemDetails.do?id=53060")</f>
        <v>https://www.fabsurplus.com/sdi_catalog/salesItemDetails.do?id=53060</v>
      </c>
      <c r="B1294" s="3" t="s">
        <v>3521</v>
      </c>
      <c r="C1294" s="3" t="s">
        <v>3448</v>
      </c>
      <c r="D1294" s="3" t="s">
        <v>3522</v>
      </c>
      <c r="E1294" s="3" t="s">
        <v>3523</v>
      </c>
      <c r="F1294" s="3" t="s">
        <v>16</v>
      </c>
      <c r="G1294" s="3" t="s">
        <v>17</v>
      </c>
      <c r="H1294" s="3" t="s">
        <v>27</v>
      </c>
      <c r="I1294" s="4" t="n">
        <v>36341.9166666667</v>
      </c>
      <c r="J1294" s="3" t="s">
        <v>19</v>
      </c>
      <c r="K1294" s="3" t="s">
        <v>20</v>
      </c>
      <c r="L1294" s="3" t="s">
        <v>3524</v>
      </c>
    </row>
    <row r="1295" customFormat="false" ht="11.9" hidden="false" customHeight="true" outlineLevel="0" collapsed="false">
      <c r="A1295" s="2" t="str">
        <f aca="false">HYPERLINK("https://www.fabsurplus.com/sdi_catalog/salesItemDetails.do?id=53059")</f>
        <v>https://www.fabsurplus.com/sdi_catalog/salesItemDetails.do?id=53059</v>
      </c>
      <c r="B1295" s="2" t="s">
        <v>3525</v>
      </c>
      <c r="C1295" s="2" t="s">
        <v>3448</v>
      </c>
      <c r="D1295" s="2" t="s">
        <v>3526</v>
      </c>
      <c r="E1295" s="2" t="s">
        <v>3527</v>
      </c>
      <c r="F1295" s="2" t="s">
        <v>16</v>
      </c>
      <c r="G1295" s="2" t="s">
        <v>17</v>
      </c>
      <c r="H1295" s="2" t="s">
        <v>27</v>
      </c>
      <c r="I1295" s="7" t="n">
        <v>36312</v>
      </c>
      <c r="J1295" s="2" t="s">
        <v>19</v>
      </c>
      <c r="K1295" s="2" t="s">
        <v>20</v>
      </c>
      <c r="L1295" s="6" t="s">
        <v>3528</v>
      </c>
    </row>
    <row r="1296" customFormat="false" ht="11.9" hidden="false" customHeight="true" outlineLevel="0" collapsed="false">
      <c r="A1296" s="3" t="str">
        <f aca="false">HYPERLINK("https://www.fabsurplus.com/sdi_catalog/salesItemDetails.do?id=53049")</f>
        <v>https://www.fabsurplus.com/sdi_catalog/salesItemDetails.do?id=53049</v>
      </c>
      <c r="B1296" s="3" t="s">
        <v>3529</v>
      </c>
      <c r="C1296" s="3" t="s">
        <v>3448</v>
      </c>
      <c r="D1296" s="3" t="s">
        <v>3530</v>
      </c>
      <c r="E1296" s="3" t="s">
        <v>3531</v>
      </c>
      <c r="F1296" s="3" t="s">
        <v>16</v>
      </c>
      <c r="G1296" s="3" t="s">
        <v>17</v>
      </c>
      <c r="H1296" s="3" t="s">
        <v>27</v>
      </c>
      <c r="I1296" s="4" t="n">
        <v>36311.9166666667</v>
      </c>
      <c r="J1296" s="3" t="s">
        <v>19</v>
      </c>
      <c r="K1296" s="3" t="s">
        <v>20</v>
      </c>
      <c r="L1296" s="3" t="s">
        <v>3532</v>
      </c>
    </row>
    <row r="1297" customFormat="false" ht="11.9" hidden="false" customHeight="true" outlineLevel="0" collapsed="false">
      <c r="A1297" s="2" t="str">
        <f aca="false">HYPERLINK("https://www.fabsurplus.com/sdi_catalog/salesItemDetails.do?id=53050")</f>
        <v>https://www.fabsurplus.com/sdi_catalog/salesItemDetails.do?id=53050</v>
      </c>
      <c r="B1297" s="2" t="s">
        <v>3533</v>
      </c>
      <c r="C1297" s="2" t="s">
        <v>3448</v>
      </c>
      <c r="D1297" s="2" t="s">
        <v>3534</v>
      </c>
      <c r="E1297" s="2" t="s">
        <v>3535</v>
      </c>
      <c r="F1297" s="2" t="s">
        <v>16</v>
      </c>
      <c r="G1297" s="2" t="s">
        <v>17</v>
      </c>
      <c r="H1297" s="2" t="s">
        <v>27</v>
      </c>
      <c r="I1297" s="7" t="n">
        <v>36341.9166666667</v>
      </c>
      <c r="J1297" s="2" t="s">
        <v>19</v>
      </c>
      <c r="K1297" s="2" t="s">
        <v>20</v>
      </c>
      <c r="L1297" s="2" t="s">
        <v>3536</v>
      </c>
    </row>
    <row r="1298" customFormat="false" ht="11.9" hidden="false" customHeight="true" outlineLevel="0" collapsed="false">
      <c r="A1298" s="3" t="str">
        <f aca="false">HYPERLINK("https://www.fabsurplus.com/sdi_catalog/salesItemDetails.do?id=52347")</f>
        <v>https://www.fabsurplus.com/sdi_catalog/salesItemDetails.do?id=52347</v>
      </c>
      <c r="B1298" s="3" t="s">
        <v>3537</v>
      </c>
      <c r="C1298" s="3" t="s">
        <v>3448</v>
      </c>
      <c r="D1298" s="3" t="s">
        <v>3538</v>
      </c>
      <c r="E1298" s="3" t="s">
        <v>3539</v>
      </c>
      <c r="F1298" s="3" t="s">
        <v>16</v>
      </c>
      <c r="G1298" s="3" t="s">
        <v>17</v>
      </c>
      <c r="H1298" s="3" t="s">
        <v>27</v>
      </c>
      <c r="I1298" s="3"/>
      <c r="J1298" s="3" t="s">
        <v>19</v>
      </c>
      <c r="K1298" s="3" t="s">
        <v>20</v>
      </c>
      <c r="L1298" s="3" t="s">
        <v>3540</v>
      </c>
    </row>
    <row r="1299" customFormat="false" ht="11.9" hidden="false" customHeight="true" outlineLevel="0" collapsed="false">
      <c r="A1299" s="3" t="str">
        <f aca="false">HYPERLINK("https://www.fabsurplus.com/sdi_catalog/salesItemDetails.do?id=52342")</f>
        <v>https://www.fabsurplus.com/sdi_catalog/salesItemDetails.do?id=52342</v>
      </c>
      <c r="B1299" s="3" t="s">
        <v>3541</v>
      </c>
      <c r="C1299" s="3" t="s">
        <v>3448</v>
      </c>
      <c r="D1299" s="3" t="s">
        <v>3542</v>
      </c>
      <c r="E1299" s="3" t="s">
        <v>3543</v>
      </c>
      <c r="F1299" s="3" t="s">
        <v>16</v>
      </c>
      <c r="G1299" s="3" t="s">
        <v>17</v>
      </c>
      <c r="H1299" s="3" t="s">
        <v>27</v>
      </c>
      <c r="I1299" s="4" t="n">
        <v>36341.9166666667</v>
      </c>
      <c r="J1299" s="3" t="s">
        <v>19</v>
      </c>
      <c r="K1299" s="3" t="s">
        <v>20</v>
      </c>
      <c r="L1299" s="3" t="s">
        <v>3544</v>
      </c>
    </row>
    <row r="1300" customFormat="false" ht="11.9" hidden="false" customHeight="true" outlineLevel="0" collapsed="false">
      <c r="A1300" s="2" t="str">
        <f aca="false">HYPERLINK("https://www.fabsurplus.com/sdi_catalog/salesItemDetails.do?id=52341")</f>
        <v>https://www.fabsurplus.com/sdi_catalog/salesItemDetails.do?id=52341</v>
      </c>
      <c r="B1300" s="2" t="s">
        <v>3545</v>
      </c>
      <c r="C1300" s="2" t="s">
        <v>3448</v>
      </c>
      <c r="D1300" s="2" t="s">
        <v>3546</v>
      </c>
      <c r="E1300" s="2" t="s">
        <v>3547</v>
      </c>
      <c r="F1300" s="2" t="s">
        <v>16</v>
      </c>
      <c r="G1300" s="2" t="s">
        <v>17</v>
      </c>
      <c r="H1300" s="2" t="s">
        <v>27</v>
      </c>
      <c r="I1300" s="7" t="n">
        <v>36341.9166666667</v>
      </c>
      <c r="J1300" s="2" t="s">
        <v>19</v>
      </c>
      <c r="K1300" s="2" t="s">
        <v>20</v>
      </c>
      <c r="L1300" s="2" t="s">
        <v>3548</v>
      </c>
    </row>
    <row r="1301" customFormat="false" ht="11.9" hidden="false" customHeight="true" outlineLevel="0" collapsed="false">
      <c r="A1301" s="3" t="str">
        <f aca="false">HYPERLINK("https://www.fabsurplus.com/sdi_catalog/salesItemDetails.do?id=52338")</f>
        <v>https://www.fabsurplus.com/sdi_catalog/salesItemDetails.do?id=52338</v>
      </c>
      <c r="B1301" s="3" t="s">
        <v>3549</v>
      </c>
      <c r="C1301" s="3" t="s">
        <v>3448</v>
      </c>
      <c r="D1301" s="3" t="s">
        <v>3550</v>
      </c>
      <c r="E1301" s="3" t="s">
        <v>3551</v>
      </c>
      <c r="F1301" s="3" t="s">
        <v>16</v>
      </c>
      <c r="G1301" s="3" t="s">
        <v>17</v>
      </c>
      <c r="H1301" s="3" t="s">
        <v>27</v>
      </c>
      <c r="I1301" s="4" t="n">
        <v>36341.9166666667</v>
      </c>
      <c r="J1301" s="3" t="s">
        <v>19</v>
      </c>
      <c r="K1301" s="3" t="s">
        <v>20</v>
      </c>
      <c r="L1301" s="5" t="s">
        <v>3552</v>
      </c>
    </row>
    <row r="1302" customFormat="false" ht="11.9" hidden="false" customHeight="true" outlineLevel="0" collapsed="false">
      <c r="A1302" s="2" t="str">
        <f aca="false">HYPERLINK("https://www.fabsurplus.com/sdi_catalog/salesItemDetails.do?id=52346")</f>
        <v>https://www.fabsurplus.com/sdi_catalog/salesItemDetails.do?id=52346</v>
      </c>
      <c r="B1302" s="2" t="s">
        <v>3553</v>
      </c>
      <c r="C1302" s="2" t="s">
        <v>3448</v>
      </c>
      <c r="D1302" s="2" t="s">
        <v>3554</v>
      </c>
      <c r="E1302" s="2" t="s">
        <v>3555</v>
      </c>
      <c r="F1302" s="2" t="s">
        <v>16</v>
      </c>
      <c r="G1302" s="2" t="s">
        <v>17</v>
      </c>
      <c r="H1302" s="2" t="s">
        <v>27</v>
      </c>
      <c r="I1302" s="7" t="n">
        <v>36341.9166666667</v>
      </c>
      <c r="J1302" s="2" t="s">
        <v>19</v>
      </c>
      <c r="K1302" s="2" t="s">
        <v>20</v>
      </c>
      <c r="L1302" s="6" t="s">
        <v>3556</v>
      </c>
    </row>
    <row r="1303" customFormat="false" ht="11.9" hidden="false" customHeight="true" outlineLevel="0" collapsed="false">
      <c r="A1303" s="2" t="str">
        <f aca="false">HYPERLINK("https://www.fabsurplus.com/sdi_catalog/salesItemDetails.do?id=52348")</f>
        <v>https://www.fabsurplus.com/sdi_catalog/salesItemDetails.do?id=52348</v>
      </c>
      <c r="B1303" s="2" t="s">
        <v>3557</v>
      </c>
      <c r="C1303" s="2" t="s">
        <v>3448</v>
      </c>
      <c r="D1303" s="2" t="s">
        <v>3558</v>
      </c>
      <c r="E1303" s="2" t="s">
        <v>3559</v>
      </c>
      <c r="F1303" s="2" t="s">
        <v>16</v>
      </c>
      <c r="G1303" s="2" t="s">
        <v>17</v>
      </c>
      <c r="H1303" s="2" t="s">
        <v>27</v>
      </c>
      <c r="I1303" s="7" t="n">
        <v>36341.9166666667</v>
      </c>
      <c r="J1303" s="2" t="s">
        <v>19</v>
      </c>
      <c r="K1303" s="2" t="s">
        <v>20</v>
      </c>
      <c r="L1303" s="6" t="s">
        <v>3560</v>
      </c>
    </row>
    <row r="1304" customFormat="false" ht="11.9" hidden="false" customHeight="true" outlineLevel="0" collapsed="false">
      <c r="A1304" s="2" t="str">
        <f aca="false">HYPERLINK("https://www.fabsurplus.com/sdi_catalog/salesItemDetails.do?id=109099")</f>
        <v>https://www.fabsurplus.com/sdi_catalog/salesItemDetails.do?id=109099</v>
      </c>
      <c r="B1304" s="2" t="s">
        <v>3561</v>
      </c>
      <c r="C1304" s="2" t="s">
        <v>3448</v>
      </c>
      <c r="D1304" s="2" t="s">
        <v>3562</v>
      </c>
      <c r="E1304" s="2" t="s">
        <v>3563</v>
      </c>
      <c r="F1304" s="2" t="s">
        <v>16</v>
      </c>
      <c r="G1304" s="2" t="s">
        <v>3106</v>
      </c>
      <c r="H1304" s="2" t="s">
        <v>35</v>
      </c>
      <c r="I1304" s="7" t="n">
        <v>35217</v>
      </c>
      <c r="J1304" s="2" t="s">
        <v>19</v>
      </c>
      <c r="K1304" s="2" t="s">
        <v>20</v>
      </c>
      <c r="L1304" s="6" t="s">
        <v>3564</v>
      </c>
    </row>
    <row r="1305" customFormat="false" ht="11.9" hidden="false" customHeight="true" outlineLevel="0" collapsed="false">
      <c r="A1305" s="3" t="str">
        <f aca="false">HYPERLINK("https://www.fabsurplus.com/sdi_catalog/salesItemDetails.do?id=109100")</f>
        <v>https://www.fabsurplus.com/sdi_catalog/salesItemDetails.do?id=109100</v>
      </c>
      <c r="B1305" s="3" t="s">
        <v>3565</v>
      </c>
      <c r="C1305" s="3" t="s">
        <v>3448</v>
      </c>
      <c r="D1305" s="3" t="s">
        <v>3566</v>
      </c>
      <c r="E1305" s="3" t="s">
        <v>3567</v>
      </c>
      <c r="F1305" s="3" t="s">
        <v>16</v>
      </c>
      <c r="G1305" s="3" t="s">
        <v>3106</v>
      </c>
      <c r="H1305" s="3" t="s">
        <v>35</v>
      </c>
      <c r="I1305" s="4" t="n">
        <v>35217</v>
      </c>
      <c r="J1305" s="3" t="s">
        <v>19</v>
      </c>
      <c r="K1305" s="3" t="s">
        <v>20</v>
      </c>
      <c r="L1305" s="5" t="s">
        <v>3564</v>
      </c>
    </row>
    <row r="1306" customFormat="false" ht="11.9" hidden="false" customHeight="true" outlineLevel="0" collapsed="false">
      <c r="A1306" s="2" t="str">
        <f aca="false">HYPERLINK("https://www.fabsurplus.com/sdi_catalog/salesItemDetails.do?id=109101")</f>
        <v>https://www.fabsurplus.com/sdi_catalog/salesItemDetails.do?id=109101</v>
      </c>
      <c r="B1306" s="2" t="s">
        <v>3568</v>
      </c>
      <c r="C1306" s="2" t="s">
        <v>3448</v>
      </c>
      <c r="D1306" s="2" t="s">
        <v>3569</v>
      </c>
      <c r="E1306" s="2" t="s">
        <v>3570</v>
      </c>
      <c r="F1306" s="2" t="s">
        <v>16</v>
      </c>
      <c r="G1306" s="2" t="s">
        <v>3106</v>
      </c>
      <c r="H1306" s="2" t="s">
        <v>35</v>
      </c>
      <c r="I1306" s="7" t="n">
        <v>35217</v>
      </c>
      <c r="J1306" s="2" t="s">
        <v>19</v>
      </c>
      <c r="K1306" s="2" t="s">
        <v>20</v>
      </c>
      <c r="L1306" s="6" t="s">
        <v>3564</v>
      </c>
    </row>
    <row r="1307" customFormat="false" ht="11.9" hidden="false" customHeight="true" outlineLevel="0" collapsed="false">
      <c r="A1307" s="3" t="str">
        <f aca="false">HYPERLINK("https://www.fabsurplus.com/sdi_catalog/salesItemDetails.do?id=109102")</f>
        <v>https://www.fabsurplus.com/sdi_catalog/salesItemDetails.do?id=109102</v>
      </c>
      <c r="B1307" s="3" t="s">
        <v>3571</v>
      </c>
      <c r="C1307" s="3" t="s">
        <v>3448</v>
      </c>
      <c r="D1307" s="3" t="s">
        <v>3572</v>
      </c>
      <c r="E1307" s="3" t="s">
        <v>3573</v>
      </c>
      <c r="F1307" s="3" t="s">
        <v>16</v>
      </c>
      <c r="G1307" s="3" t="s">
        <v>3106</v>
      </c>
      <c r="H1307" s="3" t="s">
        <v>35</v>
      </c>
      <c r="I1307" s="4" t="n">
        <v>35217</v>
      </c>
      <c r="J1307" s="3" t="s">
        <v>19</v>
      </c>
      <c r="K1307" s="3" t="s">
        <v>20</v>
      </c>
      <c r="L1307" s="5" t="s">
        <v>3564</v>
      </c>
    </row>
    <row r="1308" customFormat="false" ht="11.9" hidden="false" customHeight="true" outlineLevel="0" collapsed="false">
      <c r="A1308" s="3" t="str">
        <f aca="false">HYPERLINK("https://www.fabsurplus.com/sdi_catalog/salesItemDetails.do?id=109098")</f>
        <v>https://www.fabsurplus.com/sdi_catalog/salesItemDetails.do?id=109098</v>
      </c>
      <c r="B1308" s="3" t="s">
        <v>3574</v>
      </c>
      <c r="C1308" s="3" t="s">
        <v>3448</v>
      </c>
      <c r="D1308" s="3" t="s">
        <v>3575</v>
      </c>
      <c r="E1308" s="3" t="s">
        <v>3576</v>
      </c>
      <c r="F1308" s="3" t="s">
        <v>16</v>
      </c>
      <c r="G1308" s="3" t="s">
        <v>3106</v>
      </c>
      <c r="H1308" s="3" t="s">
        <v>35</v>
      </c>
      <c r="I1308" s="4" t="n">
        <v>35217</v>
      </c>
      <c r="J1308" s="3" t="s">
        <v>19</v>
      </c>
      <c r="K1308" s="3" t="s">
        <v>20</v>
      </c>
      <c r="L1308" s="5" t="s">
        <v>3564</v>
      </c>
    </row>
    <row r="1309" customFormat="false" ht="11.9" hidden="false" customHeight="true" outlineLevel="0" collapsed="false">
      <c r="A1309" s="2" t="str">
        <f aca="false">HYPERLINK("https://www.fabsurplus.com/sdi_catalog/salesItemDetails.do?id=109103")</f>
        <v>https://www.fabsurplus.com/sdi_catalog/salesItemDetails.do?id=109103</v>
      </c>
      <c r="B1309" s="2" t="s">
        <v>3577</v>
      </c>
      <c r="C1309" s="2" t="s">
        <v>3448</v>
      </c>
      <c r="D1309" s="2" t="s">
        <v>3578</v>
      </c>
      <c r="E1309" s="2" t="s">
        <v>3579</v>
      </c>
      <c r="F1309" s="2" t="s">
        <v>16</v>
      </c>
      <c r="G1309" s="2" t="s">
        <v>3106</v>
      </c>
      <c r="H1309" s="2" t="s">
        <v>35</v>
      </c>
      <c r="I1309" s="7" t="n">
        <v>35217</v>
      </c>
      <c r="J1309" s="2" t="s">
        <v>19</v>
      </c>
      <c r="K1309" s="2" t="s">
        <v>20</v>
      </c>
      <c r="L1309" s="6" t="s">
        <v>3564</v>
      </c>
    </row>
    <row r="1310" customFormat="false" ht="11.9" hidden="false" customHeight="true" outlineLevel="0" collapsed="false">
      <c r="A1310" s="2" t="str">
        <f aca="false">HYPERLINK("https://www.fabsurplus.com/sdi_catalog/salesItemDetails.do?id=52367")</f>
        <v>https://www.fabsurplus.com/sdi_catalog/salesItemDetails.do?id=52367</v>
      </c>
      <c r="B1310" s="2" t="s">
        <v>3580</v>
      </c>
      <c r="C1310" s="2" t="s">
        <v>3448</v>
      </c>
      <c r="D1310" s="2" t="s">
        <v>3581</v>
      </c>
      <c r="E1310" s="2" t="s">
        <v>3582</v>
      </c>
      <c r="F1310" s="2" t="s">
        <v>16</v>
      </c>
      <c r="G1310" s="2" t="s">
        <v>17</v>
      </c>
      <c r="H1310" s="2" t="s">
        <v>27</v>
      </c>
      <c r="I1310" s="7" t="n">
        <v>36341.9166666667</v>
      </c>
      <c r="J1310" s="2" t="s">
        <v>19</v>
      </c>
      <c r="K1310" s="2" t="s">
        <v>20</v>
      </c>
      <c r="L1310" s="6" t="s">
        <v>3583</v>
      </c>
    </row>
    <row r="1311" customFormat="false" ht="11.9" hidden="false" customHeight="true" outlineLevel="0" collapsed="false">
      <c r="A1311" s="2" t="str">
        <f aca="false">HYPERLINK("https://www.fabsurplus.com/sdi_catalog/salesItemDetails.do?id=52153")</f>
        <v>https://www.fabsurplus.com/sdi_catalog/salesItemDetails.do?id=52153</v>
      </c>
      <c r="B1311" s="2" t="s">
        <v>3584</v>
      </c>
      <c r="C1311" s="2" t="s">
        <v>3448</v>
      </c>
      <c r="D1311" s="2" t="s">
        <v>3585</v>
      </c>
      <c r="E1311" s="2" t="s">
        <v>3586</v>
      </c>
      <c r="F1311" s="2" t="s">
        <v>16</v>
      </c>
      <c r="G1311" s="2" t="s">
        <v>3114</v>
      </c>
      <c r="H1311" s="2" t="s">
        <v>27</v>
      </c>
      <c r="I1311" s="7" t="n">
        <v>36280.9166666667</v>
      </c>
      <c r="J1311" s="2" t="s">
        <v>19</v>
      </c>
      <c r="K1311" s="2" t="s">
        <v>20</v>
      </c>
      <c r="L1311" s="6" t="s">
        <v>3587</v>
      </c>
    </row>
    <row r="1312" customFormat="false" ht="11.9" hidden="false" customHeight="true" outlineLevel="0" collapsed="false">
      <c r="A1312" s="2" t="str">
        <f aca="false">HYPERLINK("https://www.fabsurplus.com/sdi_catalog/salesItemDetails.do?id=84774")</f>
        <v>https://www.fabsurplus.com/sdi_catalog/salesItemDetails.do?id=84774</v>
      </c>
      <c r="B1312" s="2" t="s">
        <v>3588</v>
      </c>
      <c r="C1312" s="2" t="s">
        <v>3448</v>
      </c>
      <c r="D1312" s="2" t="s">
        <v>3589</v>
      </c>
      <c r="E1312" s="2" t="s">
        <v>3590</v>
      </c>
      <c r="F1312" s="2" t="s">
        <v>16</v>
      </c>
      <c r="G1312" s="2" t="s">
        <v>3114</v>
      </c>
      <c r="H1312" s="2" t="s">
        <v>27</v>
      </c>
      <c r="I1312" s="7" t="n">
        <v>36280.9166666667</v>
      </c>
      <c r="J1312" s="2" t="s">
        <v>19</v>
      </c>
      <c r="K1312" s="2" t="s">
        <v>20</v>
      </c>
      <c r="L1312" s="6" t="s">
        <v>3591</v>
      </c>
    </row>
    <row r="1313" customFormat="false" ht="11.9" hidden="false" customHeight="true" outlineLevel="0" collapsed="false">
      <c r="A1313" s="2" t="str">
        <f aca="false">HYPERLINK("https://www.fabsurplus.com/sdi_catalog/salesItemDetails.do?id=80253")</f>
        <v>https://www.fabsurplus.com/sdi_catalog/salesItemDetails.do?id=80253</v>
      </c>
      <c r="B1313" s="2" t="s">
        <v>3592</v>
      </c>
      <c r="C1313" s="2" t="s">
        <v>3448</v>
      </c>
      <c r="D1313" s="2" t="s">
        <v>3593</v>
      </c>
      <c r="E1313" s="2" t="s">
        <v>3594</v>
      </c>
      <c r="F1313" s="2" t="s">
        <v>77</v>
      </c>
      <c r="G1313" s="2" t="s">
        <v>41</v>
      </c>
      <c r="H1313" s="2" t="s">
        <v>27</v>
      </c>
      <c r="I1313" s="7" t="n">
        <v>34850.9166666667</v>
      </c>
      <c r="J1313" s="2" t="s">
        <v>19</v>
      </c>
      <c r="K1313" s="2" t="s">
        <v>20</v>
      </c>
      <c r="L1313" s="6" t="s">
        <v>3595</v>
      </c>
    </row>
    <row r="1314" customFormat="false" ht="11.9" hidden="false" customHeight="true" outlineLevel="0" collapsed="false">
      <c r="A1314" s="2" t="str">
        <f aca="false">HYPERLINK("https://www.fabsurplus.com/sdi_catalog/salesItemDetails.do?id=106205")</f>
        <v>https://www.fabsurplus.com/sdi_catalog/salesItemDetails.do?id=106205</v>
      </c>
      <c r="B1314" s="2" t="s">
        <v>3596</v>
      </c>
      <c r="C1314" s="2" t="s">
        <v>3448</v>
      </c>
      <c r="D1314" s="2" t="s">
        <v>3597</v>
      </c>
      <c r="E1314" s="2" t="s">
        <v>3598</v>
      </c>
      <c r="F1314" s="2" t="s">
        <v>16</v>
      </c>
      <c r="G1314" s="2" t="s">
        <v>26</v>
      </c>
      <c r="H1314" s="2" t="s">
        <v>27</v>
      </c>
      <c r="I1314" s="7" t="n">
        <v>35947</v>
      </c>
      <c r="J1314" s="2" t="s">
        <v>19</v>
      </c>
      <c r="K1314" s="2" t="s">
        <v>20</v>
      </c>
      <c r="L1314" s="6" t="s">
        <v>3599</v>
      </c>
    </row>
    <row r="1315" customFormat="false" ht="11.9" hidden="false" customHeight="true" outlineLevel="0" collapsed="false">
      <c r="A1315" s="3" t="str">
        <f aca="false">HYPERLINK("https://www.fabsurplus.com/sdi_catalog/salesItemDetails.do?id=108968")</f>
        <v>https://www.fabsurplus.com/sdi_catalog/salesItemDetails.do?id=108968</v>
      </c>
      <c r="B1315" s="3" t="s">
        <v>3600</v>
      </c>
      <c r="C1315" s="3" t="s">
        <v>3448</v>
      </c>
      <c r="D1315" s="3" t="s">
        <v>3601</v>
      </c>
      <c r="E1315" s="3" t="s">
        <v>3602</v>
      </c>
      <c r="F1315" s="3" t="s">
        <v>16</v>
      </c>
      <c r="G1315" s="3" t="s">
        <v>26</v>
      </c>
      <c r="H1315" s="3" t="s">
        <v>27</v>
      </c>
      <c r="I1315" s="4" t="n">
        <v>35947</v>
      </c>
      <c r="J1315" s="3" t="s">
        <v>19</v>
      </c>
      <c r="K1315" s="3" t="s">
        <v>20</v>
      </c>
      <c r="L1315" s="5" t="s">
        <v>3603</v>
      </c>
    </row>
    <row r="1316" customFormat="false" ht="11.9" hidden="false" customHeight="true" outlineLevel="0" collapsed="false">
      <c r="A1316" s="3" t="str">
        <f aca="false">HYPERLINK("https://www.fabsurplus.com/sdi_catalog/salesItemDetails.do?id=84412")</f>
        <v>https://www.fabsurplus.com/sdi_catalog/salesItemDetails.do?id=84412</v>
      </c>
      <c r="B1316" s="3" t="s">
        <v>3604</v>
      </c>
      <c r="C1316" s="3" t="s">
        <v>3457</v>
      </c>
      <c r="D1316" s="3" t="s">
        <v>3605</v>
      </c>
      <c r="E1316" s="3" t="s">
        <v>3606</v>
      </c>
      <c r="F1316" s="3" t="s">
        <v>16</v>
      </c>
      <c r="G1316" s="3" t="s">
        <v>3154</v>
      </c>
      <c r="H1316" s="3" t="s">
        <v>27</v>
      </c>
      <c r="I1316" s="3"/>
      <c r="J1316" s="3" t="s">
        <v>19</v>
      </c>
      <c r="K1316" s="3" t="s">
        <v>20</v>
      </c>
      <c r="L1316" s="5" t="s">
        <v>3607</v>
      </c>
    </row>
    <row r="1317" customFormat="false" ht="11.9" hidden="false" customHeight="true" outlineLevel="0" collapsed="false">
      <c r="A1317" s="3" t="str">
        <f aca="false">HYPERLINK("https://www.fabsurplus.com/sdi_catalog/salesItemDetails.do?id=106233")</f>
        <v>https://www.fabsurplus.com/sdi_catalog/salesItemDetails.do?id=106233</v>
      </c>
      <c r="B1317" s="3" t="s">
        <v>3608</v>
      </c>
      <c r="C1317" s="3" t="s">
        <v>3448</v>
      </c>
      <c r="D1317" s="3" t="s">
        <v>3609</v>
      </c>
      <c r="E1317" s="3" t="s">
        <v>3610</v>
      </c>
      <c r="F1317" s="3" t="s">
        <v>16</v>
      </c>
      <c r="G1317" s="3" t="s">
        <v>26</v>
      </c>
      <c r="H1317" s="3" t="s">
        <v>27</v>
      </c>
      <c r="I1317" s="4" t="n">
        <v>35947</v>
      </c>
      <c r="J1317" s="3" t="s">
        <v>19</v>
      </c>
      <c r="K1317" s="3" t="s">
        <v>20</v>
      </c>
      <c r="L1317" s="3" t="s">
        <v>3465</v>
      </c>
    </row>
    <row r="1318" customFormat="false" ht="11.9" hidden="false" customHeight="true" outlineLevel="0" collapsed="false">
      <c r="A1318" s="3" t="str">
        <f aca="false">HYPERLINK("https://www.fabsurplus.com/sdi_catalog/salesItemDetails.do?id=53042")</f>
        <v>https://www.fabsurplus.com/sdi_catalog/salesItemDetails.do?id=53042</v>
      </c>
      <c r="B1318" s="3" t="s">
        <v>3611</v>
      </c>
      <c r="C1318" s="3" t="s">
        <v>3448</v>
      </c>
      <c r="D1318" s="3" t="s">
        <v>3612</v>
      </c>
      <c r="E1318" s="3" t="s">
        <v>3613</v>
      </c>
      <c r="F1318" s="3" t="s">
        <v>16</v>
      </c>
      <c r="G1318" s="3" t="s">
        <v>17</v>
      </c>
      <c r="H1318" s="3" t="s">
        <v>27</v>
      </c>
      <c r="I1318" s="3"/>
      <c r="J1318" s="3" t="s">
        <v>19</v>
      </c>
      <c r="K1318" s="3" t="s">
        <v>20</v>
      </c>
      <c r="L1318" s="3" t="s">
        <v>3614</v>
      </c>
    </row>
    <row r="1319" customFormat="false" ht="11.9" hidden="false" customHeight="true" outlineLevel="0" collapsed="false">
      <c r="A1319" s="2" t="str">
        <f aca="false">HYPERLINK("https://www.fabsurplus.com/sdi_catalog/salesItemDetails.do?id=53074")</f>
        <v>https://www.fabsurplus.com/sdi_catalog/salesItemDetails.do?id=53074</v>
      </c>
      <c r="B1319" s="2" t="s">
        <v>3615</v>
      </c>
      <c r="C1319" s="2" t="s">
        <v>3448</v>
      </c>
      <c r="D1319" s="2" t="s">
        <v>3616</v>
      </c>
      <c r="E1319" s="2" t="s">
        <v>3617</v>
      </c>
      <c r="F1319" s="2" t="s">
        <v>16</v>
      </c>
      <c r="G1319" s="2" t="s">
        <v>3618</v>
      </c>
      <c r="H1319" s="2" t="s">
        <v>27</v>
      </c>
      <c r="I1319" s="7" t="n">
        <v>35947</v>
      </c>
      <c r="J1319" s="2" t="s">
        <v>19</v>
      </c>
      <c r="K1319" s="2" t="s">
        <v>20</v>
      </c>
      <c r="L1319" s="6" t="s">
        <v>3619</v>
      </c>
    </row>
    <row r="1320" customFormat="false" ht="11.9" hidden="false" customHeight="true" outlineLevel="0" collapsed="false">
      <c r="A1320" s="3" t="str">
        <f aca="false">HYPERLINK("https://www.fabsurplus.com/sdi_catalog/salesItemDetails.do?id=102059")</f>
        <v>https://www.fabsurplus.com/sdi_catalog/salesItemDetails.do?id=102059</v>
      </c>
      <c r="B1320" s="3" t="s">
        <v>3620</v>
      </c>
      <c r="C1320" s="3" t="s">
        <v>3448</v>
      </c>
      <c r="D1320" s="3" t="s">
        <v>3621</v>
      </c>
      <c r="E1320" s="3" t="s">
        <v>3622</v>
      </c>
      <c r="F1320" s="3" t="s">
        <v>3623</v>
      </c>
      <c r="G1320" s="3" t="s">
        <v>17</v>
      </c>
      <c r="H1320" s="3" t="s">
        <v>35</v>
      </c>
      <c r="I1320" s="4" t="n">
        <v>35916</v>
      </c>
      <c r="J1320" s="3" t="s">
        <v>19</v>
      </c>
      <c r="K1320" s="3" t="s">
        <v>20</v>
      </c>
      <c r="L1320" s="5" t="s">
        <v>3624</v>
      </c>
    </row>
    <row r="1321" customFormat="false" ht="11.9" hidden="false" customHeight="true" outlineLevel="0" collapsed="false">
      <c r="A1321" s="3" t="str">
        <f aca="false">HYPERLINK("https://www.fabsurplus.com/sdi_catalog/salesItemDetails.do?id=52450")</f>
        <v>https://www.fabsurplus.com/sdi_catalog/salesItemDetails.do?id=52450</v>
      </c>
      <c r="B1321" s="3" t="s">
        <v>3625</v>
      </c>
      <c r="C1321" s="3" t="s">
        <v>3448</v>
      </c>
      <c r="D1321" s="3" t="s">
        <v>3626</v>
      </c>
      <c r="E1321" s="3" t="s">
        <v>3627</v>
      </c>
      <c r="F1321" s="3" t="s">
        <v>16</v>
      </c>
      <c r="G1321" s="3" t="s">
        <v>17</v>
      </c>
      <c r="H1321" s="3" t="s">
        <v>27</v>
      </c>
      <c r="I1321" s="4" t="n">
        <v>36341.9166666667</v>
      </c>
      <c r="J1321" s="3" t="s">
        <v>19</v>
      </c>
      <c r="K1321" s="3" t="s">
        <v>20</v>
      </c>
      <c r="L1321" s="3" t="s">
        <v>3628</v>
      </c>
    </row>
    <row r="1322" customFormat="false" ht="11.9" hidden="false" customHeight="true" outlineLevel="0" collapsed="false">
      <c r="A1322" s="2" t="str">
        <f aca="false">HYPERLINK("https://www.fabsurplus.com/sdi_catalog/salesItemDetails.do?id=53045")</f>
        <v>https://www.fabsurplus.com/sdi_catalog/salesItemDetails.do?id=53045</v>
      </c>
      <c r="B1322" s="2" t="s">
        <v>3629</v>
      </c>
      <c r="C1322" s="2" t="s">
        <v>3448</v>
      </c>
      <c r="D1322" s="2" t="s">
        <v>3630</v>
      </c>
      <c r="E1322" s="2" t="s">
        <v>3631</v>
      </c>
      <c r="F1322" s="2" t="s">
        <v>69</v>
      </c>
      <c r="G1322" s="2" t="s">
        <v>17</v>
      </c>
      <c r="H1322" s="2" t="s">
        <v>27</v>
      </c>
      <c r="I1322" s="2"/>
      <c r="J1322" s="2" t="s">
        <v>19</v>
      </c>
      <c r="K1322" s="2" t="s">
        <v>20</v>
      </c>
      <c r="L1322" s="6" t="s">
        <v>3632</v>
      </c>
    </row>
    <row r="1323" customFormat="false" ht="11.9" hidden="false" customHeight="true" outlineLevel="0" collapsed="false">
      <c r="A1323" s="3" t="str">
        <f aca="false">HYPERLINK("https://www.fabsurplus.com/sdi_catalog/salesItemDetails.do?id=53046")</f>
        <v>https://www.fabsurplus.com/sdi_catalog/salesItemDetails.do?id=53046</v>
      </c>
      <c r="B1323" s="3" t="s">
        <v>3633</v>
      </c>
      <c r="C1323" s="3" t="s">
        <v>3448</v>
      </c>
      <c r="D1323" s="3" t="s">
        <v>3630</v>
      </c>
      <c r="E1323" s="3" t="s">
        <v>3631</v>
      </c>
      <c r="F1323" s="3" t="s">
        <v>16</v>
      </c>
      <c r="G1323" s="3" t="s">
        <v>17</v>
      </c>
      <c r="H1323" s="3" t="s">
        <v>27</v>
      </c>
      <c r="I1323" s="3"/>
      <c r="J1323" s="3" t="s">
        <v>19</v>
      </c>
      <c r="K1323" s="3" t="s">
        <v>20</v>
      </c>
      <c r="L1323" s="5" t="s">
        <v>3634</v>
      </c>
    </row>
    <row r="1324" customFormat="false" ht="11.9" hidden="false" customHeight="true" outlineLevel="0" collapsed="false">
      <c r="A1324" s="2" t="str">
        <f aca="false">HYPERLINK("https://www.fabsurplus.com/sdi_catalog/salesItemDetails.do?id=53047")</f>
        <v>https://www.fabsurplus.com/sdi_catalog/salesItemDetails.do?id=53047</v>
      </c>
      <c r="B1324" s="2" t="s">
        <v>3635</v>
      </c>
      <c r="C1324" s="2" t="s">
        <v>3448</v>
      </c>
      <c r="D1324" s="2" t="s">
        <v>3630</v>
      </c>
      <c r="E1324" s="2" t="s">
        <v>3631</v>
      </c>
      <c r="F1324" s="2" t="s">
        <v>16</v>
      </c>
      <c r="G1324" s="2" t="s">
        <v>17</v>
      </c>
      <c r="H1324" s="2" t="s">
        <v>27</v>
      </c>
      <c r="I1324" s="2"/>
      <c r="J1324" s="2" t="s">
        <v>19</v>
      </c>
      <c r="K1324" s="2" t="s">
        <v>20</v>
      </c>
      <c r="L1324" s="6" t="s">
        <v>3634</v>
      </c>
    </row>
    <row r="1325" customFormat="false" ht="11.9" hidden="false" customHeight="true" outlineLevel="0" collapsed="false">
      <c r="A1325" s="3" t="str">
        <f aca="false">HYPERLINK("https://www.fabsurplus.com/sdi_catalog/salesItemDetails.do?id=52379")</f>
        <v>https://www.fabsurplus.com/sdi_catalog/salesItemDetails.do?id=52379</v>
      </c>
      <c r="B1325" s="3" t="s">
        <v>3636</v>
      </c>
      <c r="C1325" s="3" t="s">
        <v>3457</v>
      </c>
      <c r="D1325" s="3" t="s">
        <v>3637</v>
      </c>
      <c r="E1325" s="3" t="s">
        <v>3638</v>
      </c>
      <c r="F1325" s="3" t="s">
        <v>16</v>
      </c>
      <c r="G1325" s="3" t="s">
        <v>17</v>
      </c>
      <c r="H1325" s="3" t="s">
        <v>27</v>
      </c>
      <c r="I1325" s="4" t="n">
        <v>36341.9166666667</v>
      </c>
      <c r="J1325" s="3" t="s">
        <v>19</v>
      </c>
      <c r="K1325" s="3" t="s">
        <v>20</v>
      </c>
      <c r="L1325" s="3" t="s">
        <v>3639</v>
      </c>
    </row>
    <row r="1326" customFormat="false" ht="11.9" hidden="false" customHeight="true" outlineLevel="0" collapsed="false">
      <c r="A1326" s="2" t="str">
        <f aca="false">HYPERLINK("https://www.fabsurplus.com/sdi_catalog/salesItemDetails.do?id=52380")</f>
        <v>https://www.fabsurplus.com/sdi_catalog/salesItemDetails.do?id=52380</v>
      </c>
      <c r="B1326" s="2" t="s">
        <v>3640</v>
      </c>
      <c r="C1326" s="2" t="s">
        <v>3457</v>
      </c>
      <c r="D1326" s="2" t="s">
        <v>3641</v>
      </c>
      <c r="E1326" s="2" t="s">
        <v>3638</v>
      </c>
      <c r="F1326" s="2" t="s">
        <v>16</v>
      </c>
      <c r="G1326" s="2" t="s">
        <v>17</v>
      </c>
      <c r="H1326" s="2" t="s">
        <v>27</v>
      </c>
      <c r="I1326" s="7" t="n">
        <v>36341.9166666667</v>
      </c>
      <c r="J1326" s="2" t="s">
        <v>19</v>
      </c>
      <c r="K1326" s="2" t="s">
        <v>20</v>
      </c>
      <c r="L1326" s="2" t="s">
        <v>3639</v>
      </c>
    </row>
    <row r="1327" customFormat="false" ht="11.9" hidden="false" customHeight="true" outlineLevel="0" collapsed="false">
      <c r="A1327" s="3" t="str">
        <f aca="false">HYPERLINK("https://www.fabsurplus.com/sdi_catalog/salesItemDetails.do?id=52381")</f>
        <v>https://www.fabsurplus.com/sdi_catalog/salesItemDetails.do?id=52381</v>
      </c>
      <c r="B1327" s="3" t="s">
        <v>3642</v>
      </c>
      <c r="C1327" s="3" t="s">
        <v>3457</v>
      </c>
      <c r="D1327" s="3" t="s">
        <v>3641</v>
      </c>
      <c r="E1327" s="3" t="s">
        <v>3638</v>
      </c>
      <c r="F1327" s="3" t="s">
        <v>16</v>
      </c>
      <c r="G1327" s="3" t="s">
        <v>17</v>
      </c>
      <c r="H1327" s="3" t="s">
        <v>27</v>
      </c>
      <c r="I1327" s="4" t="n">
        <v>36341.9166666667</v>
      </c>
      <c r="J1327" s="3" t="s">
        <v>19</v>
      </c>
      <c r="K1327" s="3" t="s">
        <v>20</v>
      </c>
      <c r="L1327" s="3" t="s">
        <v>3639</v>
      </c>
    </row>
    <row r="1328" customFormat="false" ht="11.9" hidden="false" customHeight="true" outlineLevel="0" collapsed="false">
      <c r="A1328" s="3" t="str">
        <f aca="false">HYPERLINK("https://www.fabsurplus.com/sdi_catalog/salesItemDetails.do?id=52384")</f>
        <v>https://www.fabsurplus.com/sdi_catalog/salesItemDetails.do?id=52384</v>
      </c>
      <c r="B1328" s="3" t="s">
        <v>3643</v>
      </c>
      <c r="C1328" s="3" t="s">
        <v>3448</v>
      </c>
      <c r="D1328" s="3" t="s">
        <v>3641</v>
      </c>
      <c r="E1328" s="3" t="s">
        <v>3638</v>
      </c>
      <c r="F1328" s="3" t="s">
        <v>16</v>
      </c>
      <c r="G1328" s="3" t="s">
        <v>17</v>
      </c>
      <c r="H1328" s="3" t="s">
        <v>27</v>
      </c>
      <c r="I1328" s="3"/>
      <c r="J1328" s="3" t="s">
        <v>19</v>
      </c>
      <c r="K1328" s="3" t="s">
        <v>20</v>
      </c>
      <c r="L1328" s="3" t="s">
        <v>3639</v>
      </c>
    </row>
    <row r="1329" customFormat="false" ht="11.9" hidden="false" customHeight="true" outlineLevel="0" collapsed="false">
      <c r="A1329" s="2" t="str">
        <f aca="false">HYPERLINK("https://www.fabsurplus.com/sdi_catalog/salesItemDetails.do?id=52448")</f>
        <v>https://www.fabsurplus.com/sdi_catalog/salesItemDetails.do?id=52448</v>
      </c>
      <c r="B1329" s="2" t="s">
        <v>3644</v>
      </c>
      <c r="C1329" s="2" t="s">
        <v>3457</v>
      </c>
      <c r="D1329" s="2" t="s">
        <v>3645</v>
      </c>
      <c r="E1329" s="2" t="s">
        <v>3646</v>
      </c>
      <c r="F1329" s="2" t="s">
        <v>16</v>
      </c>
      <c r="G1329" s="2" t="s">
        <v>17</v>
      </c>
      <c r="H1329" s="2" t="s">
        <v>27</v>
      </c>
      <c r="I1329" s="7" t="n">
        <v>36341.9166666667</v>
      </c>
      <c r="J1329" s="2" t="s">
        <v>19</v>
      </c>
      <c r="K1329" s="2" t="s">
        <v>20</v>
      </c>
      <c r="L1329" s="2" t="s">
        <v>3647</v>
      </c>
    </row>
    <row r="1330" customFormat="false" ht="11.9" hidden="false" customHeight="true" outlineLevel="0" collapsed="false">
      <c r="A1330" s="2" t="str">
        <f aca="false">HYPERLINK("https://www.fabsurplus.com/sdi_catalog/salesItemDetails.do?id=52446")</f>
        <v>https://www.fabsurplus.com/sdi_catalog/salesItemDetails.do?id=52446</v>
      </c>
      <c r="B1330" s="2" t="s">
        <v>3648</v>
      </c>
      <c r="C1330" s="2" t="s">
        <v>3448</v>
      </c>
      <c r="D1330" s="2" t="s">
        <v>3649</v>
      </c>
      <c r="E1330" s="2" t="s">
        <v>3650</v>
      </c>
      <c r="F1330" s="2" t="s">
        <v>16</v>
      </c>
      <c r="G1330" s="2" t="s">
        <v>17</v>
      </c>
      <c r="H1330" s="2" t="s">
        <v>27</v>
      </c>
      <c r="I1330" s="7" t="n">
        <v>36341.9166666667</v>
      </c>
      <c r="J1330" s="2" t="s">
        <v>19</v>
      </c>
      <c r="K1330" s="2" t="s">
        <v>20</v>
      </c>
      <c r="L1330" s="2" t="s">
        <v>3651</v>
      </c>
    </row>
    <row r="1331" customFormat="false" ht="11.9" hidden="false" customHeight="true" outlineLevel="0" collapsed="false">
      <c r="A1331" s="3" t="str">
        <f aca="false">HYPERLINK("https://www.fabsurplus.com/sdi_catalog/salesItemDetails.do?id=52447")</f>
        <v>https://www.fabsurplus.com/sdi_catalog/salesItemDetails.do?id=52447</v>
      </c>
      <c r="B1331" s="3" t="s">
        <v>3652</v>
      </c>
      <c r="C1331" s="3" t="s">
        <v>3457</v>
      </c>
      <c r="D1331" s="3" t="s">
        <v>3653</v>
      </c>
      <c r="E1331" s="3" t="s">
        <v>3650</v>
      </c>
      <c r="F1331" s="3" t="s">
        <v>16</v>
      </c>
      <c r="G1331" s="3" t="s">
        <v>17</v>
      </c>
      <c r="H1331" s="3" t="s">
        <v>27</v>
      </c>
      <c r="I1331" s="4" t="n">
        <v>36312</v>
      </c>
      <c r="J1331" s="3" t="s">
        <v>19</v>
      </c>
      <c r="K1331" s="3" t="s">
        <v>20</v>
      </c>
      <c r="L1331" s="3" t="s">
        <v>3654</v>
      </c>
    </row>
    <row r="1332" customFormat="false" ht="11.9" hidden="false" customHeight="true" outlineLevel="0" collapsed="false">
      <c r="A1332" s="2" t="str">
        <f aca="false">HYPERLINK("https://www.fabsurplus.com/sdi_catalog/salesItemDetails.do?id=53020")</f>
        <v>https://www.fabsurplus.com/sdi_catalog/salesItemDetails.do?id=53020</v>
      </c>
      <c r="B1332" s="2" t="s">
        <v>3655</v>
      </c>
      <c r="C1332" s="2" t="s">
        <v>3457</v>
      </c>
      <c r="D1332" s="2" t="s">
        <v>3656</v>
      </c>
      <c r="E1332" s="2" t="s">
        <v>3657</v>
      </c>
      <c r="F1332" s="2" t="s">
        <v>16</v>
      </c>
      <c r="G1332" s="2" t="s">
        <v>17</v>
      </c>
      <c r="H1332" s="2" t="s">
        <v>27</v>
      </c>
      <c r="I1332" s="7" t="n">
        <v>36341.9166666667</v>
      </c>
      <c r="J1332" s="2" t="s">
        <v>19</v>
      </c>
      <c r="K1332" s="2" t="s">
        <v>20</v>
      </c>
      <c r="L1332" s="2" t="s">
        <v>3658</v>
      </c>
    </row>
    <row r="1333" customFormat="false" ht="11.9" hidden="false" customHeight="true" outlineLevel="0" collapsed="false">
      <c r="A1333" s="3" t="str">
        <f aca="false">HYPERLINK("https://www.fabsurplus.com/sdi_catalog/salesItemDetails.do?id=53021")</f>
        <v>https://www.fabsurplus.com/sdi_catalog/salesItemDetails.do?id=53021</v>
      </c>
      <c r="B1333" s="3" t="s">
        <v>3659</v>
      </c>
      <c r="C1333" s="3" t="s">
        <v>3448</v>
      </c>
      <c r="D1333" s="3" t="s">
        <v>3660</v>
      </c>
      <c r="E1333" s="3" t="s">
        <v>3657</v>
      </c>
      <c r="F1333" s="3" t="s">
        <v>16</v>
      </c>
      <c r="G1333" s="3" t="s">
        <v>17</v>
      </c>
      <c r="H1333" s="3" t="s">
        <v>27</v>
      </c>
      <c r="I1333" s="4" t="n">
        <v>36341.9166666667</v>
      </c>
      <c r="J1333" s="3" t="s">
        <v>19</v>
      </c>
      <c r="K1333" s="3" t="s">
        <v>20</v>
      </c>
      <c r="L1333" s="3" t="s">
        <v>3661</v>
      </c>
    </row>
    <row r="1334" customFormat="false" ht="11.9" hidden="false" customHeight="true" outlineLevel="0" collapsed="false">
      <c r="A1334" s="2" t="str">
        <f aca="false">HYPERLINK("https://www.fabsurplus.com/sdi_catalog/salesItemDetails.do?id=53023")</f>
        <v>https://www.fabsurplus.com/sdi_catalog/salesItemDetails.do?id=53023</v>
      </c>
      <c r="B1334" s="2" t="s">
        <v>3662</v>
      </c>
      <c r="C1334" s="2" t="s">
        <v>3448</v>
      </c>
      <c r="D1334" s="2" t="s">
        <v>3660</v>
      </c>
      <c r="E1334" s="2" t="s">
        <v>3657</v>
      </c>
      <c r="F1334" s="2" t="s">
        <v>16</v>
      </c>
      <c r="G1334" s="2" t="s">
        <v>17</v>
      </c>
      <c r="H1334" s="2" t="s">
        <v>27</v>
      </c>
      <c r="I1334" s="7" t="n">
        <v>36341.9166666667</v>
      </c>
      <c r="J1334" s="2" t="s">
        <v>19</v>
      </c>
      <c r="K1334" s="2" t="s">
        <v>20</v>
      </c>
      <c r="L1334" s="2" t="s">
        <v>3663</v>
      </c>
    </row>
    <row r="1335" customFormat="false" ht="11.9" hidden="false" customHeight="true" outlineLevel="0" collapsed="false">
      <c r="A1335" s="2" t="str">
        <f aca="false">HYPERLINK("https://www.fabsurplus.com/sdi_catalog/salesItemDetails.do?id=52382")</f>
        <v>https://www.fabsurplus.com/sdi_catalog/salesItemDetails.do?id=52382</v>
      </c>
      <c r="B1335" s="2" t="s">
        <v>3664</v>
      </c>
      <c r="C1335" s="2" t="s">
        <v>3457</v>
      </c>
      <c r="D1335" s="2" t="s">
        <v>3665</v>
      </c>
      <c r="E1335" s="2" t="s">
        <v>3666</v>
      </c>
      <c r="F1335" s="2" t="s">
        <v>16</v>
      </c>
      <c r="G1335" s="2" t="s">
        <v>17</v>
      </c>
      <c r="H1335" s="2" t="s">
        <v>27</v>
      </c>
      <c r="I1335" s="7" t="n">
        <v>36341.9166666667</v>
      </c>
      <c r="J1335" s="2" t="s">
        <v>19</v>
      </c>
      <c r="K1335" s="2" t="s">
        <v>20</v>
      </c>
      <c r="L1335" s="6" t="s">
        <v>3667</v>
      </c>
    </row>
    <row r="1336" customFormat="false" ht="11.9" hidden="false" customHeight="true" outlineLevel="0" collapsed="false">
      <c r="A1336" s="3" t="str">
        <f aca="false">HYPERLINK("https://www.fabsurplus.com/sdi_catalog/salesItemDetails.do?id=106237")</f>
        <v>https://www.fabsurplus.com/sdi_catalog/salesItemDetails.do?id=106237</v>
      </c>
      <c r="B1336" s="3" t="s">
        <v>3668</v>
      </c>
      <c r="C1336" s="3" t="s">
        <v>3448</v>
      </c>
      <c r="D1336" s="3" t="s">
        <v>3669</v>
      </c>
      <c r="E1336" s="3" t="s">
        <v>3670</v>
      </c>
      <c r="F1336" s="3" t="s">
        <v>16</v>
      </c>
      <c r="G1336" s="3" t="s">
        <v>26</v>
      </c>
      <c r="H1336" s="3" t="s">
        <v>27</v>
      </c>
      <c r="I1336" s="4" t="n">
        <v>35947</v>
      </c>
      <c r="J1336" s="3" t="s">
        <v>19</v>
      </c>
      <c r="K1336" s="3" t="s">
        <v>20</v>
      </c>
      <c r="L1336" s="5" t="s">
        <v>3671</v>
      </c>
    </row>
    <row r="1337" customFormat="false" ht="11.9" hidden="false" customHeight="true" outlineLevel="0" collapsed="false">
      <c r="A1337" s="3" t="str">
        <f aca="false">HYPERLINK("https://www.fabsurplus.com/sdi_catalog/salesItemDetails.do?id=106235")</f>
        <v>https://www.fabsurplus.com/sdi_catalog/salesItemDetails.do?id=106235</v>
      </c>
      <c r="B1337" s="3" t="s">
        <v>3672</v>
      </c>
      <c r="C1337" s="3" t="s">
        <v>3448</v>
      </c>
      <c r="D1337" s="3" t="s">
        <v>3669</v>
      </c>
      <c r="E1337" s="3" t="s">
        <v>3673</v>
      </c>
      <c r="F1337" s="3" t="s">
        <v>16</v>
      </c>
      <c r="G1337" s="3" t="s">
        <v>26</v>
      </c>
      <c r="H1337" s="3" t="s">
        <v>27</v>
      </c>
      <c r="I1337" s="4" t="n">
        <v>35947</v>
      </c>
      <c r="J1337" s="3" t="s">
        <v>19</v>
      </c>
      <c r="K1337" s="3" t="s">
        <v>20</v>
      </c>
      <c r="L1337" s="3" t="s">
        <v>3465</v>
      </c>
    </row>
    <row r="1338" customFormat="false" ht="11.9" hidden="false" customHeight="true" outlineLevel="0" collapsed="false">
      <c r="A1338" s="2" t="str">
        <f aca="false">HYPERLINK("https://www.fabsurplus.com/sdi_catalog/salesItemDetails.do?id=106236")</f>
        <v>https://www.fabsurplus.com/sdi_catalog/salesItemDetails.do?id=106236</v>
      </c>
      <c r="B1338" s="2" t="s">
        <v>3674</v>
      </c>
      <c r="C1338" s="2" t="s">
        <v>3448</v>
      </c>
      <c r="D1338" s="2" t="s">
        <v>3669</v>
      </c>
      <c r="E1338" s="2" t="s">
        <v>3675</v>
      </c>
      <c r="F1338" s="2" t="s">
        <v>16</v>
      </c>
      <c r="G1338" s="2" t="s">
        <v>26</v>
      </c>
      <c r="H1338" s="2" t="s">
        <v>27</v>
      </c>
      <c r="I1338" s="7" t="n">
        <v>35947</v>
      </c>
      <c r="J1338" s="2" t="s">
        <v>19</v>
      </c>
      <c r="K1338" s="2" t="s">
        <v>20</v>
      </c>
      <c r="L1338" s="6" t="s">
        <v>3671</v>
      </c>
    </row>
    <row r="1339" customFormat="false" ht="11.9" hidden="false" customHeight="true" outlineLevel="0" collapsed="false">
      <c r="A1339" s="3" t="str">
        <f aca="false">HYPERLINK("https://www.fabsurplus.com/sdi_catalog/salesItemDetails.do?id=53032")</f>
        <v>https://www.fabsurplus.com/sdi_catalog/salesItemDetails.do?id=53032</v>
      </c>
      <c r="B1339" s="3" t="s">
        <v>3676</v>
      </c>
      <c r="C1339" s="3" t="s">
        <v>3448</v>
      </c>
      <c r="D1339" s="3" t="s">
        <v>3677</v>
      </c>
      <c r="E1339" s="3" t="s">
        <v>3678</v>
      </c>
      <c r="F1339" s="3" t="s">
        <v>16</v>
      </c>
      <c r="G1339" s="3" t="s">
        <v>17</v>
      </c>
      <c r="H1339" s="3" t="s">
        <v>27</v>
      </c>
      <c r="I1339" s="3"/>
      <c r="J1339" s="3" t="s">
        <v>19</v>
      </c>
      <c r="K1339" s="3" t="s">
        <v>20</v>
      </c>
      <c r="L1339" s="5" t="s">
        <v>3679</v>
      </c>
    </row>
    <row r="1340" customFormat="false" ht="11.9" hidden="false" customHeight="true" outlineLevel="0" collapsed="false">
      <c r="A1340" s="3" t="str">
        <f aca="false">HYPERLINK("https://www.fabsurplus.com/sdi_catalog/salesItemDetails.do?id=103741")</f>
        <v>https://www.fabsurplus.com/sdi_catalog/salesItemDetails.do?id=103741</v>
      </c>
      <c r="B1340" s="3" t="s">
        <v>3680</v>
      </c>
      <c r="C1340" s="3" t="s">
        <v>3457</v>
      </c>
      <c r="D1340" s="3" t="s">
        <v>3681</v>
      </c>
      <c r="E1340" s="3" t="s">
        <v>3682</v>
      </c>
      <c r="F1340" s="3" t="s">
        <v>16</v>
      </c>
      <c r="G1340" s="3" t="s">
        <v>41</v>
      </c>
      <c r="H1340" s="3" t="s">
        <v>27</v>
      </c>
      <c r="I1340" s="4" t="n">
        <v>35369.9583333333</v>
      </c>
      <c r="J1340" s="3" t="s">
        <v>19</v>
      </c>
      <c r="K1340" s="3" t="s">
        <v>20</v>
      </c>
      <c r="L1340" s="5" t="s">
        <v>3683</v>
      </c>
    </row>
    <row r="1341" customFormat="false" ht="11.9" hidden="false" customHeight="true" outlineLevel="0" collapsed="false">
      <c r="A1341" s="2" t="str">
        <f aca="false">HYPERLINK("https://www.fabsurplus.com/sdi_catalog/salesItemDetails.do?id=52365")</f>
        <v>https://www.fabsurplus.com/sdi_catalog/salesItemDetails.do?id=52365</v>
      </c>
      <c r="B1341" s="2" t="s">
        <v>3684</v>
      </c>
      <c r="C1341" s="2" t="s">
        <v>3448</v>
      </c>
      <c r="D1341" s="2" t="s">
        <v>3685</v>
      </c>
      <c r="E1341" s="2" t="s">
        <v>3686</v>
      </c>
      <c r="F1341" s="2" t="s">
        <v>77</v>
      </c>
      <c r="G1341" s="2" t="s">
        <v>17</v>
      </c>
      <c r="H1341" s="2" t="s">
        <v>27</v>
      </c>
      <c r="I1341" s="7" t="n">
        <v>36341.9166666667</v>
      </c>
      <c r="J1341" s="2" t="s">
        <v>19</v>
      </c>
      <c r="K1341" s="2" t="s">
        <v>20</v>
      </c>
      <c r="L1341" s="6" t="s">
        <v>3687</v>
      </c>
    </row>
    <row r="1342" customFormat="false" ht="11.9" hidden="false" customHeight="true" outlineLevel="0" collapsed="false">
      <c r="A1342" s="3" t="str">
        <f aca="false">HYPERLINK("https://www.fabsurplus.com/sdi_catalog/salesItemDetails.do?id=52366")</f>
        <v>https://www.fabsurplus.com/sdi_catalog/salesItemDetails.do?id=52366</v>
      </c>
      <c r="B1342" s="3" t="s">
        <v>3688</v>
      </c>
      <c r="C1342" s="3" t="s">
        <v>3448</v>
      </c>
      <c r="D1342" s="3" t="s">
        <v>3685</v>
      </c>
      <c r="E1342" s="3" t="s">
        <v>3686</v>
      </c>
      <c r="F1342" s="3" t="s">
        <v>16</v>
      </c>
      <c r="G1342" s="3" t="s">
        <v>17</v>
      </c>
      <c r="H1342" s="3" t="s">
        <v>27</v>
      </c>
      <c r="I1342" s="4" t="n">
        <v>36341.9166666667</v>
      </c>
      <c r="J1342" s="3" t="s">
        <v>19</v>
      </c>
      <c r="K1342" s="3" t="s">
        <v>20</v>
      </c>
      <c r="L1342" s="5" t="s">
        <v>3689</v>
      </c>
    </row>
    <row r="1343" customFormat="false" ht="11.9" hidden="false" customHeight="true" outlineLevel="0" collapsed="false">
      <c r="A1343" s="2" t="str">
        <f aca="false">HYPERLINK("https://www.fabsurplus.com/sdi_catalog/salesItemDetails.do?id=53041")</f>
        <v>https://www.fabsurplus.com/sdi_catalog/salesItemDetails.do?id=53041</v>
      </c>
      <c r="B1343" s="2" t="s">
        <v>3690</v>
      </c>
      <c r="C1343" s="2" t="s">
        <v>3448</v>
      </c>
      <c r="D1343" s="2" t="s">
        <v>17</v>
      </c>
      <c r="E1343" s="2" t="s">
        <v>3691</v>
      </c>
      <c r="F1343" s="2" t="s">
        <v>16</v>
      </c>
      <c r="G1343" s="2" t="s">
        <v>17</v>
      </c>
      <c r="H1343" s="2" t="s">
        <v>27</v>
      </c>
      <c r="I1343" s="2"/>
      <c r="J1343" s="2" t="s">
        <v>19</v>
      </c>
      <c r="K1343" s="2" t="s">
        <v>20</v>
      </c>
      <c r="L1343" s="2" t="s">
        <v>3692</v>
      </c>
    </row>
    <row r="1344" customFormat="false" ht="11.9" hidden="false" customHeight="true" outlineLevel="0" collapsed="false">
      <c r="A1344" s="2" t="str">
        <f aca="false">HYPERLINK("https://www.fabsurplus.com/sdi_catalog/salesItemDetails.do?id=52265")</f>
        <v>https://www.fabsurplus.com/sdi_catalog/salesItemDetails.do?id=52265</v>
      </c>
      <c r="B1344" s="2" t="s">
        <v>3693</v>
      </c>
      <c r="C1344" s="2" t="s">
        <v>3448</v>
      </c>
      <c r="D1344" s="2" t="s">
        <v>3694</v>
      </c>
      <c r="E1344" s="2" t="s">
        <v>3695</v>
      </c>
      <c r="F1344" s="2" t="s">
        <v>16</v>
      </c>
      <c r="G1344" s="2" t="s">
        <v>17</v>
      </c>
      <c r="H1344" s="2" t="s">
        <v>27</v>
      </c>
      <c r="I1344" s="7" t="n">
        <v>36341.9166666667</v>
      </c>
      <c r="J1344" s="2" t="s">
        <v>19</v>
      </c>
      <c r="K1344" s="2" t="s">
        <v>20</v>
      </c>
      <c r="L1344" s="6" t="s">
        <v>3696</v>
      </c>
    </row>
    <row r="1345" customFormat="false" ht="11.9" hidden="false" customHeight="true" outlineLevel="0" collapsed="false">
      <c r="A1345" s="3" t="str">
        <f aca="false">HYPERLINK("https://www.fabsurplus.com/sdi_catalog/salesItemDetails.do?id=52360")</f>
        <v>https://www.fabsurplus.com/sdi_catalog/salesItemDetails.do?id=52360</v>
      </c>
      <c r="B1345" s="3" t="s">
        <v>3697</v>
      </c>
      <c r="C1345" s="3" t="s">
        <v>3448</v>
      </c>
      <c r="D1345" s="3" t="s">
        <v>3698</v>
      </c>
      <c r="E1345" s="3" t="s">
        <v>3699</v>
      </c>
      <c r="F1345" s="3" t="s">
        <v>16</v>
      </c>
      <c r="G1345" s="3" t="s">
        <v>17</v>
      </c>
      <c r="H1345" s="3" t="s">
        <v>27</v>
      </c>
      <c r="I1345" s="4" t="n">
        <v>36341.9166666667</v>
      </c>
      <c r="J1345" s="3" t="s">
        <v>19</v>
      </c>
      <c r="K1345" s="3" t="s">
        <v>20</v>
      </c>
      <c r="L1345" s="3" t="s">
        <v>3700</v>
      </c>
    </row>
    <row r="1346" customFormat="false" ht="11.9" hidden="false" customHeight="true" outlineLevel="0" collapsed="false">
      <c r="A1346" s="3" t="str">
        <f aca="false">HYPERLINK("https://www.fabsurplus.com/sdi_catalog/salesItemDetails.do?id=83551")</f>
        <v>https://www.fabsurplus.com/sdi_catalog/salesItemDetails.do?id=83551</v>
      </c>
      <c r="B1346" s="3" t="s">
        <v>3701</v>
      </c>
      <c r="C1346" s="3" t="s">
        <v>3702</v>
      </c>
      <c r="D1346" s="3" t="s">
        <v>3703</v>
      </c>
      <c r="E1346" s="3" t="s">
        <v>3704</v>
      </c>
      <c r="F1346" s="3" t="s">
        <v>16</v>
      </c>
      <c r="G1346" s="3"/>
      <c r="H1346" s="3" t="s">
        <v>35</v>
      </c>
      <c r="I1346" s="4" t="n">
        <v>40026</v>
      </c>
      <c r="J1346" s="3" t="s">
        <v>19</v>
      </c>
      <c r="K1346" s="3" t="s">
        <v>20</v>
      </c>
      <c r="L1346" s="5" t="s">
        <v>3705</v>
      </c>
    </row>
    <row r="1347" customFormat="false" ht="11.9" hidden="false" customHeight="true" outlineLevel="0" collapsed="false">
      <c r="A1347" s="2" t="str">
        <f aca="false">HYPERLINK("https://www.fabsurplus.com/sdi_catalog/salesItemDetails.do?id=109968")</f>
        <v>https://www.fabsurplus.com/sdi_catalog/salesItemDetails.do?id=109968</v>
      </c>
      <c r="B1347" s="2" t="s">
        <v>3706</v>
      </c>
      <c r="C1347" s="2" t="s">
        <v>3707</v>
      </c>
      <c r="D1347" s="2" t="s">
        <v>3708</v>
      </c>
      <c r="E1347" s="2" t="s">
        <v>802</v>
      </c>
      <c r="F1347" s="2" t="s">
        <v>16</v>
      </c>
      <c r="G1347" s="2" t="s">
        <v>41</v>
      </c>
      <c r="H1347" s="2"/>
      <c r="I1347" s="2"/>
      <c r="J1347" s="2" t="s">
        <v>42</v>
      </c>
      <c r="K1347" s="2"/>
      <c r="L1347" s="2" t="s">
        <v>349</v>
      </c>
    </row>
    <row r="1348" customFormat="false" ht="11.9" hidden="false" customHeight="true" outlineLevel="0" collapsed="false">
      <c r="A1348" s="3" t="str">
        <f aca="false">HYPERLINK("https://www.fabsurplus.com/sdi_catalog/salesItemDetails.do?id=109967")</f>
        <v>https://www.fabsurplus.com/sdi_catalog/salesItemDetails.do?id=109967</v>
      </c>
      <c r="B1348" s="3" t="s">
        <v>3709</v>
      </c>
      <c r="C1348" s="3" t="s">
        <v>3707</v>
      </c>
      <c r="D1348" s="3" t="s">
        <v>3708</v>
      </c>
      <c r="E1348" s="3" t="s">
        <v>802</v>
      </c>
      <c r="F1348" s="3" t="s">
        <v>16</v>
      </c>
      <c r="G1348" s="3" t="s">
        <v>41</v>
      </c>
      <c r="H1348" s="3"/>
      <c r="I1348" s="3"/>
      <c r="J1348" s="3" t="s">
        <v>42</v>
      </c>
      <c r="K1348" s="3"/>
      <c r="L1348" s="3" t="s">
        <v>349</v>
      </c>
    </row>
    <row r="1349" customFormat="false" ht="11.9" hidden="false" customHeight="true" outlineLevel="0" collapsed="false">
      <c r="A1349" s="2" t="str">
        <f aca="false">HYPERLINK("https://www.fabsurplus.com/sdi_catalog/salesItemDetails.do?id=109970")</f>
        <v>https://www.fabsurplus.com/sdi_catalog/salesItemDetails.do?id=109970</v>
      </c>
      <c r="B1349" s="2" t="s">
        <v>3710</v>
      </c>
      <c r="C1349" s="2" t="s">
        <v>3707</v>
      </c>
      <c r="D1349" s="2" t="s">
        <v>3711</v>
      </c>
      <c r="E1349" s="2" t="s">
        <v>47</v>
      </c>
      <c r="F1349" s="2" t="s">
        <v>16</v>
      </c>
      <c r="G1349" s="2" t="s">
        <v>41</v>
      </c>
      <c r="H1349" s="2"/>
      <c r="I1349" s="2"/>
      <c r="J1349" s="2" t="s">
        <v>42</v>
      </c>
      <c r="K1349" s="2"/>
      <c r="L1349" s="2" t="s">
        <v>349</v>
      </c>
    </row>
    <row r="1350" customFormat="false" ht="11.9" hidden="false" customHeight="true" outlineLevel="0" collapsed="false">
      <c r="A1350" s="3" t="str">
        <f aca="false">HYPERLINK("https://www.fabsurplus.com/sdi_catalog/salesItemDetails.do?id=109969")</f>
        <v>https://www.fabsurplus.com/sdi_catalog/salesItemDetails.do?id=109969</v>
      </c>
      <c r="B1350" s="3" t="s">
        <v>3712</v>
      </c>
      <c r="C1350" s="3" t="s">
        <v>3707</v>
      </c>
      <c r="D1350" s="3" t="s">
        <v>3711</v>
      </c>
      <c r="E1350" s="3" t="s">
        <v>47</v>
      </c>
      <c r="F1350" s="3" t="s">
        <v>16</v>
      </c>
      <c r="G1350" s="3" t="s">
        <v>41</v>
      </c>
      <c r="H1350" s="3"/>
      <c r="I1350" s="3"/>
      <c r="J1350" s="3" t="s">
        <v>42</v>
      </c>
      <c r="K1350" s="3"/>
      <c r="L1350" s="3" t="s">
        <v>349</v>
      </c>
    </row>
    <row r="1351" customFormat="false" ht="11.9" hidden="false" customHeight="true" outlineLevel="0" collapsed="false">
      <c r="A1351" s="3" t="str">
        <f aca="false">HYPERLINK("https://www.fabsurplus.com/sdi_catalog/salesItemDetails.do?id=109971")</f>
        <v>https://www.fabsurplus.com/sdi_catalog/salesItemDetails.do?id=109971</v>
      </c>
      <c r="B1351" s="3" t="s">
        <v>3713</v>
      </c>
      <c r="C1351" s="3" t="s">
        <v>3707</v>
      </c>
      <c r="D1351" s="3" t="s">
        <v>3714</v>
      </c>
      <c r="E1351" s="3" t="s">
        <v>47</v>
      </c>
      <c r="F1351" s="3" t="s">
        <v>16</v>
      </c>
      <c r="G1351" s="3" t="s">
        <v>41</v>
      </c>
      <c r="H1351" s="3"/>
      <c r="I1351" s="3"/>
      <c r="J1351" s="3" t="s">
        <v>42</v>
      </c>
      <c r="K1351" s="3"/>
      <c r="L1351" s="3" t="s">
        <v>3715</v>
      </c>
    </row>
    <row r="1352" customFormat="false" ht="11.9" hidden="false" customHeight="true" outlineLevel="0" collapsed="false">
      <c r="A1352" s="2" t="str">
        <f aca="false">HYPERLINK("https://www.fabsurplus.com/sdi_catalog/salesItemDetails.do?id=77190")</f>
        <v>https://www.fabsurplus.com/sdi_catalog/salesItemDetails.do?id=77190</v>
      </c>
      <c r="B1352" s="2" t="s">
        <v>3716</v>
      </c>
      <c r="C1352" s="2" t="s">
        <v>3717</v>
      </c>
      <c r="D1352" s="2" t="s">
        <v>3718</v>
      </c>
      <c r="E1352" s="2" t="s">
        <v>3719</v>
      </c>
      <c r="F1352" s="2" t="s">
        <v>16</v>
      </c>
      <c r="G1352" s="2" t="s">
        <v>41</v>
      </c>
      <c r="H1352" s="2" t="s">
        <v>27</v>
      </c>
      <c r="I1352" s="2"/>
      <c r="J1352" s="2" t="s">
        <v>19</v>
      </c>
      <c r="K1352" s="2" t="s">
        <v>20</v>
      </c>
      <c r="L1352" s="6" t="s">
        <v>3720</v>
      </c>
    </row>
    <row r="1353" customFormat="false" ht="11.9" hidden="false" customHeight="true" outlineLevel="0" collapsed="false">
      <c r="A1353" s="2" t="str">
        <f aca="false">HYPERLINK("https://www.fabsurplus.com/sdi_catalog/salesItemDetails.do?id=115382")</f>
        <v>https://www.fabsurplus.com/sdi_catalog/salesItemDetails.do?id=115382</v>
      </c>
      <c r="B1353" s="2" t="s">
        <v>3721</v>
      </c>
      <c r="C1353" s="2" t="s">
        <v>3722</v>
      </c>
      <c r="D1353" s="2" t="s">
        <v>3723</v>
      </c>
      <c r="E1353" s="2" t="s">
        <v>3724</v>
      </c>
      <c r="F1353" s="2" t="s">
        <v>16</v>
      </c>
      <c r="G1353" s="2" t="s">
        <v>26</v>
      </c>
      <c r="H1353" s="2"/>
      <c r="I1353" s="2"/>
      <c r="J1353" s="2" t="s">
        <v>19</v>
      </c>
      <c r="K1353" s="2"/>
      <c r="L1353" s="2" t="s">
        <v>63</v>
      </c>
    </row>
    <row r="1354" customFormat="false" ht="11.9" hidden="false" customHeight="true" outlineLevel="0" collapsed="false">
      <c r="A1354" s="3" t="str">
        <f aca="false">HYPERLINK("https://www.fabsurplus.com/sdi_catalog/salesItemDetails.do?id=83874")</f>
        <v>https://www.fabsurplus.com/sdi_catalog/salesItemDetails.do?id=83874</v>
      </c>
      <c r="B1354" s="3" t="s">
        <v>3725</v>
      </c>
      <c r="C1354" s="3" t="s">
        <v>3726</v>
      </c>
      <c r="D1354" s="3" t="s">
        <v>3727</v>
      </c>
      <c r="E1354" s="3" t="s">
        <v>3728</v>
      </c>
      <c r="F1354" s="3" t="s">
        <v>104</v>
      </c>
      <c r="G1354" s="3"/>
      <c r="H1354" s="3" t="s">
        <v>18</v>
      </c>
      <c r="I1354" s="3"/>
      <c r="J1354" s="3" t="s">
        <v>19</v>
      </c>
      <c r="K1354" s="3" t="s">
        <v>20</v>
      </c>
      <c r="L1354" s="5" t="s">
        <v>3729</v>
      </c>
    </row>
    <row r="1355" customFormat="false" ht="11.9" hidden="false" customHeight="true" outlineLevel="0" collapsed="false">
      <c r="A1355" s="2" t="str">
        <f aca="false">HYPERLINK("https://www.fabsurplus.com/sdi_catalog/salesItemDetails.do?id=83870")</f>
        <v>https://www.fabsurplus.com/sdi_catalog/salesItemDetails.do?id=83870</v>
      </c>
      <c r="B1355" s="2" t="s">
        <v>3730</v>
      </c>
      <c r="C1355" s="2" t="s">
        <v>3731</v>
      </c>
      <c r="D1355" s="2" t="s">
        <v>3732</v>
      </c>
      <c r="E1355" s="2" t="s">
        <v>3733</v>
      </c>
      <c r="F1355" s="2" t="s">
        <v>3734</v>
      </c>
      <c r="G1355" s="2" t="s">
        <v>41</v>
      </c>
      <c r="H1355" s="2" t="s">
        <v>27</v>
      </c>
      <c r="I1355" s="2"/>
      <c r="J1355" s="2" t="s">
        <v>19</v>
      </c>
      <c r="K1355" s="2" t="s">
        <v>20</v>
      </c>
      <c r="L1355" s="6" t="s">
        <v>3735</v>
      </c>
    </row>
    <row r="1356" customFormat="false" ht="11.9" hidden="false" customHeight="true" outlineLevel="0" collapsed="false">
      <c r="A1356" s="3" t="str">
        <f aca="false">HYPERLINK("https://www.fabsurplus.com/sdi_catalog/salesItemDetails.do?id=83871")</f>
        <v>https://www.fabsurplus.com/sdi_catalog/salesItemDetails.do?id=83871</v>
      </c>
      <c r="B1356" s="3" t="s">
        <v>3736</v>
      </c>
      <c r="C1356" s="3" t="s">
        <v>3731</v>
      </c>
      <c r="D1356" s="3" t="s">
        <v>3732</v>
      </c>
      <c r="E1356" s="3" t="s">
        <v>3733</v>
      </c>
      <c r="F1356" s="3" t="s">
        <v>16</v>
      </c>
      <c r="G1356" s="3" t="s">
        <v>41</v>
      </c>
      <c r="H1356" s="3" t="s">
        <v>27</v>
      </c>
      <c r="I1356" s="3"/>
      <c r="J1356" s="3" t="s">
        <v>19</v>
      </c>
      <c r="K1356" s="3" t="s">
        <v>20</v>
      </c>
      <c r="L1356" s="5" t="s">
        <v>3737</v>
      </c>
    </row>
    <row r="1357" customFormat="false" ht="11.9" hidden="false" customHeight="true" outlineLevel="0" collapsed="false">
      <c r="A1357" s="2" t="str">
        <f aca="false">HYPERLINK("https://www.fabsurplus.com/sdi_catalog/salesItemDetails.do?id=21122")</f>
        <v>https://www.fabsurplus.com/sdi_catalog/salesItemDetails.do?id=21122</v>
      </c>
      <c r="B1357" s="2" t="s">
        <v>3738</v>
      </c>
      <c r="C1357" s="2" t="s">
        <v>3739</v>
      </c>
      <c r="D1357" s="2" t="s">
        <v>3740</v>
      </c>
      <c r="E1357" s="2" t="s">
        <v>3741</v>
      </c>
      <c r="F1357" s="2" t="s">
        <v>16</v>
      </c>
      <c r="G1357" s="2" t="s">
        <v>1062</v>
      </c>
      <c r="H1357" s="2" t="s">
        <v>944</v>
      </c>
      <c r="I1357" s="2"/>
      <c r="J1357" s="2" t="s">
        <v>19</v>
      </c>
      <c r="K1357" s="2" t="s">
        <v>20</v>
      </c>
      <c r="L1357" s="6" t="s">
        <v>3742</v>
      </c>
    </row>
    <row r="1358" customFormat="false" ht="11.9" hidden="false" customHeight="true" outlineLevel="0" collapsed="false">
      <c r="A1358" s="3" t="str">
        <f aca="false">HYPERLINK("https://www.fabsurplus.com/sdi_catalog/salesItemDetails.do?id=109975")</f>
        <v>https://www.fabsurplus.com/sdi_catalog/salesItemDetails.do?id=109975</v>
      </c>
      <c r="B1358" s="3" t="s">
        <v>3743</v>
      </c>
      <c r="C1358" s="3" t="s">
        <v>3744</v>
      </c>
      <c r="D1358" s="3" t="s">
        <v>3745</v>
      </c>
      <c r="E1358" s="3" t="s">
        <v>47</v>
      </c>
      <c r="F1358" s="3" t="s">
        <v>16</v>
      </c>
      <c r="G1358" s="3" t="s">
        <v>41</v>
      </c>
      <c r="H1358" s="3"/>
      <c r="I1358" s="3"/>
      <c r="J1358" s="3" t="s">
        <v>42</v>
      </c>
      <c r="K1358" s="3"/>
      <c r="L1358" s="3" t="s">
        <v>3746</v>
      </c>
    </row>
    <row r="1359" customFormat="false" ht="11.9" hidden="false" customHeight="true" outlineLevel="0" collapsed="false">
      <c r="A1359" s="2" t="str">
        <f aca="false">HYPERLINK("https://www.fabsurplus.com/sdi_catalog/salesItemDetails.do?id=109974")</f>
        <v>https://www.fabsurplus.com/sdi_catalog/salesItemDetails.do?id=109974</v>
      </c>
      <c r="B1359" s="2" t="s">
        <v>3747</v>
      </c>
      <c r="C1359" s="2" t="s">
        <v>3744</v>
      </c>
      <c r="D1359" s="2" t="s">
        <v>3745</v>
      </c>
      <c r="E1359" s="2" t="s">
        <v>47</v>
      </c>
      <c r="F1359" s="2" t="s">
        <v>16</v>
      </c>
      <c r="G1359" s="2" t="s">
        <v>41</v>
      </c>
      <c r="H1359" s="2"/>
      <c r="I1359" s="2"/>
      <c r="J1359" s="2" t="s">
        <v>42</v>
      </c>
      <c r="K1359" s="2"/>
      <c r="L1359" s="2" t="s">
        <v>3748</v>
      </c>
    </row>
    <row r="1360" customFormat="false" ht="11.9" hidden="false" customHeight="true" outlineLevel="0" collapsed="false">
      <c r="A1360" s="3" t="str">
        <f aca="false">HYPERLINK("https://www.fabsurplus.com/sdi_catalog/salesItemDetails.do?id=109973")</f>
        <v>https://www.fabsurplus.com/sdi_catalog/salesItemDetails.do?id=109973</v>
      </c>
      <c r="B1360" s="3" t="s">
        <v>3749</v>
      </c>
      <c r="C1360" s="3" t="s">
        <v>3744</v>
      </c>
      <c r="D1360" s="3" t="s">
        <v>3745</v>
      </c>
      <c r="E1360" s="3" t="s">
        <v>47</v>
      </c>
      <c r="F1360" s="3" t="s">
        <v>16</v>
      </c>
      <c r="G1360" s="3" t="s">
        <v>41</v>
      </c>
      <c r="H1360" s="3"/>
      <c r="I1360" s="3"/>
      <c r="J1360" s="3" t="s">
        <v>42</v>
      </c>
      <c r="K1360" s="3"/>
      <c r="L1360" s="3" t="s">
        <v>3748</v>
      </c>
    </row>
    <row r="1361" customFormat="false" ht="11.9" hidden="false" customHeight="true" outlineLevel="0" collapsed="false">
      <c r="A1361" s="2" t="str">
        <f aca="false">HYPERLINK("https://www.fabsurplus.com/sdi_catalog/salesItemDetails.do?id=109972")</f>
        <v>https://www.fabsurplus.com/sdi_catalog/salesItemDetails.do?id=109972</v>
      </c>
      <c r="B1361" s="2" t="s">
        <v>3750</v>
      </c>
      <c r="C1361" s="2" t="s">
        <v>3744</v>
      </c>
      <c r="D1361" s="2" t="s">
        <v>3745</v>
      </c>
      <c r="E1361" s="2" t="s">
        <v>47</v>
      </c>
      <c r="F1361" s="2" t="s">
        <v>16</v>
      </c>
      <c r="G1361" s="2" t="s">
        <v>41</v>
      </c>
      <c r="H1361" s="2"/>
      <c r="I1361" s="2"/>
      <c r="J1361" s="2" t="s">
        <v>42</v>
      </c>
      <c r="K1361" s="2"/>
      <c r="L1361" s="2" t="s">
        <v>3748</v>
      </c>
    </row>
    <row r="1362" customFormat="false" ht="11.9" hidden="false" customHeight="true" outlineLevel="0" collapsed="false">
      <c r="A1362" s="3" t="str">
        <f aca="false">HYPERLINK("https://www.fabsurplus.com/sdi_catalog/salesItemDetails.do?id=109995")</f>
        <v>https://www.fabsurplus.com/sdi_catalog/salesItemDetails.do?id=109995</v>
      </c>
      <c r="B1362" s="3" t="s">
        <v>3751</v>
      </c>
      <c r="C1362" s="3" t="s">
        <v>3744</v>
      </c>
      <c r="D1362" s="3" t="s">
        <v>3752</v>
      </c>
      <c r="E1362" s="3" t="s">
        <v>47</v>
      </c>
      <c r="F1362" s="3" t="s">
        <v>16</v>
      </c>
      <c r="G1362" s="3" t="s">
        <v>41</v>
      </c>
      <c r="H1362" s="3"/>
      <c r="I1362" s="3"/>
      <c r="J1362" s="3" t="s">
        <v>42</v>
      </c>
      <c r="K1362" s="3"/>
      <c r="L1362" s="3" t="s">
        <v>3753</v>
      </c>
    </row>
    <row r="1363" customFormat="false" ht="11.9" hidden="false" customHeight="true" outlineLevel="0" collapsed="false">
      <c r="A1363" s="2" t="str">
        <f aca="false">HYPERLINK("https://www.fabsurplus.com/sdi_catalog/salesItemDetails.do?id=109994")</f>
        <v>https://www.fabsurplus.com/sdi_catalog/salesItemDetails.do?id=109994</v>
      </c>
      <c r="B1363" s="2" t="s">
        <v>3754</v>
      </c>
      <c r="C1363" s="2" t="s">
        <v>3744</v>
      </c>
      <c r="D1363" s="2" t="s">
        <v>3752</v>
      </c>
      <c r="E1363" s="2" t="s">
        <v>47</v>
      </c>
      <c r="F1363" s="2" t="s">
        <v>16</v>
      </c>
      <c r="G1363" s="2" t="s">
        <v>41</v>
      </c>
      <c r="H1363" s="2"/>
      <c r="I1363" s="2"/>
      <c r="J1363" s="2" t="s">
        <v>42</v>
      </c>
      <c r="K1363" s="2"/>
      <c r="L1363" s="2" t="s">
        <v>3755</v>
      </c>
    </row>
    <row r="1364" customFormat="false" ht="11.9" hidden="false" customHeight="true" outlineLevel="0" collapsed="false">
      <c r="A1364" s="3" t="str">
        <f aca="false">HYPERLINK("https://www.fabsurplus.com/sdi_catalog/salesItemDetails.do?id=109993")</f>
        <v>https://www.fabsurplus.com/sdi_catalog/salesItemDetails.do?id=109993</v>
      </c>
      <c r="B1364" s="3" t="s">
        <v>3756</v>
      </c>
      <c r="C1364" s="3" t="s">
        <v>3744</v>
      </c>
      <c r="D1364" s="3" t="s">
        <v>3752</v>
      </c>
      <c r="E1364" s="3" t="s">
        <v>47</v>
      </c>
      <c r="F1364" s="3" t="s">
        <v>16</v>
      </c>
      <c r="G1364" s="3" t="s">
        <v>41</v>
      </c>
      <c r="H1364" s="3"/>
      <c r="I1364" s="3"/>
      <c r="J1364" s="3" t="s">
        <v>42</v>
      </c>
      <c r="K1364" s="3"/>
      <c r="L1364" s="3" t="s">
        <v>3757</v>
      </c>
    </row>
    <row r="1365" customFormat="false" ht="11.9" hidden="false" customHeight="true" outlineLevel="0" collapsed="false">
      <c r="A1365" s="2" t="str">
        <f aca="false">HYPERLINK("https://www.fabsurplus.com/sdi_catalog/salesItemDetails.do?id=109992")</f>
        <v>https://www.fabsurplus.com/sdi_catalog/salesItemDetails.do?id=109992</v>
      </c>
      <c r="B1365" s="2" t="s">
        <v>3758</v>
      </c>
      <c r="C1365" s="2" t="s">
        <v>3744</v>
      </c>
      <c r="D1365" s="2" t="s">
        <v>3752</v>
      </c>
      <c r="E1365" s="2" t="s">
        <v>47</v>
      </c>
      <c r="F1365" s="2" t="s">
        <v>16</v>
      </c>
      <c r="G1365" s="2" t="s">
        <v>41</v>
      </c>
      <c r="H1365" s="2"/>
      <c r="I1365" s="2"/>
      <c r="J1365" s="2" t="s">
        <v>42</v>
      </c>
      <c r="K1365" s="2"/>
      <c r="L1365" s="2" t="s">
        <v>3757</v>
      </c>
    </row>
    <row r="1366" customFormat="false" ht="11.9" hidden="false" customHeight="true" outlineLevel="0" collapsed="false">
      <c r="A1366" s="2" t="str">
        <f aca="false">HYPERLINK("https://www.fabsurplus.com/sdi_catalog/salesItemDetails.do?id=110000")</f>
        <v>https://www.fabsurplus.com/sdi_catalog/salesItemDetails.do?id=110000</v>
      </c>
      <c r="B1366" s="2" t="s">
        <v>3759</v>
      </c>
      <c r="C1366" s="2" t="s">
        <v>3744</v>
      </c>
      <c r="D1366" s="2" t="s">
        <v>3760</v>
      </c>
      <c r="E1366" s="2" t="s">
        <v>47</v>
      </c>
      <c r="F1366" s="2" t="s">
        <v>16</v>
      </c>
      <c r="G1366" s="2" t="s">
        <v>41</v>
      </c>
      <c r="H1366" s="2"/>
      <c r="I1366" s="2"/>
      <c r="J1366" s="2" t="s">
        <v>42</v>
      </c>
      <c r="K1366" s="2"/>
      <c r="L1366" s="2" t="s">
        <v>3761</v>
      </c>
    </row>
    <row r="1367" customFormat="false" ht="11.9" hidden="false" customHeight="true" outlineLevel="0" collapsed="false">
      <c r="A1367" s="3" t="str">
        <f aca="false">HYPERLINK("https://www.fabsurplus.com/sdi_catalog/salesItemDetails.do?id=109999")</f>
        <v>https://www.fabsurplus.com/sdi_catalog/salesItemDetails.do?id=109999</v>
      </c>
      <c r="B1367" s="3" t="s">
        <v>3762</v>
      </c>
      <c r="C1367" s="3" t="s">
        <v>3744</v>
      </c>
      <c r="D1367" s="3" t="s">
        <v>3760</v>
      </c>
      <c r="E1367" s="3" t="s">
        <v>47</v>
      </c>
      <c r="F1367" s="3" t="s">
        <v>16</v>
      </c>
      <c r="G1367" s="3" t="s">
        <v>41</v>
      </c>
      <c r="H1367" s="3"/>
      <c r="I1367" s="3"/>
      <c r="J1367" s="3" t="s">
        <v>42</v>
      </c>
      <c r="K1367" s="3"/>
      <c r="L1367" s="3" t="s">
        <v>3763</v>
      </c>
    </row>
    <row r="1368" customFormat="false" ht="11.9" hidden="false" customHeight="true" outlineLevel="0" collapsed="false">
      <c r="A1368" s="2" t="str">
        <f aca="false">HYPERLINK("https://www.fabsurplus.com/sdi_catalog/salesItemDetails.do?id=109998")</f>
        <v>https://www.fabsurplus.com/sdi_catalog/salesItemDetails.do?id=109998</v>
      </c>
      <c r="B1368" s="2" t="s">
        <v>3764</v>
      </c>
      <c r="C1368" s="2" t="s">
        <v>3744</v>
      </c>
      <c r="D1368" s="2" t="s">
        <v>3760</v>
      </c>
      <c r="E1368" s="2" t="s">
        <v>47</v>
      </c>
      <c r="F1368" s="2" t="s">
        <v>16</v>
      </c>
      <c r="G1368" s="2" t="s">
        <v>41</v>
      </c>
      <c r="H1368" s="2"/>
      <c r="I1368" s="2"/>
      <c r="J1368" s="2" t="s">
        <v>42</v>
      </c>
      <c r="K1368" s="2"/>
      <c r="L1368" s="2" t="s">
        <v>3763</v>
      </c>
    </row>
    <row r="1369" customFormat="false" ht="11.9" hidden="false" customHeight="true" outlineLevel="0" collapsed="false">
      <c r="A1369" s="3" t="str">
        <f aca="false">HYPERLINK("https://www.fabsurplus.com/sdi_catalog/salesItemDetails.do?id=109997")</f>
        <v>https://www.fabsurplus.com/sdi_catalog/salesItemDetails.do?id=109997</v>
      </c>
      <c r="B1369" s="3" t="s">
        <v>3765</v>
      </c>
      <c r="C1369" s="3" t="s">
        <v>3744</v>
      </c>
      <c r="D1369" s="3" t="s">
        <v>3760</v>
      </c>
      <c r="E1369" s="3" t="s">
        <v>47</v>
      </c>
      <c r="F1369" s="3" t="s">
        <v>16</v>
      </c>
      <c r="G1369" s="3" t="s">
        <v>41</v>
      </c>
      <c r="H1369" s="3"/>
      <c r="I1369" s="3"/>
      <c r="J1369" s="3" t="s">
        <v>42</v>
      </c>
      <c r="K1369" s="3"/>
      <c r="L1369" s="3" t="s">
        <v>3763</v>
      </c>
    </row>
    <row r="1370" customFormat="false" ht="11.9" hidden="false" customHeight="true" outlineLevel="0" collapsed="false">
      <c r="A1370" s="2" t="str">
        <f aca="false">HYPERLINK("https://www.fabsurplus.com/sdi_catalog/salesItemDetails.do?id=109996")</f>
        <v>https://www.fabsurplus.com/sdi_catalog/salesItemDetails.do?id=109996</v>
      </c>
      <c r="B1370" s="2" t="s">
        <v>3766</v>
      </c>
      <c r="C1370" s="2" t="s">
        <v>3744</v>
      </c>
      <c r="D1370" s="2" t="s">
        <v>3760</v>
      </c>
      <c r="E1370" s="2" t="s">
        <v>47</v>
      </c>
      <c r="F1370" s="2" t="s">
        <v>16</v>
      </c>
      <c r="G1370" s="2" t="s">
        <v>41</v>
      </c>
      <c r="H1370" s="2"/>
      <c r="I1370" s="2"/>
      <c r="J1370" s="2" t="s">
        <v>42</v>
      </c>
      <c r="K1370" s="2"/>
      <c r="L1370" s="2" t="s">
        <v>3763</v>
      </c>
    </row>
    <row r="1371" customFormat="false" ht="11.9" hidden="false" customHeight="true" outlineLevel="0" collapsed="false">
      <c r="A1371" s="3" t="str">
        <f aca="false">HYPERLINK("https://www.fabsurplus.com/sdi_catalog/salesItemDetails.do?id=110001")</f>
        <v>https://www.fabsurplus.com/sdi_catalog/salesItemDetails.do?id=110001</v>
      </c>
      <c r="B1371" s="3" t="s">
        <v>3767</v>
      </c>
      <c r="C1371" s="3" t="s">
        <v>3744</v>
      </c>
      <c r="D1371" s="3" t="s">
        <v>3768</v>
      </c>
      <c r="E1371" s="3" t="s">
        <v>47</v>
      </c>
      <c r="F1371" s="3" t="s">
        <v>16</v>
      </c>
      <c r="G1371" s="3" t="s">
        <v>41</v>
      </c>
      <c r="H1371" s="3"/>
      <c r="I1371" s="3"/>
      <c r="J1371" s="3" t="s">
        <v>42</v>
      </c>
      <c r="K1371" s="3"/>
      <c r="L1371" s="3" t="s">
        <v>3769</v>
      </c>
    </row>
    <row r="1372" customFormat="false" ht="11.9" hidden="false" customHeight="true" outlineLevel="0" collapsed="false">
      <c r="A1372" s="3" t="str">
        <f aca="false">HYPERLINK("https://www.fabsurplus.com/sdi_catalog/salesItemDetails.do?id=109977")</f>
        <v>https://www.fabsurplus.com/sdi_catalog/salesItemDetails.do?id=109977</v>
      </c>
      <c r="B1372" s="3" t="s">
        <v>3770</v>
      </c>
      <c r="C1372" s="3" t="s">
        <v>3744</v>
      </c>
      <c r="D1372" s="3" t="s">
        <v>3771</v>
      </c>
      <c r="E1372" s="3" t="s">
        <v>47</v>
      </c>
      <c r="F1372" s="3" t="s">
        <v>16</v>
      </c>
      <c r="G1372" s="3" t="s">
        <v>41</v>
      </c>
      <c r="H1372" s="3"/>
      <c r="I1372" s="3"/>
      <c r="J1372" s="3" t="s">
        <v>42</v>
      </c>
      <c r="K1372" s="3"/>
      <c r="L1372" s="3" t="s">
        <v>3772</v>
      </c>
    </row>
    <row r="1373" customFormat="false" ht="11.9" hidden="false" customHeight="true" outlineLevel="0" collapsed="false">
      <c r="A1373" s="2" t="str">
        <f aca="false">HYPERLINK("https://www.fabsurplus.com/sdi_catalog/salesItemDetails.do?id=109976")</f>
        <v>https://www.fabsurplus.com/sdi_catalog/salesItemDetails.do?id=109976</v>
      </c>
      <c r="B1373" s="2" t="s">
        <v>3773</v>
      </c>
      <c r="C1373" s="2" t="s">
        <v>3744</v>
      </c>
      <c r="D1373" s="2" t="s">
        <v>3771</v>
      </c>
      <c r="E1373" s="2" t="s">
        <v>47</v>
      </c>
      <c r="F1373" s="2" t="s">
        <v>16</v>
      </c>
      <c r="G1373" s="2" t="s">
        <v>41</v>
      </c>
      <c r="H1373" s="2"/>
      <c r="I1373" s="2"/>
      <c r="J1373" s="2" t="s">
        <v>42</v>
      </c>
      <c r="K1373" s="2"/>
      <c r="L1373" s="2" t="s">
        <v>3774</v>
      </c>
    </row>
    <row r="1374" customFormat="false" ht="11.9" hidden="false" customHeight="true" outlineLevel="0" collapsed="false">
      <c r="A1374" s="3" t="str">
        <f aca="false">HYPERLINK("https://www.fabsurplus.com/sdi_catalog/salesItemDetails.do?id=109991")</f>
        <v>https://www.fabsurplus.com/sdi_catalog/salesItemDetails.do?id=109991</v>
      </c>
      <c r="B1374" s="3" t="s">
        <v>3775</v>
      </c>
      <c r="C1374" s="3" t="s">
        <v>3744</v>
      </c>
      <c r="D1374" s="3" t="s">
        <v>3776</v>
      </c>
      <c r="E1374" s="3" t="s">
        <v>47</v>
      </c>
      <c r="F1374" s="3" t="s">
        <v>16</v>
      </c>
      <c r="G1374" s="3" t="s">
        <v>41</v>
      </c>
      <c r="H1374" s="3"/>
      <c r="I1374" s="3"/>
      <c r="J1374" s="3" t="s">
        <v>42</v>
      </c>
      <c r="K1374" s="3"/>
      <c r="L1374" s="5" t="s">
        <v>3777</v>
      </c>
    </row>
    <row r="1375" customFormat="false" ht="11.9" hidden="false" customHeight="true" outlineLevel="0" collapsed="false">
      <c r="A1375" s="2" t="str">
        <f aca="false">HYPERLINK("https://www.fabsurplus.com/sdi_catalog/salesItemDetails.do?id=109990")</f>
        <v>https://www.fabsurplus.com/sdi_catalog/salesItemDetails.do?id=109990</v>
      </c>
      <c r="B1375" s="2" t="s">
        <v>3778</v>
      </c>
      <c r="C1375" s="2" t="s">
        <v>3744</v>
      </c>
      <c r="D1375" s="2" t="s">
        <v>3776</v>
      </c>
      <c r="E1375" s="2" t="s">
        <v>47</v>
      </c>
      <c r="F1375" s="2" t="s">
        <v>16</v>
      </c>
      <c r="G1375" s="2" t="s">
        <v>41</v>
      </c>
      <c r="H1375" s="2"/>
      <c r="I1375" s="2"/>
      <c r="J1375" s="2" t="s">
        <v>42</v>
      </c>
      <c r="K1375" s="2"/>
      <c r="L1375" s="6" t="s">
        <v>3777</v>
      </c>
    </row>
    <row r="1376" customFormat="false" ht="11.9" hidden="false" customHeight="true" outlineLevel="0" collapsed="false">
      <c r="A1376" s="3" t="str">
        <f aca="false">HYPERLINK("https://www.fabsurplus.com/sdi_catalog/salesItemDetails.do?id=109989")</f>
        <v>https://www.fabsurplus.com/sdi_catalog/salesItemDetails.do?id=109989</v>
      </c>
      <c r="B1376" s="3" t="s">
        <v>3779</v>
      </c>
      <c r="C1376" s="3" t="s">
        <v>3744</v>
      </c>
      <c r="D1376" s="3" t="s">
        <v>3776</v>
      </c>
      <c r="E1376" s="3" t="s">
        <v>47</v>
      </c>
      <c r="F1376" s="3" t="s">
        <v>16</v>
      </c>
      <c r="G1376" s="3" t="s">
        <v>41</v>
      </c>
      <c r="H1376" s="3"/>
      <c r="I1376" s="3"/>
      <c r="J1376" s="3" t="s">
        <v>42</v>
      </c>
      <c r="K1376" s="3"/>
      <c r="L1376" s="5" t="s">
        <v>3780</v>
      </c>
    </row>
    <row r="1377" customFormat="false" ht="11.9" hidden="false" customHeight="true" outlineLevel="0" collapsed="false">
      <c r="A1377" s="2" t="str">
        <f aca="false">HYPERLINK("https://www.fabsurplus.com/sdi_catalog/salesItemDetails.do?id=109988")</f>
        <v>https://www.fabsurplus.com/sdi_catalog/salesItemDetails.do?id=109988</v>
      </c>
      <c r="B1377" s="2" t="s">
        <v>3781</v>
      </c>
      <c r="C1377" s="2" t="s">
        <v>3744</v>
      </c>
      <c r="D1377" s="2" t="s">
        <v>3776</v>
      </c>
      <c r="E1377" s="2" t="s">
        <v>47</v>
      </c>
      <c r="F1377" s="2" t="s">
        <v>16</v>
      </c>
      <c r="G1377" s="2" t="s">
        <v>41</v>
      </c>
      <c r="H1377" s="2"/>
      <c r="I1377" s="2"/>
      <c r="J1377" s="2" t="s">
        <v>42</v>
      </c>
      <c r="K1377" s="2"/>
      <c r="L1377" s="6" t="s">
        <v>3782</v>
      </c>
    </row>
    <row r="1378" customFormat="false" ht="11.9" hidden="false" customHeight="true" outlineLevel="0" collapsed="false">
      <c r="A1378" s="3" t="str">
        <f aca="false">HYPERLINK("https://www.fabsurplus.com/sdi_catalog/salesItemDetails.do?id=109987")</f>
        <v>https://www.fabsurplus.com/sdi_catalog/salesItemDetails.do?id=109987</v>
      </c>
      <c r="B1378" s="3" t="s">
        <v>3783</v>
      </c>
      <c r="C1378" s="3" t="s">
        <v>3744</v>
      </c>
      <c r="D1378" s="3" t="s">
        <v>3776</v>
      </c>
      <c r="E1378" s="3" t="s">
        <v>47</v>
      </c>
      <c r="F1378" s="3" t="s">
        <v>16</v>
      </c>
      <c r="G1378" s="3" t="s">
        <v>41</v>
      </c>
      <c r="H1378" s="3"/>
      <c r="I1378" s="3"/>
      <c r="J1378" s="3" t="s">
        <v>42</v>
      </c>
      <c r="K1378" s="3"/>
      <c r="L1378" s="5" t="s">
        <v>3780</v>
      </c>
    </row>
    <row r="1379" customFormat="false" ht="11.9" hidden="false" customHeight="true" outlineLevel="0" collapsed="false">
      <c r="A1379" s="2" t="str">
        <f aca="false">HYPERLINK("https://www.fabsurplus.com/sdi_catalog/salesItemDetails.do?id=109986")</f>
        <v>https://www.fabsurplus.com/sdi_catalog/salesItemDetails.do?id=109986</v>
      </c>
      <c r="B1379" s="2" t="s">
        <v>3784</v>
      </c>
      <c r="C1379" s="2" t="s">
        <v>3744</v>
      </c>
      <c r="D1379" s="2" t="s">
        <v>3776</v>
      </c>
      <c r="E1379" s="2" t="s">
        <v>47</v>
      </c>
      <c r="F1379" s="2" t="s">
        <v>16</v>
      </c>
      <c r="G1379" s="2" t="s">
        <v>41</v>
      </c>
      <c r="H1379" s="2"/>
      <c r="I1379" s="2"/>
      <c r="J1379" s="2" t="s">
        <v>42</v>
      </c>
      <c r="K1379" s="2"/>
      <c r="L1379" s="6" t="s">
        <v>3780</v>
      </c>
    </row>
    <row r="1380" customFormat="false" ht="11.9" hidden="false" customHeight="true" outlineLevel="0" collapsed="false">
      <c r="A1380" s="3" t="str">
        <f aca="false">HYPERLINK("https://www.fabsurplus.com/sdi_catalog/salesItemDetails.do?id=109985")</f>
        <v>https://www.fabsurplus.com/sdi_catalog/salesItemDetails.do?id=109985</v>
      </c>
      <c r="B1380" s="3" t="s">
        <v>3785</v>
      </c>
      <c r="C1380" s="3" t="s">
        <v>3744</v>
      </c>
      <c r="D1380" s="3" t="s">
        <v>3776</v>
      </c>
      <c r="E1380" s="3" t="s">
        <v>47</v>
      </c>
      <c r="F1380" s="3" t="s">
        <v>16</v>
      </c>
      <c r="G1380" s="3" t="s">
        <v>41</v>
      </c>
      <c r="H1380" s="3"/>
      <c r="I1380" s="3"/>
      <c r="J1380" s="3" t="s">
        <v>42</v>
      </c>
      <c r="K1380" s="3"/>
      <c r="L1380" s="5" t="s">
        <v>3780</v>
      </c>
    </row>
    <row r="1381" customFormat="false" ht="11.9" hidden="false" customHeight="true" outlineLevel="0" collapsed="false">
      <c r="A1381" s="2" t="str">
        <f aca="false">HYPERLINK("https://www.fabsurplus.com/sdi_catalog/salesItemDetails.do?id=109984")</f>
        <v>https://www.fabsurplus.com/sdi_catalog/salesItemDetails.do?id=109984</v>
      </c>
      <c r="B1381" s="2" t="s">
        <v>3786</v>
      </c>
      <c r="C1381" s="2" t="s">
        <v>3744</v>
      </c>
      <c r="D1381" s="2" t="s">
        <v>3776</v>
      </c>
      <c r="E1381" s="2" t="s">
        <v>47</v>
      </c>
      <c r="F1381" s="2" t="s">
        <v>16</v>
      </c>
      <c r="G1381" s="2" t="s">
        <v>41</v>
      </c>
      <c r="H1381" s="2"/>
      <c r="I1381" s="2"/>
      <c r="J1381" s="2" t="s">
        <v>42</v>
      </c>
      <c r="K1381" s="2"/>
      <c r="L1381" s="6" t="s">
        <v>3780</v>
      </c>
    </row>
    <row r="1382" customFormat="false" ht="11.9" hidden="false" customHeight="true" outlineLevel="0" collapsed="false">
      <c r="A1382" s="3" t="str">
        <f aca="false">HYPERLINK("https://www.fabsurplus.com/sdi_catalog/salesItemDetails.do?id=109983")</f>
        <v>https://www.fabsurplus.com/sdi_catalog/salesItemDetails.do?id=109983</v>
      </c>
      <c r="B1382" s="3" t="s">
        <v>3787</v>
      </c>
      <c r="C1382" s="3" t="s">
        <v>3744</v>
      </c>
      <c r="D1382" s="3" t="s">
        <v>3776</v>
      </c>
      <c r="E1382" s="3" t="s">
        <v>47</v>
      </c>
      <c r="F1382" s="3" t="s">
        <v>16</v>
      </c>
      <c r="G1382" s="3" t="s">
        <v>41</v>
      </c>
      <c r="H1382" s="3"/>
      <c r="I1382" s="3"/>
      <c r="J1382" s="3" t="s">
        <v>42</v>
      </c>
      <c r="K1382" s="3"/>
      <c r="L1382" s="5" t="s">
        <v>3780</v>
      </c>
    </row>
    <row r="1383" customFormat="false" ht="11.9" hidden="false" customHeight="true" outlineLevel="0" collapsed="false">
      <c r="A1383" s="2" t="str">
        <f aca="false">HYPERLINK("https://www.fabsurplus.com/sdi_catalog/salesItemDetails.do?id=109982")</f>
        <v>https://www.fabsurplus.com/sdi_catalog/salesItemDetails.do?id=109982</v>
      </c>
      <c r="B1383" s="2" t="s">
        <v>3788</v>
      </c>
      <c r="C1383" s="2" t="s">
        <v>3744</v>
      </c>
      <c r="D1383" s="2" t="s">
        <v>3776</v>
      </c>
      <c r="E1383" s="2" t="s">
        <v>47</v>
      </c>
      <c r="F1383" s="2" t="s">
        <v>16</v>
      </c>
      <c r="G1383" s="2" t="s">
        <v>41</v>
      </c>
      <c r="H1383" s="2"/>
      <c r="I1383" s="2"/>
      <c r="J1383" s="2" t="s">
        <v>42</v>
      </c>
      <c r="K1383" s="2"/>
      <c r="L1383" s="6" t="s">
        <v>3780</v>
      </c>
    </row>
    <row r="1384" customFormat="false" ht="11.9" hidden="false" customHeight="true" outlineLevel="0" collapsed="false">
      <c r="A1384" s="3" t="str">
        <f aca="false">HYPERLINK("https://www.fabsurplus.com/sdi_catalog/salesItemDetails.do?id=109981")</f>
        <v>https://www.fabsurplus.com/sdi_catalog/salesItemDetails.do?id=109981</v>
      </c>
      <c r="B1384" s="3" t="s">
        <v>3789</v>
      </c>
      <c r="C1384" s="3" t="s">
        <v>3744</v>
      </c>
      <c r="D1384" s="3" t="s">
        <v>3776</v>
      </c>
      <c r="E1384" s="3" t="s">
        <v>47</v>
      </c>
      <c r="F1384" s="3" t="s">
        <v>16</v>
      </c>
      <c r="G1384" s="3" t="s">
        <v>41</v>
      </c>
      <c r="H1384" s="3"/>
      <c r="I1384" s="3"/>
      <c r="J1384" s="3" t="s">
        <v>42</v>
      </c>
      <c r="K1384" s="3"/>
      <c r="L1384" s="5" t="s">
        <v>3780</v>
      </c>
    </row>
    <row r="1385" customFormat="false" ht="11.9" hidden="false" customHeight="true" outlineLevel="0" collapsed="false">
      <c r="A1385" s="2" t="str">
        <f aca="false">HYPERLINK("https://www.fabsurplus.com/sdi_catalog/salesItemDetails.do?id=109980")</f>
        <v>https://www.fabsurplus.com/sdi_catalog/salesItemDetails.do?id=109980</v>
      </c>
      <c r="B1385" s="2" t="s">
        <v>3790</v>
      </c>
      <c r="C1385" s="2" t="s">
        <v>3744</v>
      </c>
      <c r="D1385" s="2" t="s">
        <v>3776</v>
      </c>
      <c r="E1385" s="2" t="s">
        <v>47</v>
      </c>
      <c r="F1385" s="2" t="s">
        <v>16</v>
      </c>
      <c r="G1385" s="2" t="s">
        <v>41</v>
      </c>
      <c r="H1385" s="2"/>
      <c r="I1385" s="2"/>
      <c r="J1385" s="2" t="s">
        <v>42</v>
      </c>
      <c r="K1385" s="2"/>
      <c r="L1385" s="6" t="s">
        <v>3780</v>
      </c>
    </row>
    <row r="1386" customFormat="false" ht="11.9" hidden="false" customHeight="true" outlineLevel="0" collapsed="false">
      <c r="A1386" s="3" t="str">
        <f aca="false">HYPERLINK("https://www.fabsurplus.com/sdi_catalog/salesItemDetails.do?id=109979")</f>
        <v>https://www.fabsurplus.com/sdi_catalog/salesItemDetails.do?id=109979</v>
      </c>
      <c r="B1386" s="3" t="s">
        <v>3791</v>
      </c>
      <c r="C1386" s="3" t="s">
        <v>3744</v>
      </c>
      <c r="D1386" s="3" t="s">
        <v>3776</v>
      </c>
      <c r="E1386" s="3" t="s">
        <v>47</v>
      </c>
      <c r="F1386" s="3" t="s">
        <v>16</v>
      </c>
      <c r="G1386" s="3" t="s">
        <v>41</v>
      </c>
      <c r="H1386" s="3"/>
      <c r="I1386" s="3"/>
      <c r="J1386" s="3" t="s">
        <v>42</v>
      </c>
      <c r="K1386" s="3"/>
      <c r="L1386" s="5" t="s">
        <v>3780</v>
      </c>
    </row>
    <row r="1387" customFormat="false" ht="11.9" hidden="false" customHeight="true" outlineLevel="0" collapsed="false">
      <c r="A1387" s="2" t="str">
        <f aca="false">HYPERLINK("https://www.fabsurplus.com/sdi_catalog/salesItemDetails.do?id=109978")</f>
        <v>https://www.fabsurplus.com/sdi_catalog/salesItemDetails.do?id=109978</v>
      </c>
      <c r="B1387" s="2" t="s">
        <v>3792</v>
      </c>
      <c r="C1387" s="2" t="s">
        <v>3744</v>
      </c>
      <c r="D1387" s="2" t="s">
        <v>3776</v>
      </c>
      <c r="E1387" s="2" t="s">
        <v>47</v>
      </c>
      <c r="F1387" s="2" t="s">
        <v>16</v>
      </c>
      <c r="G1387" s="2" t="s">
        <v>41</v>
      </c>
      <c r="H1387" s="2"/>
      <c r="I1387" s="2"/>
      <c r="J1387" s="2" t="s">
        <v>42</v>
      </c>
      <c r="K1387" s="2"/>
      <c r="L1387" s="2" t="s">
        <v>3793</v>
      </c>
    </row>
    <row r="1388" customFormat="false" ht="11.9" hidden="false" customHeight="true" outlineLevel="0" collapsed="false">
      <c r="A1388" s="2" t="str">
        <f aca="false">HYPERLINK("https://www.fabsurplus.com/sdi_catalog/salesItemDetails.do?id=110002")</f>
        <v>https://www.fabsurplus.com/sdi_catalog/salesItemDetails.do?id=110002</v>
      </c>
      <c r="B1388" s="2" t="s">
        <v>3794</v>
      </c>
      <c r="C1388" s="2" t="s">
        <v>3744</v>
      </c>
      <c r="D1388" s="2" t="s">
        <v>3795</v>
      </c>
      <c r="E1388" s="2" t="s">
        <v>47</v>
      </c>
      <c r="F1388" s="2" t="s">
        <v>16</v>
      </c>
      <c r="G1388" s="2" t="s">
        <v>41</v>
      </c>
      <c r="H1388" s="2"/>
      <c r="I1388" s="2"/>
      <c r="J1388" s="2" t="s">
        <v>42</v>
      </c>
      <c r="K1388" s="2"/>
      <c r="L1388" s="2" t="s">
        <v>3796</v>
      </c>
    </row>
    <row r="1389" customFormat="false" ht="11.9" hidden="false" customHeight="true" outlineLevel="0" collapsed="false">
      <c r="A1389" s="3" t="str">
        <f aca="false">HYPERLINK("https://www.fabsurplus.com/sdi_catalog/salesItemDetails.do?id=110003")</f>
        <v>https://www.fabsurplus.com/sdi_catalog/salesItemDetails.do?id=110003</v>
      </c>
      <c r="B1389" s="3" t="s">
        <v>3797</v>
      </c>
      <c r="C1389" s="3" t="s">
        <v>3744</v>
      </c>
      <c r="D1389" s="3" t="s">
        <v>3798</v>
      </c>
      <c r="E1389" s="3" t="s">
        <v>47</v>
      </c>
      <c r="F1389" s="3" t="s">
        <v>16</v>
      </c>
      <c r="G1389" s="3" t="s">
        <v>41</v>
      </c>
      <c r="H1389" s="3"/>
      <c r="I1389" s="3"/>
      <c r="J1389" s="3" t="s">
        <v>42</v>
      </c>
      <c r="K1389" s="3"/>
      <c r="L1389" s="3" t="s">
        <v>3799</v>
      </c>
    </row>
    <row r="1390" customFormat="false" ht="11.9" hidden="false" customHeight="true" outlineLevel="0" collapsed="false">
      <c r="A1390" s="2" t="str">
        <f aca="false">HYPERLINK("https://www.fabsurplus.com/sdi_catalog/salesItemDetails.do?id=110004")</f>
        <v>https://www.fabsurplus.com/sdi_catalog/salesItemDetails.do?id=110004</v>
      </c>
      <c r="B1390" s="2" t="s">
        <v>3800</v>
      </c>
      <c r="C1390" s="2" t="s">
        <v>3744</v>
      </c>
      <c r="D1390" s="2" t="s">
        <v>3801</v>
      </c>
      <c r="E1390" s="2" t="s">
        <v>47</v>
      </c>
      <c r="F1390" s="2" t="s">
        <v>16</v>
      </c>
      <c r="G1390" s="2" t="s">
        <v>41</v>
      </c>
      <c r="H1390" s="2"/>
      <c r="I1390" s="2"/>
      <c r="J1390" s="2" t="s">
        <v>42</v>
      </c>
      <c r="K1390" s="2"/>
      <c r="L1390" s="6" t="s">
        <v>3802</v>
      </c>
    </row>
    <row r="1391" customFormat="false" ht="11.9" hidden="false" customHeight="true" outlineLevel="0" collapsed="false">
      <c r="A1391" s="3" t="str">
        <f aca="false">HYPERLINK("https://www.fabsurplus.com/sdi_catalog/salesItemDetails.do?id=110005")</f>
        <v>https://www.fabsurplus.com/sdi_catalog/salesItemDetails.do?id=110005</v>
      </c>
      <c r="B1391" s="3" t="s">
        <v>3803</v>
      </c>
      <c r="C1391" s="3" t="s">
        <v>3744</v>
      </c>
      <c r="D1391" s="3" t="s">
        <v>3804</v>
      </c>
      <c r="E1391" s="3" t="s">
        <v>47</v>
      </c>
      <c r="F1391" s="3" t="s">
        <v>16</v>
      </c>
      <c r="G1391" s="3" t="s">
        <v>41</v>
      </c>
      <c r="H1391" s="3"/>
      <c r="I1391" s="3"/>
      <c r="J1391" s="3" t="s">
        <v>42</v>
      </c>
      <c r="K1391" s="3"/>
      <c r="L1391" s="3" t="s">
        <v>3805</v>
      </c>
    </row>
    <row r="1392" customFormat="false" ht="11.9" hidden="false" customHeight="true" outlineLevel="0" collapsed="false">
      <c r="A1392" s="3" t="str">
        <f aca="false">HYPERLINK("https://www.fabsurplus.com/sdi_catalog/salesItemDetails.do?id=110007")</f>
        <v>https://www.fabsurplus.com/sdi_catalog/salesItemDetails.do?id=110007</v>
      </c>
      <c r="B1392" s="3" t="s">
        <v>3806</v>
      </c>
      <c r="C1392" s="3" t="s">
        <v>3744</v>
      </c>
      <c r="D1392" s="3" t="s">
        <v>3807</v>
      </c>
      <c r="E1392" s="3" t="s">
        <v>47</v>
      </c>
      <c r="F1392" s="3" t="s">
        <v>16</v>
      </c>
      <c r="G1392" s="3" t="s">
        <v>41</v>
      </c>
      <c r="H1392" s="3"/>
      <c r="I1392" s="3"/>
      <c r="J1392" s="3" t="s">
        <v>42</v>
      </c>
      <c r="K1392" s="3"/>
      <c r="L1392" s="3" t="s">
        <v>3808</v>
      </c>
    </row>
    <row r="1393" customFormat="false" ht="11.9" hidden="false" customHeight="true" outlineLevel="0" collapsed="false">
      <c r="A1393" s="2" t="str">
        <f aca="false">HYPERLINK("https://www.fabsurplus.com/sdi_catalog/salesItemDetails.do?id=110006")</f>
        <v>https://www.fabsurplus.com/sdi_catalog/salesItemDetails.do?id=110006</v>
      </c>
      <c r="B1393" s="2" t="s">
        <v>3809</v>
      </c>
      <c r="C1393" s="2" t="s">
        <v>3744</v>
      </c>
      <c r="D1393" s="2" t="s">
        <v>3807</v>
      </c>
      <c r="E1393" s="2" t="s">
        <v>47</v>
      </c>
      <c r="F1393" s="2" t="s">
        <v>16</v>
      </c>
      <c r="G1393" s="2" t="s">
        <v>41</v>
      </c>
      <c r="H1393" s="2" t="s">
        <v>138</v>
      </c>
      <c r="I1393" s="2"/>
      <c r="J1393" s="2" t="s">
        <v>139</v>
      </c>
      <c r="K1393" s="2" t="s">
        <v>20</v>
      </c>
      <c r="L1393" s="2" t="s">
        <v>3810</v>
      </c>
    </row>
    <row r="1394" customFormat="false" ht="11.9" hidden="false" customHeight="true" outlineLevel="0" collapsed="false">
      <c r="A1394" s="2" t="str">
        <f aca="false">HYPERLINK("https://www.fabsurplus.com/sdi_catalog/salesItemDetails.do?id=110008")</f>
        <v>https://www.fabsurplus.com/sdi_catalog/salesItemDetails.do?id=110008</v>
      </c>
      <c r="B1394" s="2" t="s">
        <v>3811</v>
      </c>
      <c r="C1394" s="2" t="s">
        <v>3744</v>
      </c>
      <c r="D1394" s="2" t="s">
        <v>414</v>
      </c>
      <c r="E1394" s="2" t="s">
        <v>40</v>
      </c>
      <c r="F1394" s="2" t="s">
        <v>16</v>
      </c>
      <c r="G1394" s="2" t="s">
        <v>41</v>
      </c>
      <c r="H1394" s="2"/>
      <c r="I1394" s="2"/>
      <c r="J1394" s="2" t="s">
        <v>42</v>
      </c>
      <c r="K1394" s="2"/>
      <c r="L1394" s="2" t="s">
        <v>3812</v>
      </c>
    </row>
    <row r="1395" customFormat="false" ht="11.9" hidden="false" customHeight="true" outlineLevel="0" collapsed="false">
      <c r="A1395" s="3" t="str">
        <f aca="false">HYPERLINK("https://www.fabsurplus.com/sdi_catalog/salesItemDetails.do?id=110009")</f>
        <v>https://www.fabsurplus.com/sdi_catalog/salesItemDetails.do?id=110009</v>
      </c>
      <c r="B1395" s="3" t="s">
        <v>3813</v>
      </c>
      <c r="C1395" s="3" t="s">
        <v>3744</v>
      </c>
      <c r="D1395" s="3" t="s">
        <v>3814</v>
      </c>
      <c r="E1395" s="3" t="s">
        <v>133</v>
      </c>
      <c r="F1395" s="3" t="s">
        <v>16</v>
      </c>
      <c r="G1395" s="3" t="s">
        <v>41</v>
      </c>
      <c r="H1395" s="3"/>
      <c r="I1395" s="3"/>
      <c r="J1395" s="3" t="s">
        <v>42</v>
      </c>
      <c r="K1395" s="3"/>
      <c r="L1395" s="3" t="s">
        <v>3815</v>
      </c>
    </row>
    <row r="1396" customFormat="false" ht="11.9" hidden="false" customHeight="true" outlineLevel="0" collapsed="false">
      <c r="A1396" s="2" t="str">
        <f aca="false">HYPERLINK("https://www.fabsurplus.com/sdi_catalog/salesItemDetails.do?id=110010")</f>
        <v>https://www.fabsurplus.com/sdi_catalog/salesItemDetails.do?id=110010</v>
      </c>
      <c r="B1396" s="2" t="s">
        <v>3816</v>
      </c>
      <c r="C1396" s="2" t="s">
        <v>3744</v>
      </c>
      <c r="D1396" s="2" t="s">
        <v>3817</v>
      </c>
      <c r="E1396" s="2" t="s">
        <v>40</v>
      </c>
      <c r="F1396" s="2" t="s">
        <v>16</v>
      </c>
      <c r="G1396" s="2" t="s">
        <v>41</v>
      </c>
      <c r="H1396" s="2"/>
      <c r="I1396" s="2"/>
      <c r="J1396" s="2" t="s">
        <v>42</v>
      </c>
      <c r="K1396" s="2"/>
      <c r="L1396" s="2" t="s">
        <v>349</v>
      </c>
    </row>
    <row r="1397" customFormat="false" ht="11.9" hidden="false" customHeight="true" outlineLevel="0" collapsed="false">
      <c r="A1397" s="2" t="str">
        <f aca="false">HYPERLINK("https://www.fabsurplus.com/sdi_catalog/salesItemDetails.do?id=110012")</f>
        <v>https://www.fabsurplus.com/sdi_catalog/salesItemDetails.do?id=110012</v>
      </c>
      <c r="B1397" s="2" t="s">
        <v>3818</v>
      </c>
      <c r="C1397" s="2" t="s">
        <v>3744</v>
      </c>
      <c r="D1397" s="2" t="s">
        <v>3819</v>
      </c>
      <c r="E1397" s="2" t="s">
        <v>40</v>
      </c>
      <c r="F1397" s="2" t="s">
        <v>16</v>
      </c>
      <c r="G1397" s="2" t="s">
        <v>41</v>
      </c>
      <c r="H1397" s="2"/>
      <c r="I1397" s="2"/>
      <c r="J1397" s="2" t="s">
        <v>42</v>
      </c>
      <c r="K1397" s="2"/>
      <c r="L1397" s="2" t="s">
        <v>349</v>
      </c>
    </row>
    <row r="1398" customFormat="false" ht="11.9" hidden="false" customHeight="true" outlineLevel="0" collapsed="false">
      <c r="A1398" s="3" t="str">
        <f aca="false">HYPERLINK("https://www.fabsurplus.com/sdi_catalog/salesItemDetails.do?id=110011")</f>
        <v>https://www.fabsurplus.com/sdi_catalog/salesItemDetails.do?id=110011</v>
      </c>
      <c r="B1398" s="3" t="s">
        <v>3820</v>
      </c>
      <c r="C1398" s="3" t="s">
        <v>3744</v>
      </c>
      <c r="D1398" s="3" t="s">
        <v>3819</v>
      </c>
      <c r="E1398" s="3" t="s">
        <v>40</v>
      </c>
      <c r="F1398" s="3" t="s">
        <v>16</v>
      </c>
      <c r="G1398" s="3" t="s">
        <v>41</v>
      </c>
      <c r="H1398" s="3"/>
      <c r="I1398" s="3"/>
      <c r="J1398" s="3" t="s">
        <v>42</v>
      </c>
      <c r="K1398" s="3"/>
      <c r="L1398" s="3" t="s">
        <v>349</v>
      </c>
    </row>
    <row r="1399" customFormat="false" ht="11.9" hidden="false" customHeight="true" outlineLevel="0" collapsed="false">
      <c r="A1399" s="2" t="str">
        <f aca="false">HYPERLINK("https://www.fabsurplus.com/sdi_catalog/salesItemDetails.do?id=110016")</f>
        <v>https://www.fabsurplus.com/sdi_catalog/salesItemDetails.do?id=110016</v>
      </c>
      <c r="B1399" s="2" t="s">
        <v>3821</v>
      </c>
      <c r="C1399" s="2" t="s">
        <v>3744</v>
      </c>
      <c r="D1399" s="2" t="s">
        <v>3822</v>
      </c>
      <c r="E1399" s="2" t="s">
        <v>40</v>
      </c>
      <c r="F1399" s="2" t="s">
        <v>16</v>
      </c>
      <c r="G1399" s="2" t="s">
        <v>41</v>
      </c>
      <c r="H1399" s="2"/>
      <c r="I1399" s="2"/>
      <c r="J1399" s="2" t="s">
        <v>42</v>
      </c>
      <c r="K1399" s="2"/>
      <c r="L1399" s="2" t="s">
        <v>3823</v>
      </c>
    </row>
    <row r="1400" customFormat="false" ht="11.9" hidden="false" customHeight="true" outlineLevel="0" collapsed="false">
      <c r="A1400" s="3" t="str">
        <f aca="false">HYPERLINK("https://www.fabsurplus.com/sdi_catalog/salesItemDetails.do?id=110015")</f>
        <v>https://www.fabsurplus.com/sdi_catalog/salesItemDetails.do?id=110015</v>
      </c>
      <c r="B1400" s="3" t="s">
        <v>3824</v>
      </c>
      <c r="C1400" s="3" t="s">
        <v>3744</v>
      </c>
      <c r="D1400" s="3" t="s">
        <v>3822</v>
      </c>
      <c r="E1400" s="3" t="s">
        <v>40</v>
      </c>
      <c r="F1400" s="3" t="s">
        <v>16</v>
      </c>
      <c r="G1400" s="3" t="s">
        <v>41</v>
      </c>
      <c r="H1400" s="3"/>
      <c r="I1400" s="3"/>
      <c r="J1400" s="3" t="s">
        <v>42</v>
      </c>
      <c r="K1400" s="3"/>
      <c r="L1400" s="3" t="s">
        <v>3823</v>
      </c>
    </row>
    <row r="1401" customFormat="false" ht="11.9" hidden="false" customHeight="true" outlineLevel="0" collapsed="false">
      <c r="A1401" s="2" t="str">
        <f aca="false">HYPERLINK("https://www.fabsurplus.com/sdi_catalog/salesItemDetails.do?id=110014")</f>
        <v>https://www.fabsurplus.com/sdi_catalog/salesItemDetails.do?id=110014</v>
      </c>
      <c r="B1401" s="2" t="s">
        <v>3825</v>
      </c>
      <c r="C1401" s="2" t="s">
        <v>3744</v>
      </c>
      <c r="D1401" s="2" t="s">
        <v>3822</v>
      </c>
      <c r="E1401" s="2" t="s">
        <v>40</v>
      </c>
      <c r="F1401" s="2" t="s">
        <v>16</v>
      </c>
      <c r="G1401" s="2" t="s">
        <v>41</v>
      </c>
      <c r="H1401" s="2"/>
      <c r="I1401" s="2"/>
      <c r="J1401" s="2" t="s">
        <v>42</v>
      </c>
      <c r="K1401" s="2"/>
      <c r="L1401" s="2" t="s">
        <v>3823</v>
      </c>
    </row>
    <row r="1402" customFormat="false" ht="11.9" hidden="false" customHeight="true" outlineLevel="0" collapsed="false">
      <c r="A1402" s="3" t="str">
        <f aca="false">HYPERLINK("https://www.fabsurplus.com/sdi_catalog/salesItemDetails.do?id=110013")</f>
        <v>https://www.fabsurplus.com/sdi_catalog/salesItemDetails.do?id=110013</v>
      </c>
      <c r="B1402" s="3" t="s">
        <v>3826</v>
      </c>
      <c r="C1402" s="3" t="s">
        <v>3744</v>
      </c>
      <c r="D1402" s="3" t="s">
        <v>3822</v>
      </c>
      <c r="E1402" s="3" t="s">
        <v>40</v>
      </c>
      <c r="F1402" s="3" t="s">
        <v>16</v>
      </c>
      <c r="G1402" s="3" t="s">
        <v>41</v>
      </c>
      <c r="H1402" s="3"/>
      <c r="I1402" s="3"/>
      <c r="J1402" s="3" t="s">
        <v>42</v>
      </c>
      <c r="K1402" s="3"/>
      <c r="L1402" s="3" t="s">
        <v>3827</v>
      </c>
    </row>
    <row r="1403" customFormat="false" ht="11.9" hidden="false" customHeight="true" outlineLevel="0" collapsed="false">
      <c r="A1403" s="2" t="str">
        <f aca="false">HYPERLINK("https://www.fabsurplus.com/sdi_catalog/salesItemDetails.do?id=110020")</f>
        <v>https://www.fabsurplus.com/sdi_catalog/salesItemDetails.do?id=110020</v>
      </c>
      <c r="B1403" s="2" t="s">
        <v>3828</v>
      </c>
      <c r="C1403" s="2" t="s">
        <v>3744</v>
      </c>
      <c r="D1403" s="2" t="s">
        <v>3829</v>
      </c>
      <c r="E1403" s="2" t="s">
        <v>133</v>
      </c>
      <c r="F1403" s="2" t="s">
        <v>16</v>
      </c>
      <c r="G1403" s="2" t="s">
        <v>41</v>
      </c>
      <c r="H1403" s="2"/>
      <c r="I1403" s="2"/>
      <c r="J1403" s="2" t="s">
        <v>42</v>
      </c>
      <c r="K1403" s="2"/>
      <c r="L1403" s="2" t="s">
        <v>3830</v>
      </c>
    </row>
    <row r="1404" customFormat="false" ht="11.9" hidden="false" customHeight="true" outlineLevel="0" collapsed="false">
      <c r="A1404" s="3" t="str">
        <f aca="false">HYPERLINK("https://www.fabsurplus.com/sdi_catalog/salesItemDetails.do?id=110019")</f>
        <v>https://www.fabsurplus.com/sdi_catalog/salesItemDetails.do?id=110019</v>
      </c>
      <c r="B1404" s="3" t="s">
        <v>3831</v>
      </c>
      <c r="C1404" s="3" t="s">
        <v>3744</v>
      </c>
      <c r="D1404" s="3" t="s">
        <v>3829</v>
      </c>
      <c r="E1404" s="3" t="s">
        <v>133</v>
      </c>
      <c r="F1404" s="3" t="s">
        <v>16</v>
      </c>
      <c r="G1404" s="3" t="s">
        <v>41</v>
      </c>
      <c r="H1404" s="3"/>
      <c r="I1404" s="3"/>
      <c r="J1404" s="3" t="s">
        <v>42</v>
      </c>
      <c r="K1404" s="3"/>
      <c r="L1404" s="3" t="s">
        <v>3832</v>
      </c>
    </row>
    <row r="1405" customFormat="false" ht="11.9" hidden="false" customHeight="true" outlineLevel="0" collapsed="false">
      <c r="A1405" s="2" t="str">
        <f aca="false">HYPERLINK("https://www.fabsurplus.com/sdi_catalog/salesItemDetails.do?id=110018")</f>
        <v>https://www.fabsurplus.com/sdi_catalog/salesItemDetails.do?id=110018</v>
      </c>
      <c r="B1405" s="2" t="s">
        <v>3833</v>
      </c>
      <c r="C1405" s="2" t="s">
        <v>3744</v>
      </c>
      <c r="D1405" s="2" t="s">
        <v>3829</v>
      </c>
      <c r="E1405" s="2" t="s">
        <v>133</v>
      </c>
      <c r="F1405" s="2" t="s">
        <v>16</v>
      </c>
      <c r="G1405" s="2" t="s">
        <v>41</v>
      </c>
      <c r="H1405" s="2"/>
      <c r="I1405" s="2"/>
      <c r="J1405" s="2" t="s">
        <v>42</v>
      </c>
      <c r="K1405" s="2"/>
      <c r="L1405" s="2" t="s">
        <v>3832</v>
      </c>
    </row>
    <row r="1406" customFormat="false" ht="11.9" hidden="false" customHeight="true" outlineLevel="0" collapsed="false">
      <c r="A1406" s="3" t="str">
        <f aca="false">HYPERLINK("https://www.fabsurplus.com/sdi_catalog/salesItemDetails.do?id=110017")</f>
        <v>https://www.fabsurplus.com/sdi_catalog/salesItemDetails.do?id=110017</v>
      </c>
      <c r="B1406" s="3" t="s">
        <v>3834</v>
      </c>
      <c r="C1406" s="3" t="s">
        <v>3744</v>
      </c>
      <c r="D1406" s="3" t="s">
        <v>3829</v>
      </c>
      <c r="E1406" s="3" t="s">
        <v>133</v>
      </c>
      <c r="F1406" s="3" t="s">
        <v>16</v>
      </c>
      <c r="G1406" s="3" t="s">
        <v>41</v>
      </c>
      <c r="H1406" s="3"/>
      <c r="I1406" s="3"/>
      <c r="J1406" s="3" t="s">
        <v>42</v>
      </c>
      <c r="K1406" s="3"/>
      <c r="L1406" s="3" t="s">
        <v>3832</v>
      </c>
    </row>
    <row r="1407" customFormat="false" ht="11.9" hidden="false" customHeight="true" outlineLevel="0" collapsed="false">
      <c r="A1407" s="2" t="str">
        <f aca="false">HYPERLINK("https://www.fabsurplus.com/sdi_catalog/salesItemDetails.do?id=110022")</f>
        <v>https://www.fabsurplus.com/sdi_catalog/salesItemDetails.do?id=110022</v>
      </c>
      <c r="B1407" s="2" t="s">
        <v>3835</v>
      </c>
      <c r="C1407" s="2" t="s">
        <v>3744</v>
      </c>
      <c r="D1407" s="2" t="s">
        <v>3836</v>
      </c>
      <c r="E1407" s="2" t="s">
        <v>47</v>
      </c>
      <c r="F1407" s="2" t="s">
        <v>16</v>
      </c>
      <c r="G1407" s="2" t="s">
        <v>41</v>
      </c>
      <c r="H1407" s="2"/>
      <c r="I1407" s="2"/>
      <c r="J1407" s="2" t="s">
        <v>42</v>
      </c>
      <c r="K1407" s="2"/>
      <c r="L1407" s="2" t="s">
        <v>3837</v>
      </c>
    </row>
    <row r="1408" customFormat="false" ht="11.9" hidden="false" customHeight="true" outlineLevel="0" collapsed="false">
      <c r="A1408" s="3" t="str">
        <f aca="false">HYPERLINK("https://www.fabsurplus.com/sdi_catalog/salesItemDetails.do?id=110021")</f>
        <v>https://www.fabsurplus.com/sdi_catalog/salesItemDetails.do?id=110021</v>
      </c>
      <c r="B1408" s="3" t="s">
        <v>3838</v>
      </c>
      <c r="C1408" s="3" t="s">
        <v>3744</v>
      </c>
      <c r="D1408" s="3" t="s">
        <v>3836</v>
      </c>
      <c r="E1408" s="3" t="s">
        <v>47</v>
      </c>
      <c r="F1408" s="3" t="s">
        <v>16</v>
      </c>
      <c r="G1408" s="3" t="s">
        <v>41</v>
      </c>
      <c r="H1408" s="3"/>
      <c r="I1408" s="3"/>
      <c r="J1408" s="3" t="s">
        <v>42</v>
      </c>
      <c r="K1408" s="3"/>
      <c r="L1408" s="3" t="s">
        <v>3839</v>
      </c>
    </row>
    <row r="1409" customFormat="false" ht="11.9" hidden="false" customHeight="true" outlineLevel="0" collapsed="false">
      <c r="A1409" s="3" t="str">
        <f aca="false">HYPERLINK("https://www.fabsurplus.com/sdi_catalog/salesItemDetails.do?id=110023")</f>
        <v>https://www.fabsurplus.com/sdi_catalog/salesItemDetails.do?id=110023</v>
      </c>
      <c r="B1409" s="3" t="s">
        <v>3840</v>
      </c>
      <c r="C1409" s="3" t="s">
        <v>3744</v>
      </c>
      <c r="D1409" s="3" t="s">
        <v>3841</v>
      </c>
      <c r="E1409" s="3" t="s">
        <v>47</v>
      </c>
      <c r="F1409" s="3" t="s">
        <v>16</v>
      </c>
      <c r="G1409" s="3" t="s">
        <v>41</v>
      </c>
      <c r="H1409" s="3"/>
      <c r="I1409" s="3"/>
      <c r="J1409" s="3" t="s">
        <v>42</v>
      </c>
      <c r="K1409" s="3"/>
      <c r="L1409" s="3" t="s">
        <v>3842</v>
      </c>
    </row>
    <row r="1410" customFormat="false" ht="11.9" hidden="false" customHeight="true" outlineLevel="0" collapsed="false">
      <c r="A1410" s="2" t="str">
        <f aca="false">HYPERLINK("https://www.fabsurplus.com/sdi_catalog/salesItemDetails.do?id=110026")</f>
        <v>https://www.fabsurplus.com/sdi_catalog/salesItemDetails.do?id=110026</v>
      </c>
      <c r="B1410" s="2" t="s">
        <v>3843</v>
      </c>
      <c r="C1410" s="2" t="s">
        <v>3744</v>
      </c>
      <c r="D1410" s="2" t="s">
        <v>3844</v>
      </c>
      <c r="E1410" s="2" t="s">
        <v>47</v>
      </c>
      <c r="F1410" s="2" t="s">
        <v>16</v>
      </c>
      <c r="G1410" s="2" t="s">
        <v>41</v>
      </c>
      <c r="H1410" s="2"/>
      <c r="I1410" s="2"/>
      <c r="J1410" s="2" t="s">
        <v>42</v>
      </c>
      <c r="K1410" s="2"/>
      <c r="L1410" s="2" t="s">
        <v>3845</v>
      </c>
    </row>
    <row r="1411" customFormat="false" ht="11.9" hidden="false" customHeight="true" outlineLevel="0" collapsed="false">
      <c r="A1411" s="3" t="str">
        <f aca="false">HYPERLINK("https://www.fabsurplus.com/sdi_catalog/salesItemDetails.do?id=110025")</f>
        <v>https://www.fabsurplus.com/sdi_catalog/salesItemDetails.do?id=110025</v>
      </c>
      <c r="B1411" s="3" t="s">
        <v>3846</v>
      </c>
      <c r="C1411" s="3" t="s">
        <v>3744</v>
      </c>
      <c r="D1411" s="3" t="s">
        <v>3844</v>
      </c>
      <c r="E1411" s="3" t="s">
        <v>47</v>
      </c>
      <c r="F1411" s="3" t="s">
        <v>16</v>
      </c>
      <c r="G1411" s="3" t="s">
        <v>41</v>
      </c>
      <c r="H1411" s="3"/>
      <c r="I1411" s="3"/>
      <c r="J1411" s="3" t="s">
        <v>42</v>
      </c>
      <c r="K1411" s="3"/>
      <c r="L1411" s="3" t="s">
        <v>3847</v>
      </c>
    </row>
    <row r="1412" customFormat="false" ht="11.9" hidden="false" customHeight="true" outlineLevel="0" collapsed="false">
      <c r="A1412" s="2" t="str">
        <f aca="false">HYPERLINK("https://www.fabsurplus.com/sdi_catalog/salesItemDetails.do?id=110024")</f>
        <v>https://www.fabsurplus.com/sdi_catalog/salesItemDetails.do?id=110024</v>
      </c>
      <c r="B1412" s="2" t="s">
        <v>3848</v>
      </c>
      <c r="C1412" s="2" t="s">
        <v>3744</v>
      </c>
      <c r="D1412" s="2" t="s">
        <v>3844</v>
      </c>
      <c r="E1412" s="2" t="s">
        <v>47</v>
      </c>
      <c r="F1412" s="2" t="s">
        <v>16</v>
      </c>
      <c r="G1412" s="2" t="s">
        <v>41</v>
      </c>
      <c r="H1412" s="2"/>
      <c r="I1412" s="2"/>
      <c r="J1412" s="2" t="s">
        <v>42</v>
      </c>
      <c r="K1412" s="2"/>
      <c r="L1412" s="2" t="s">
        <v>3849</v>
      </c>
    </row>
    <row r="1413" customFormat="false" ht="11.9" hidden="false" customHeight="true" outlineLevel="0" collapsed="false">
      <c r="A1413" s="3" t="str">
        <f aca="false">HYPERLINK("https://www.fabsurplus.com/sdi_catalog/salesItemDetails.do?id=110033")</f>
        <v>https://www.fabsurplus.com/sdi_catalog/salesItemDetails.do?id=110033</v>
      </c>
      <c r="B1413" s="3" t="s">
        <v>3850</v>
      </c>
      <c r="C1413" s="3" t="s">
        <v>3744</v>
      </c>
      <c r="D1413" s="3" t="s">
        <v>3851</v>
      </c>
      <c r="E1413" s="3" t="s">
        <v>47</v>
      </c>
      <c r="F1413" s="3" t="s">
        <v>16</v>
      </c>
      <c r="G1413" s="3" t="s">
        <v>41</v>
      </c>
      <c r="H1413" s="3"/>
      <c r="I1413" s="3"/>
      <c r="J1413" s="3" t="s">
        <v>42</v>
      </c>
      <c r="K1413" s="3"/>
      <c r="L1413" s="3" t="s">
        <v>3852</v>
      </c>
    </row>
    <row r="1414" customFormat="false" ht="11.9" hidden="false" customHeight="true" outlineLevel="0" collapsed="false">
      <c r="A1414" s="2" t="str">
        <f aca="false">HYPERLINK("https://www.fabsurplus.com/sdi_catalog/salesItemDetails.do?id=110032")</f>
        <v>https://www.fabsurplus.com/sdi_catalog/salesItemDetails.do?id=110032</v>
      </c>
      <c r="B1414" s="2" t="s">
        <v>3853</v>
      </c>
      <c r="C1414" s="2" t="s">
        <v>3744</v>
      </c>
      <c r="D1414" s="2" t="s">
        <v>3851</v>
      </c>
      <c r="E1414" s="2" t="s">
        <v>47</v>
      </c>
      <c r="F1414" s="2" t="s">
        <v>16</v>
      </c>
      <c r="G1414" s="2" t="s">
        <v>41</v>
      </c>
      <c r="H1414" s="2"/>
      <c r="I1414" s="2"/>
      <c r="J1414" s="2" t="s">
        <v>42</v>
      </c>
      <c r="K1414" s="2"/>
      <c r="L1414" s="2" t="s">
        <v>3854</v>
      </c>
    </row>
    <row r="1415" customFormat="false" ht="11.9" hidden="false" customHeight="true" outlineLevel="0" collapsed="false">
      <c r="A1415" s="3" t="str">
        <f aca="false">HYPERLINK("https://www.fabsurplus.com/sdi_catalog/salesItemDetails.do?id=110031")</f>
        <v>https://www.fabsurplus.com/sdi_catalog/salesItemDetails.do?id=110031</v>
      </c>
      <c r="B1415" s="3" t="s">
        <v>3855</v>
      </c>
      <c r="C1415" s="3" t="s">
        <v>3744</v>
      </c>
      <c r="D1415" s="3" t="s">
        <v>3851</v>
      </c>
      <c r="E1415" s="3" t="s">
        <v>47</v>
      </c>
      <c r="F1415" s="3" t="s">
        <v>16</v>
      </c>
      <c r="G1415" s="3" t="s">
        <v>41</v>
      </c>
      <c r="H1415" s="3"/>
      <c r="I1415" s="3"/>
      <c r="J1415" s="3" t="s">
        <v>42</v>
      </c>
      <c r="K1415" s="3"/>
      <c r="L1415" s="3" t="s">
        <v>3856</v>
      </c>
    </row>
    <row r="1416" customFormat="false" ht="11.9" hidden="false" customHeight="true" outlineLevel="0" collapsed="false">
      <c r="A1416" s="2" t="str">
        <f aca="false">HYPERLINK("https://www.fabsurplus.com/sdi_catalog/salesItemDetails.do?id=110034")</f>
        <v>https://www.fabsurplus.com/sdi_catalog/salesItemDetails.do?id=110034</v>
      </c>
      <c r="B1416" s="2" t="s">
        <v>3857</v>
      </c>
      <c r="C1416" s="2" t="s">
        <v>3744</v>
      </c>
      <c r="D1416" s="2" t="s">
        <v>3858</v>
      </c>
      <c r="E1416" s="2" t="s">
        <v>47</v>
      </c>
      <c r="F1416" s="2" t="s">
        <v>16</v>
      </c>
      <c r="G1416" s="2" t="s">
        <v>41</v>
      </c>
      <c r="H1416" s="2"/>
      <c r="I1416" s="2"/>
      <c r="J1416" s="2" t="s">
        <v>42</v>
      </c>
      <c r="K1416" s="2"/>
      <c r="L1416" s="2" t="s">
        <v>3859</v>
      </c>
    </row>
    <row r="1417" customFormat="false" ht="11.9" hidden="false" customHeight="true" outlineLevel="0" collapsed="false">
      <c r="A1417" s="2" t="str">
        <f aca="false">HYPERLINK("https://www.fabsurplus.com/sdi_catalog/salesItemDetails.do?id=110030")</f>
        <v>https://www.fabsurplus.com/sdi_catalog/salesItemDetails.do?id=110030</v>
      </c>
      <c r="B1417" s="2" t="s">
        <v>3860</v>
      </c>
      <c r="C1417" s="2" t="s">
        <v>3744</v>
      </c>
      <c r="D1417" s="2" t="s">
        <v>3861</v>
      </c>
      <c r="E1417" s="2" t="s">
        <v>47</v>
      </c>
      <c r="F1417" s="2" t="s">
        <v>16</v>
      </c>
      <c r="G1417" s="2" t="s">
        <v>41</v>
      </c>
      <c r="H1417" s="2"/>
      <c r="I1417" s="2"/>
      <c r="J1417" s="2" t="s">
        <v>42</v>
      </c>
      <c r="K1417" s="2"/>
      <c r="L1417" s="2" t="s">
        <v>3862</v>
      </c>
    </row>
    <row r="1418" customFormat="false" ht="11.9" hidden="false" customHeight="true" outlineLevel="0" collapsed="false">
      <c r="A1418" s="3" t="str">
        <f aca="false">HYPERLINK("https://www.fabsurplus.com/sdi_catalog/salesItemDetails.do?id=110029")</f>
        <v>https://www.fabsurplus.com/sdi_catalog/salesItemDetails.do?id=110029</v>
      </c>
      <c r="B1418" s="3" t="s">
        <v>3863</v>
      </c>
      <c r="C1418" s="3" t="s">
        <v>3744</v>
      </c>
      <c r="D1418" s="3" t="s">
        <v>3864</v>
      </c>
      <c r="E1418" s="3" t="s">
        <v>47</v>
      </c>
      <c r="F1418" s="3" t="s">
        <v>16</v>
      </c>
      <c r="G1418" s="3" t="s">
        <v>41</v>
      </c>
      <c r="H1418" s="3"/>
      <c r="I1418" s="3"/>
      <c r="J1418" s="3" t="s">
        <v>42</v>
      </c>
      <c r="K1418" s="3"/>
      <c r="L1418" s="3" t="s">
        <v>3865</v>
      </c>
    </row>
    <row r="1419" customFormat="false" ht="11.9" hidden="false" customHeight="true" outlineLevel="0" collapsed="false">
      <c r="A1419" s="2" t="str">
        <f aca="false">HYPERLINK("https://www.fabsurplus.com/sdi_catalog/salesItemDetails.do?id=110036")</f>
        <v>https://www.fabsurplus.com/sdi_catalog/salesItemDetails.do?id=110036</v>
      </c>
      <c r="B1419" s="2" t="s">
        <v>3866</v>
      </c>
      <c r="C1419" s="2" t="s">
        <v>3744</v>
      </c>
      <c r="D1419" s="2" t="s">
        <v>3867</v>
      </c>
      <c r="E1419" s="2" t="s">
        <v>802</v>
      </c>
      <c r="F1419" s="2" t="s">
        <v>16</v>
      </c>
      <c r="G1419" s="2" t="s">
        <v>41</v>
      </c>
      <c r="H1419" s="2"/>
      <c r="I1419" s="2"/>
      <c r="J1419" s="2" t="s">
        <v>42</v>
      </c>
      <c r="K1419" s="2"/>
      <c r="L1419" s="2" t="s">
        <v>3868</v>
      </c>
    </row>
    <row r="1420" customFormat="false" ht="11.9" hidden="false" customHeight="true" outlineLevel="0" collapsed="false">
      <c r="A1420" s="3" t="str">
        <f aca="false">HYPERLINK("https://www.fabsurplus.com/sdi_catalog/salesItemDetails.do?id=110035")</f>
        <v>https://www.fabsurplus.com/sdi_catalog/salesItemDetails.do?id=110035</v>
      </c>
      <c r="B1420" s="3" t="s">
        <v>3869</v>
      </c>
      <c r="C1420" s="3" t="s">
        <v>3744</v>
      </c>
      <c r="D1420" s="3" t="s">
        <v>3867</v>
      </c>
      <c r="E1420" s="3" t="s">
        <v>802</v>
      </c>
      <c r="F1420" s="3" t="s">
        <v>16</v>
      </c>
      <c r="G1420" s="3" t="s">
        <v>41</v>
      </c>
      <c r="H1420" s="3"/>
      <c r="I1420" s="3"/>
      <c r="J1420" s="3" t="s">
        <v>42</v>
      </c>
      <c r="K1420" s="3"/>
      <c r="L1420" s="3" t="s">
        <v>3870</v>
      </c>
    </row>
    <row r="1421" customFormat="false" ht="11.9" hidden="false" customHeight="true" outlineLevel="0" collapsed="false">
      <c r="A1421" s="3" t="str">
        <f aca="false">HYPERLINK("https://www.fabsurplus.com/sdi_catalog/salesItemDetails.do?id=110037")</f>
        <v>https://www.fabsurplus.com/sdi_catalog/salesItemDetails.do?id=110037</v>
      </c>
      <c r="B1421" s="3" t="s">
        <v>3871</v>
      </c>
      <c r="C1421" s="3" t="s">
        <v>3744</v>
      </c>
      <c r="D1421" s="3" t="s">
        <v>3872</v>
      </c>
      <c r="E1421" s="3" t="s">
        <v>133</v>
      </c>
      <c r="F1421" s="3" t="s">
        <v>16</v>
      </c>
      <c r="G1421" s="3" t="s">
        <v>41</v>
      </c>
      <c r="H1421" s="3" t="s">
        <v>27</v>
      </c>
      <c r="I1421" s="3"/>
      <c r="J1421" s="3" t="s">
        <v>139</v>
      </c>
      <c r="K1421" s="3" t="s">
        <v>20</v>
      </c>
      <c r="L1421" s="5" t="s">
        <v>3873</v>
      </c>
    </row>
    <row r="1422" customFormat="false" ht="11.9" hidden="false" customHeight="true" outlineLevel="0" collapsed="false">
      <c r="A1422" s="2" t="str">
        <f aca="false">HYPERLINK("https://www.fabsurplus.com/sdi_catalog/salesItemDetails.do?id=110028")</f>
        <v>https://www.fabsurplus.com/sdi_catalog/salesItemDetails.do?id=110028</v>
      </c>
      <c r="B1422" s="2" t="s">
        <v>3874</v>
      </c>
      <c r="C1422" s="2" t="s">
        <v>3875</v>
      </c>
      <c r="D1422" s="2" t="s">
        <v>3876</v>
      </c>
      <c r="E1422" s="2" t="s">
        <v>47</v>
      </c>
      <c r="F1422" s="2" t="s">
        <v>16</v>
      </c>
      <c r="G1422" s="2" t="s">
        <v>41</v>
      </c>
      <c r="H1422" s="2"/>
      <c r="I1422" s="2"/>
      <c r="J1422" s="2" t="s">
        <v>42</v>
      </c>
      <c r="K1422" s="2"/>
      <c r="L1422" s="2" t="s">
        <v>3877</v>
      </c>
    </row>
    <row r="1423" customFormat="false" ht="11.9" hidden="false" customHeight="true" outlineLevel="0" collapsed="false">
      <c r="A1423" s="3" t="str">
        <f aca="false">HYPERLINK("https://www.fabsurplus.com/sdi_catalog/salesItemDetails.do?id=110027")</f>
        <v>https://www.fabsurplus.com/sdi_catalog/salesItemDetails.do?id=110027</v>
      </c>
      <c r="B1423" s="3" t="s">
        <v>3878</v>
      </c>
      <c r="C1423" s="3" t="s">
        <v>3875</v>
      </c>
      <c r="D1423" s="3" t="s">
        <v>3876</v>
      </c>
      <c r="E1423" s="3" t="s">
        <v>47</v>
      </c>
      <c r="F1423" s="3" t="s">
        <v>16</v>
      </c>
      <c r="G1423" s="3" t="s">
        <v>41</v>
      </c>
      <c r="H1423" s="3"/>
      <c r="I1423" s="3"/>
      <c r="J1423" s="3" t="s">
        <v>42</v>
      </c>
      <c r="K1423" s="3"/>
      <c r="L1423" s="3" t="s">
        <v>3879</v>
      </c>
    </row>
    <row r="1424" customFormat="false" ht="11.9" hidden="false" customHeight="true" outlineLevel="0" collapsed="false">
      <c r="A1424" s="3" t="str">
        <f aca="false">HYPERLINK("https://www.fabsurplus.com/sdi_catalog/salesItemDetails.do?id=53025")</f>
        <v>https://www.fabsurplus.com/sdi_catalog/salesItemDetails.do?id=53025</v>
      </c>
      <c r="B1424" s="3" t="s">
        <v>3880</v>
      </c>
      <c r="C1424" s="3" t="s">
        <v>3881</v>
      </c>
      <c r="D1424" s="3" t="s">
        <v>3882</v>
      </c>
      <c r="E1424" s="3" t="s">
        <v>3883</v>
      </c>
      <c r="F1424" s="3" t="s">
        <v>16</v>
      </c>
      <c r="G1424" s="3" t="s">
        <v>17</v>
      </c>
      <c r="H1424" s="3" t="s">
        <v>27</v>
      </c>
      <c r="I1424" s="3"/>
      <c r="J1424" s="3" t="s">
        <v>19</v>
      </c>
      <c r="K1424" s="3" t="s">
        <v>20</v>
      </c>
      <c r="L1424" s="5" t="s">
        <v>3884</v>
      </c>
    </row>
    <row r="1425" customFormat="false" ht="11.9" hidden="false" customHeight="true" outlineLevel="0" collapsed="false">
      <c r="A1425" s="2" t="str">
        <f aca="false">HYPERLINK("https://www.fabsurplus.com/sdi_catalog/salesItemDetails.do?id=82179")</f>
        <v>https://www.fabsurplus.com/sdi_catalog/salesItemDetails.do?id=82179</v>
      </c>
      <c r="B1425" s="2" t="s">
        <v>3885</v>
      </c>
      <c r="C1425" s="2" t="s">
        <v>3886</v>
      </c>
      <c r="D1425" s="2" t="s">
        <v>3887</v>
      </c>
      <c r="E1425" s="2" t="s">
        <v>3888</v>
      </c>
      <c r="F1425" s="2" t="s">
        <v>16</v>
      </c>
      <c r="G1425" s="2"/>
      <c r="H1425" s="2" t="s">
        <v>944</v>
      </c>
      <c r="I1425" s="2"/>
      <c r="J1425" s="2" t="s">
        <v>19</v>
      </c>
      <c r="K1425" s="2" t="s">
        <v>20</v>
      </c>
      <c r="L1425" s="6" t="s">
        <v>3889</v>
      </c>
    </row>
    <row r="1426" customFormat="false" ht="11.9" hidden="false" customHeight="true" outlineLevel="0" collapsed="false">
      <c r="A1426" s="2" t="str">
        <f aca="false">HYPERLINK("https://www.fabsurplus.com/sdi_catalog/salesItemDetails.do?id=84021")</f>
        <v>https://www.fabsurplus.com/sdi_catalog/salesItemDetails.do?id=84021</v>
      </c>
      <c r="B1426" s="2" t="s">
        <v>3890</v>
      </c>
      <c r="C1426" s="2" t="s">
        <v>3891</v>
      </c>
      <c r="D1426" s="2" t="s">
        <v>3892</v>
      </c>
      <c r="E1426" s="2" t="s">
        <v>3893</v>
      </c>
      <c r="F1426" s="2" t="s">
        <v>16</v>
      </c>
      <c r="G1426" s="2" t="s">
        <v>26</v>
      </c>
      <c r="H1426" s="2" t="s">
        <v>18</v>
      </c>
      <c r="I1426" s="2"/>
      <c r="J1426" s="2" t="s">
        <v>19</v>
      </c>
      <c r="K1426" s="2" t="s">
        <v>20</v>
      </c>
      <c r="L1426" s="6" t="s">
        <v>3894</v>
      </c>
    </row>
    <row r="1427" customFormat="false" ht="11.9" hidden="false" customHeight="true" outlineLevel="0" collapsed="false">
      <c r="A1427" s="3" t="str">
        <f aca="false">HYPERLINK("https://www.fabsurplus.com/sdi_catalog/salesItemDetails.do?id=21665")</f>
        <v>https://www.fabsurplus.com/sdi_catalog/salesItemDetails.do?id=21665</v>
      </c>
      <c r="B1427" s="3" t="s">
        <v>3895</v>
      </c>
      <c r="C1427" s="3" t="s">
        <v>3896</v>
      </c>
      <c r="D1427" s="3" t="s">
        <v>3897</v>
      </c>
      <c r="E1427" s="3" t="s">
        <v>3898</v>
      </c>
      <c r="F1427" s="3" t="s">
        <v>16</v>
      </c>
      <c r="G1427" s="3" t="s">
        <v>41</v>
      </c>
      <c r="H1427" s="3" t="s">
        <v>35</v>
      </c>
      <c r="I1427" s="4" t="n">
        <v>35095.9583333333</v>
      </c>
      <c r="J1427" s="3" t="s">
        <v>19</v>
      </c>
      <c r="K1427" s="3" t="s">
        <v>20</v>
      </c>
      <c r="L1427" s="3" t="s">
        <v>3899</v>
      </c>
    </row>
    <row r="1428" customFormat="false" ht="11.9" hidden="false" customHeight="true" outlineLevel="0" collapsed="false">
      <c r="A1428" s="3" t="str">
        <f aca="false">HYPERLINK("https://www.fabsurplus.com/sdi_catalog/salesItemDetails.do?id=13143")</f>
        <v>https://www.fabsurplus.com/sdi_catalog/salesItemDetails.do?id=13143</v>
      </c>
      <c r="B1428" s="3" t="s">
        <v>3900</v>
      </c>
      <c r="C1428" s="3" t="s">
        <v>3901</v>
      </c>
      <c r="D1428" s="3" t="s">
        <v>3902</v>
      </c>
      <c r="E1428" s="3" t="s">
        <v>15</v>
      </c>
      <c r="F1428" s="3" t="s">
        <v>77</v>
      </c>
      <c r="G1428" s="3" t="s">
        <v>41</v>
      </c>
      <c r="H1428" s="3" t="s">
        <v>18</v>
      </c>
      <c r="I1428" s="3"/>
      <c r="J1428" s="3" t="s">
        <v>19</v>
      </c>
      <c r="K1428" s="3" t="s">
        <v>20</v>
      </c>
      <c r="L1428" s="5" t="s">
        <v>3903</v>
      </c>
    </row>
    <row r="1429" customFormat="false" ht="11.9" hidden="false" customHeight="true" outlineLevel="0" collapsed="false">
      <c r="A1429" s="3" t="str">
        <f aca="false">HYPERLINK("https://www.fabsurplus.com/sdi_catalog/salesItemDetails.do?id=83631")</f>
        <v>https://www.fabsurplus.com/sdi_catalog/salesItemDetails.do?id=83631</v>
      </c>
      <c r="B1429" s="3" t="s">
        <v>3904</v>
      </c>
      <c r="C1429" s="3" t="s">
        <v>3905</v>
      </c>
      <c r="D1429" s="3" t="s">
        <v>3906</v>
      </c>
      <c r="E1429" s="3" t="s">
        <v>3907</v>
      </c>
      <c r="F1429" s="3" t="s">
        <v>16</v>
      </c>
      <c r="G1429" s="3" t="s">
        <v>3908</v>
      </c>
      <c r="H1429" s="3" t="s">
        <v>27</v>
      </c>
      <c r="I1429" s="4" t="n">
        <v>35431</v>
      </c>
      <c r="J1429" s="3" t="s">
        <v>19</v>
      </c>
      <c r="K1429" s="3" t="s">
        <v>20</v>
      </c>
      <c r="L1429" s="5" t="s">
        <v>3909</v>
      </c>
    </row>
    <row r="1430" customFormat="false" ht="11.9" hidden="false" customHeight="true" outlineLevel="0" collapsed="false">
      <c r="A1430" s="2" t="str">
        <f aca="false">HYPERLINK("https://www.fabsurplus.com/sdi_catalog/salesItemDetails.do?id=81829")</f>
        <v>https://www.fabsurplus.com/sdi_catalog/salesItemDetails.do?id=81829</v>
      </c>
      <c r="B1430" s="2" t="s">
        <v>3910</v>
      </c>
      <c r="C1430" s="2" t="s">
        <v>3905</v>
      </c>
      <c r="D1430" s="2" t="s">
        <v>3911</v>
      </c>
      <c r="E1430" s="2" t="s">
        <v>3912</v>
      </c>
      <c r="F1430" s="2" t="s">
        <v>16</v>
      </c>
      <c r="G1430" s="2"/>
      <c r="H1430" s="2" t="s">
        <v>27</v>
      </c>
      <c r="I1430" s="7" t="n">
        <v>36312</v>
      </c>
      <c r="J1430" s="2" t="s">
        <v>19</v>
      </c>
      <c r="K1430" s="2" t="s">
        <v>20</v>
      </c>
      <c r="L1430" s="6" t="s">
        <v>3913</v>
      </c>
    </row>
    <row r="1431" customFormat="false" ht="11.9" hidden="false" customHeight="true" outlineLevel="0" collapsed="false">
      <c r="A1431" s="2" t="str">
        <f aca="false">HYPERLINK("https://www.fabsurplus.com/sdi_catalog/salesItemDetails.do?id=80271")</f>
        <v>https://www.fabsurplus.com/sdi_catalog/salesItemDetails.do?id=80271</v>
      </c>
      <c r="B1431" s="2" t="s">
        <v>3914</v>
      </c>
      <c r="C1431" s="2" t="s">
        <v>3905</v>
      </c>
      <c r="D1431" s="2" t="s">
        <v>3915</v>
      </c>
      <c r="E1431" s="2" t="s">
        <v>3916</v>
      </c>
      <c r="F1431" s="2" t="s">
        <v>16</v>
      </c>
      <c r="G1431" s="2" t="s">
        <v>26</v>
      </c>
      <c r="H1431" s="2" t="s">
        <v>27</v>
      </c>
      <c r="I1431" s="7" t="n">
        <v>36342</v>
      </c>
      <c r="J1431" s="2" t="s">
        <v>19</v>
      </c>
      <c r="K1431" s="2" t="s">
        <v>20</v>
      </c>
      <c r="L1431" s="6" t="s">
        <v>3917</v>
      </c>
    </row>
    <row r="1432" customFormat="false" ht="11.9" hidden="false" customHeight="true" outlineLevel="0" collapsed="false">
      <c r="A1432" s="2" t="str">
        <f aca="false">HYPERLINK("https://www.fabsurplus.com/sdi_catalog/salesItemDetails.do?id=106934")</f>
        <v>https://www.fabsurplus.com/sdi_catalog/salesItemDetails.do?id=106934</v>
      </c>
      <c r="B1432" s="2" t="s">
        <v>3918</v>
      </c>
      <c r="C1432" s="2" t="s">
        <v>3905</v>
      </c>
      <c r="D1432" s="2" t="s">
        <v>3915</v>
      </c>
      <c r="E1432" s="2" t="s">
        <v>3916</v>
      </c>
      <c r="F1432" s="2" t="s">
        <v>16</v>
      </c>
      <c r="G1432" s="2" t="s">
        <v>26</v>
      </c>
      <c r="H1432" s="2" t="s">
        <v>27</v>
      </c>
      <c r="I1432" s="7" t="n">
        <v>36342</v>
      </c>
      <c r="J1432" s="2" t="s">
        <v>19</v>
      </c>
      <c r="K1432" s="2" t="s">
        <v>20</v>
      </c>
      <c r="L1432" s="2" t="s">
        <v>3919</v>
      </c>
    </row>
    <row r="1433" customFormat="false" ht="11.9" hidden="false" customHeight="true" outlineLevel="0" collapsed="false">
      <c r="A1433" s="3" t="str">
        <f aca="false">HYPERLINK("https://www.fabsurplus.com/sdi_catalog/salesItemDetails.do?id=80272")</f>
        <v>https://www.fabsurplus.com/sdi_catalog/salesItemDetails.do?id=80272</v>
      </c>
      <c r="B1433" s="3" t="s">
        <v>3920</v>
      </c>
      <c r="C1433" s="3" t="s">
        <v>3905</v>
      </c>
      <c r="D1433" s="3" t="s">
        <v>3921</v>
      </c>
      <c r="E1433" s="3" t="s">
        <v>3922</v>
      </c>
      <c r="F1433" s="3" t="s">
        <v>16</v>
      </c>
      <c r="G1433" s="3" t="s">
        <v>17</v>
      </c>
      <c r="H1433" s="3" t="s">
        <v>27</v>
      </c>
      <c r="I1433" s="4" t="n">
        <v>36281</v>
      </c>
      <c r="J1433" s="3" t="s">
        <v>19</v>
      </c>
      <c r="K1433" s="3" t="s">
        <v>20</v>
      </c>
      <c r="L1433" s="5" t="s">
        <v>3923</v>
      </c>
    </row>
    <row r="1434" customFormat="false" ht="11.9" hidden="false" customHeight="true" outlineLevel="0" collapsed="false">
      <c r="A1434" s="3" t="str">
        <f aca="false">HYPERLINK("https://www.fabsurplus.com/sdi_catalog/salesItemDetails.do?id=106935")</f>
        <v>https://www.fabsurplus.com/sdi_catalog/salesItemDetails.do?id=106935</v>
      </c>
      <c r="B1434" s="3" t="s">
        <v>3924</v>
      </c>
      <c r="C1434" s="3" t="s">
        <v>3905</v>
      </c>
      <c r="D1434" s="3" t="s">
        <v>3921</v>
      </c>
      <c r="E1434" s="3" t="s">
        <v>3922</v>
      </c>
      <c r="F1434" s="3" t="s">
        <v>77</v>
      </c>
      <c r="G1434" s="3" t="s">
        <v>26</v>
      </c>
      <c r="H1434" s="3" t="s">
        <v>27</v>
      </c>
      <c r="I1434" s="4" t="n">
        <v>36281</v>
      </c>
      <c r="J1434" s="3" t="s">
        <v>19</v>
      </c>
      <c r="K1434" s="3" t="s">
        <v>20</v>
      </c>
      <c r="L1434" s="3" t="s">
        <v>3925</v>
      </c>
    </row>
    <row r="1435" customFormat="false" ht="11.9" hidden="false" customHeight="true" outlineLevel="0" collapsed="false">
      <c r="A1435" s="3" t="str">
        <f aca="false">HYPERLINK("https://www.fabsurplus.com/sdi_catalog/salesItemDetails.do?id=106937")</f>
        <v>https://www.fabsurplus.com/sdi_catalog/salesItemDetails.do?id=106937</v>
      </c>
      <c r="B1435" s="3" t="s">
        <v>3926</v>
      </c>
      <c r="C1435" s="3" t="s">
        <v>3905</v>
      </c>
      <c r="D1435" s="3" t="s">
        <v>3927</v>
      </c>
      <c r="E1435" s="3" t="s">
        <v>3928</v>
      </c>
      <c r="F1435" s="3" t="s">
        <v>69</v>
      </c>
      <c r="G1435" s="3" t="s">
        <v>26</v>
      </c>
      <c r="H1435" s="3" t="s">
        <v>27</v>
      </c>
      <c r="I1435" s="4" t="n">
        <v>36161</v>
      </c>
      <c r="J1435" s="3" t="s">
        <v>19</v>
      </c>
      <c r="K1435" s="3" t="s">
        <v>20</v>
      </c>
      <c r="L1435" s="5" t="s">
        <v>3929</v>
      </c>
    </row>
    <row r="1436" customFormat="false" ht="11.9" hidden="false" customHeight="true" outlineLevel="0" collapsed="false">
      <c r="A1436" s="3" t="str">
        <f aca="false">HYPERLINK("https://www.fabsurplus.com/sdi_catalog/salesItemDetails.do?id=84099")</f>
        <v>https://www.fabsurplus.com/sdi_catalog/salesItemDetails.do?id=84099</v>
      </c>
      <c r="B1436" s="3" t="s">
        <v>3930</v>
      </c>
      <c r="C1436" s="3" t="s">
        <v>3905</v>
      </c>
      <c r="D1436" s="3" t="s">
        <v>3931</v>
      </c>
      <c r="E1436" s="3" t="s">
        <v>3932</v>
      </c>
      <c r="F1436" s="3" t="s">
        <v>16</v>
      </c>
      <c r="G1436" s="3" t="s">
        <v>26</v>
      </c>
      <c r="H1436" s="3" t="s">
        <v>35</v>
      </c>
      <c r="I1436" s="4" t="n">
        <v>36342</v>
      </c>
      <c r="J1436" s="3" t="s">
        <v>19</v>
      </c>
      <c r="K1436" s="3" t="s">
        <v>20</v>
      </c>
      <c r="L1436" s="5" t="s">
        <v>3933</v>
      </c>
    </row>
    <row r="1437" customFormat="false" ht="11.9" hidden="false" customHeight="true" outlineLevel="0" collapsed="false">
      <c r="A1437" s="3" t="str">
        <f aca="false">HYPERLINK("https://www.fabsurplus.com/sdi_catalog/salesItemDetails.do?id=82168")</f>
        <v>https://www.fabsurplus.com/sdi_catalog/salesItemDetails.do?id=82168</v>
      </c>
      <c r="B1437" s="3" t="s">
        <v>3934</v>
      </c>
      <c r="C1437" s="3" t="s">
        <v>3905</v>
      </c>
      <c r="D1437" s="3" t="s">
        <v>3935</v>
      </c>
      <c r="E1437" s="3" t="s">
        <v>3936</v>
      </c>
      <c r="F1437" s="3" t="s">
        <v>16</v>
      </c>
      <c r="G1437" s="3" t="s">
        <v>26</v>
      </c>
      <c r="H1437" s="3" t="s">
        <v>27</v>
      </c>
      <c r="I1437" s="4" t="n">
        <v>36342</v>
      </c>
      <c r="J1437" s="3" t="s">
        <v>19</v>
      </c>
      <c r="K1437" s="3" t="s">
        <v>20</v>
      </c>
      <c r="L1437" s="5" t="s">
        <v>3937</v>
      </c>
    </row>
    <row r="1438" customFormat="false" ht="11.9" hidden="false" customHeight="true" outlineLevel="0" collapsed="false">
      <c r="A1438" s="3" t="str">
        <f aca="false">HYPERLINK("https://www.fabsurplus.com/sdi_catalog/salesItemDetails.do?id=106927")</f>
        <v>https://www.fabsurplus.com/sdi_catalog/salesItemDetails.do?id=106927</v>
      </c>
      <c r="B1438" s="3" t="s">
        <v>3938</v>
      </c>
      <c r="C1438" s="3" t="s">
        <v>3905</v>
      </c>
      <c r="D1438" s="3" t="s">
        <v>3939</v>
      </c>
      <c r="E1438" s="3" t="s">
        <v>3940</v>
      </c>
      <c r="F1438" s="3" t="s">
        <v>235</v>
      </c>
      <c r="G1438" s="3" t="s">
        <v>26</v>
      </c>
      <c r="H1438" s="3" t="s">
        <v>27</v>
      </c>
      <c r="I1438" s="3"/>
      <c r="J1438" s="3" t="s">
        <v>19</v>
      </c>
      <c r="K1438" s="3" t="s">
        <v>20</v>
      </c>
      <c r="L1438" s="5" t="s">
        <v>3941</v>
      </c>
    </row>
    <row r="1439" customFormat="false" ht="11.9" hidden="false" customHeight="true" outlineLevel="0" collapsed="false">
      <c r="A1439" s="3" t="str">
        <f aca="false">HYPERLINK("https://www.fabsurplus.com/sdi_catalog/salesItemDetails.do?id=80317")</f>
        <v>https://www.fabsurplus.com/sdi_catalog/salesItemDetails.do?id=80317</v>
      </c>
      <c r="B1439" s="3" t="s">
        <v>3942</v>
      </c>
      <c r="C1439" s="3" t="s">
        <v>3905</v>
      </c>
      <c r="D1439" s="3" t="s">
        <v>3939</v>
      </c>
      <c r="E1439" s="3" t="s">
        <v>3943</v>
      </c>
      <c r="F1439" s="3" t="s">
        <v>262</v>
      </c>
      <c r="G1439" s="3" t="s">
        <v>26</v>
      </c>
      <c r="H1439" s="3" t="s">
        <v>35</v>
      </c>
      <c r="I1439" s="3"/>
      <c r="J1439" s="3" t="s">
        <v>19</v>
      </c>
      <c r="K1439" s="3" t="s">
        <v>20</v>
      </c>
      <c r="L1439" s="5" t="s">
        <v>3944</v>
      </c>
    </row>
    <row r="1440" customFormat="false" ht="11.9" hidden="false" customHeight="true" outlineLevel="0" collapsed="false">
      <c r="A1440" s="2" t="str">
        <f aca="false">HYPERLINK("https://www.fabsurplus.com/sdi_catalog/salesItemDetails.do?id=80273")</f>
        <v>https://www.fabsurplus.com/sdi_catalog/salesItemDetails.do?id=80273</v>
      </c>
      <c r="B1440" s="2" t="s">
        <v>3945</v>
      </c>
      <c r="C1440" s="2" t="s">
        <v>3905</v>
      </c>
      <c r="D1440" s="2" t="s">
        <v>3946</v>
      </c>
      <c r="E1440" s="2" t="s">
        <v>3947</v>
      </c>
      <c r="F1440" s="2" t="s">
        <v>77</v>
      </c>
      <c r="G1440" s="2" t="s">
        <v>26</v>
      </c>
      <c r="H1440" s="2" t="s">
        <v>27</v>
      </c>
      <c r="I1440" s="7" t="n">
        <v>36251</v>
      </c>
      <c r="J1440" s="2" t="s">
        <v>19</v>
      </c>
      <c r="K1440" s="2" t="s">
        <v>20</v>
      </c>
      <c r="L1440" s="6" t="s">
        <v>3948</v>
      </c>
    </row>
    <row r="1441" customFormat="false" ht="11.9" hidden="false" customHeight="true" outlineLevel="0" collapsed="false">
      <c r="A1441" s="2" t="str">
        <f aca="false">HYPERLINK("https://www.fabsurplus.com/sdi_catalog/salesItemDetails.do?id=106936")</f>
        <v>https://www.fabsurplus.com/sdi_catalog/salesItemDetails.do?id=106936</v>
      </c>
      <c r="B1441" s="2" t="s">
        <v>3949</v>
      </c>
      <c r="C1441" s="2" t="s">
        <v>3905</v>
      </c>
      <c r="D1441" s="2" t="s">
        <v>3950</v>
      </c>
      <c r="E1441" s="2" t="s">
        <v>3947</v>
      </c>
      <c r="F1441" s="2" t="s">
        <v>77</v>
      </c>
      <c r="G1441" s="2" t="s">
        <v>26</v>
      </c>
      <c r="H1441" s="2" t="s">
        <v>27</v>
      </c>
      <c r="I1441" s="7" t="n">
        <v>36251</v>
      </c>
      <c r="J1441" s="2" t="s">
        <v>19</v>
      </c>
      <c r="K1441" s="2" t="s">
        <v>20</v>
      </c>
      <c r="L1441" s="2" t="s">
        <v>3951</v>
      </c>
    </row>
    <row r="1442" customFormat="false" ht="11.9" hidden="false" customHeight="true" outlineLevel="0" collapsed="false">
      <c r="A1442" s="3" t="str">
        <f aca="false">HYPERLINK("https://www.fabsurplus.com/sdi_catalog/salesItemDetails.do?id=81864")</f>
        <v>https://www.fabsurplus.com/sdi_catalog/salesItemDetails.do?id=81864</v>
      </c>
      <c r="B1442" s="3" t="s">
        <v>3952</v>
      </c>
      <c r="C1442" s="3" t="s">
        <v>3905</v>
      </c>
      <c r="D1442" s="3" t="s">
        <v>3953</v>
      </c>
      <c r="E1442" s="3" t="s">
        <v>3954</v>
      </c>
      <c r="F1442" s="3" t="s">
        <v>16</v>
      </c>
      <c r="G1442" s="3" t="s">
        <v>26</v>
      </c>
      <c r="H1442" s="3" t="s">
        <v>27</v>
      </c>
      <c r="I1442" s="4" t="n">
        <v>36192</v>
      </c>
      <c r="J1442" s="3" t="s">
        <v>19</v>
      </c>
      <c r="K1442" s="3" t="s">
        <v>20</v>
      </c>
      <c r="L1442" s="5" t="s">
        <v>3955</v>
      </c>
    </row>
    <row r="1443" customFormat="false" ht="11.9" hidden="false" customHeight="true" outlineLevel="0" collapsed="false">
      <c r="A1443" s="3" t="str">
        <f aca="false">HYPERLINK("https://www.fabsurplus.com/sdi_catalog/salesItemDetails.do?id=80274")</f>
        <v>https://www.fabsurplus.com/sdi_catalog/salesItemDetails.do?id=80274</v>
      </c>
      <c r="B1443" s="3" t="s">
        <v>3956</v>
      </c>
      <c r="C1443" s="3" t="s">
        <v>3905</v>
      </c>
      <c r="D1443" s="3" t="s">
        <v>3957</v>
      </c>
      <c r="E1443" s="3" t="s">
        <v>3958</v>
      </c>
      <c r="F1443" s="3" t="s">
        <v>16</v>
      </c>
      <c r="G1443" s="3"/>
      <c r="H1443" s="3" t="s">
        <v>35</v>
      </c>
      <c r="I1443" s="4" t="n">
        <v>36434</v>
      </c>
      <c r="J1443" s="3" t="s">
        <v>19</v>
      </c>
      <c r="K1443" s="3" t="s">
        <v>20</v>
      </c>
      <c r="L1443" s="3" t="s">
        <v>3959</v>
      </c>
    </row>
    <row r="1444" customFormat="false" ht="11.9" hidden="false" customHeight="true" outlineLevel="0" collapsed="false">
      <c r="A1444" s="3" t="str">
        <f aca="false">HYPERLINK("https://www.fabsurplus.com/sdi_catalog/salesItemDetails.do?id=106931")</f>
        <v>https://www.fabsurplus.com/sdi_catalog/salesItemDetails.do?id=106931</v>
      </c>
      <c r="B1444" s="3" t="s">
        <v>3960</v>
      </c>
      <c r="C1444" s="3" t="s">
        <v>3905</v>
      </c>
      <c r="D1444" s="3" t="s">
        <v>3957</v>
      </c>
      <c r="E1444" s="3" t="s">
        <v>3954</v>
      </c>
      <c r="F1444" s="3" t="s">
        <v>16</v>
      </c>
      <c r="G1444" s="3" t="s">
        <v>17</v>
      </c>
      <c r="H1444" s="3" t="s">
        <v>35</v>
      </c>
      <c r="I1444" s="4" t="n">
        <v>36434</v>
      </c>
      <c r="J1444" s="3" t="s">
        <v>19</v>
      </c>
      <c r="K1444" s="3" t="s">
        <v>20</v>
      </c>
      <c r="L1444" s="3" t="s">
        <v>3959</v>
      </c>
    </row>
    <row r="1445" customFormat="false" ht="11.9" hidden="false" customHeight="true" outlineLevel="0" collapsed="false">
      <c r="A1445" s="2" t="str">
        <f aca="false">HYPERLINK("https://www.fabsurplus.com/sdi_catalog/salesItemDetails.do?id=80311")</f>
        <v>https://www.fabsurplus.com/sdi_catalog/salesItemDetails.do?id=80311</v>
      </c>
      <c r="B1445" s="2" t="s">
        <v>3961</v>
      </c>
      <c r="C1445" s="2" t="s">
        <v>3905</v>
      </c>
      <c r="D1445" s="2" t="s">
        <v>3962</v>
      </c>
      <c r="E1445" s="2" t="s">
        <v>3963</v>
      </c>
      <c r="F1445" s="2" t="s">
        <v>2293</v>
      </c>
      <c r="G1445" s="2"/>
      <c r="H1445" s="2" t="s">
        <v>27</v>
      </c>
      <c r="I1445" s="7" t="n">
        <v>36161</v>
      </c>
      <c r="J1445" s="2" t="s">
        <v>19</v>
      </c>
      <c r="K1445" s="2" t="s">
        <v>20</v>
      </c>
      <c r="L1445" s="6" t="s">
        <v>3964</v>
      </c>
    </row>
    <row r="1446" customFormat="false" ht="11.9" hidden="false" customHeight="true" outlineLevel="0" collapsed="false">
      <c r="A1446" s="2" t="str">
        <f aca="false">HYPERLINK("https://www.fabsurplus.com/sdi_catalog/salesItemDetails.do?id=106938")</f>
        <v>https://www.fabsurplus.com/sdi_catalog/salesItemDetails.do?id=106938</v>
      </c>
      <c r="B1446" s="2" t="s">
        <v>3965</v>
      </c>
      <c r="C1446" s="2" t="s">
        <v>3905</v>
      </c>
      <c r="D1446" s="2" t="s">
        <v>3962</v>
      </c>
      <c r="E1446" s="2" t="s">
        <v>3966</v>
      </c>
      <c r="F1446" s="2" t="s">
        <v>101</v>
      </c>
      <c r="G1446" s="2" t="s">
        <v>26</v>
      </c>
      <c r="H1446" s="2" t="s">
        <v>27</v>
      </c>
      <c r="I1446" s="7" t="n">
        <v>36161</v>
      </c>
      <c r="J1446" s="2" t="s">
        <v>19</v>
      </c>
      <c r="K1446" s="2" t="s">
        <v>20</v>
      </c>
      <c r="L1446" s="2" t="s">
        <v>3967</v>
      </c>
    </row>
    <row r="1447" customFormat="false" ht="11.9" hidden="false" customHeight="true" outlineLevel="0" collapsed="false">
      <c r="A1447" s="2" t="str">
        <f aca="false">HYPERLINK("https://www.fabsurplus.com/sdi_catalog/salesItemDetails.do?id=106930")</f>
        <v>https://www.fabsurplus.com/sdi_catalog/salesItemDetails.do?id=106930</v>
      </c>
      <c r="B1447" s="2" t="s">
        <v>3968</v>
      </c>
      <c r="C1447" s="2" t="s">
        <v>3905</v>
      </c>
      <c r="D1447" s="2" t="s">
        <v>3969</v>
      </c>
      <c r="E1447" s="2" t="s">
        <v>3970</v>
      </c>
      <c r="F1447" s="2" t="s">
        <v>16</v>
      </c>
      <c r="G1447" s="2" t="s">
        <v>26</v>
      </c>
      <c r="H1447" s="2" t="s">
        <v>27</v>
      </c>
      <c r="I1447" s="7" t="n">
        <v>36312</v>
      </c>
      <c r="J1447" s="2" t="s">
        <v>19</v>
      </c>
      <c r="K1447" s="2"/>
      <c r="L1447" s="2" t="s">
        <v>3971</v>
      </c>
    </row>
    <row r="1448" customFormat="false" ht="11.9" hidden="false" customHeight="true" outlineLevel="0" collapsed="false">
      <c r="A1448" s="2" t="str">
        <f aca="false">HYPERLINK("https://www.fabsurplus.com/sdi_catalog/salesItemDetails.do?id=80318")</f>
        <v>https://www.fabsurplus.com/sdi_catalog/salesItemDetails.do?id=80318</v>
      </c>
      <c r="B1448" s="2" t="s">
        <v>3972</v>
      </c>
      <c r="C1448" s="2" t="s">
        <v>3905</v>
      </c>
      <c r="D1448" s="2" t="s">
        <v>3969</v>
      </c>
      <c r="E1448" s="2" t="s">
        <v>3973</v>
      </c>
      <c r="F1448" s="2" t="s">
        <v>16</v>
      </c>
      <c r="G1448" s="2" t="s">
        <v>26</v>
      </c>
      <c r="H1448" s="2" t="s">
        <v>35</v>
      </c>
      <c r="I1448" s="7" t="n">
        <v>35582</v>
      </c>
      <c r="J1448" s="2" t="s">
        <v>19</v>
      </c>
      <c r="K1448" s="2" t="s">
        <v>20</v>
      </c>
      <c r="L1448" s="6" t="s">
        <v>3974</v>
      </c>
    </row>
    <row r="1449" customFormat="false" ht="11.9" hidden="false" customHeight="true" outlineLevel="0" collapsed="false">
      <c r="A1449" s="3" t="str">
        <f aca="false">HYPERLINK("https://www.fabsurplus.com/sdi_catalog/salesItemDetails.do?id=106925")</f>
        <v>https://www.fabsurplus.com/sdi_catalog/salesItemDetails.do?id=106925</v>
      </c>
      <c r="B1449" s="3" t="s">
        <v>3975</v>
      </c>
      <c r="C1449" s="3" t="s">
        <v>3905</v>
      </c>
      <c r="D1449" s="3" t="s">
        <v>3976</v>
      </c>
      <c r="E1449" s="3" t="s">
        <v>3977</v>
      </c>
      <c r="F1449" s="3" t="s">
        <v>77</v>
      </c>
      <c r="G1449" s="3" t="s">
        <v>17</v>
      </c>
      <c r="H1449" s="3" t="s">
        <v>27</v>
      </c>
      <c r="I1449" s="4" t="n">
        <v>36008</v>
      </c>
      <c r="J1449" s="3" t="s">
        <v>19</v>
      </c>
      <c r="K1449" s="3" t="s">
        <v>20</v>
      </c>
      <c r="L1449" s="5" t="s">
        <v>3978</v>
      </c>
    </row>
    <row r="1450" customFormat="false" ht="11.9" hidden="false" customHeight="true" outlineLevel="0" collapsed="false">
      <c r="A1450" s="3" t="str">
        <f aca="false">HYPERLINK("https://www.fabsurplus.com/sdi_catalog/salesItemDetails.do?id=84279")</f>
        <v>https://www.fabsurplus.com/sdi_catalog/salesItemDetails.do?id=84279</v>
      </c>
      <c r="B1450" s="3" t="s">
        <v>3979</v>
      </c>
      <c r="C1450" s="3" t="s">
        <v>3905</v>
      </c>
      <c r="D1450" s="3" t="s">
        <v>3980</v>
      </c>
      <c r="E1450" s="3" t="s">
        <v>3981</v>
      </c>
      <c r="F1450" s="3" t="s">
        <v>16</v>
      </c>
      <c r="G1450" s="3" t="s">
        <v>26</v>
      </c>
      <c r="H1450" s="3" t="s">
        <v>27</v>
      </c>
      <c r="I1450" s="4" t="n">
        <v>36161</v>
      </c>
      <c r="J1450" s="3" t="s">
        <v>19</v>
      </c>
      <c r="K1450" s="3" t="s">
        <v>20</v>
      </c>
      <c r="L1450" s="5" t="s">
        <v>3982</v>
      </c>
    </row>
    <row r="1451" customFormat="false" ht="11.9" hidden="false" customHeight="true" outlineLevel="0" collapsed="false">
      <c r="A1451" s="2" t="str">
        <f aca="false">HYPERLINK("https://www.fabsurplus.com/sdi_catalog/salesItemDetails.do?id=80316")</f>
        <v>https://www.fabsurplus.com/sdi_catalog/salesItemDetails.do?id=80316</v>
      </c>
      <c r="B1451" s="2" t="s">
        <v>3983</v>
      </c>
      <c r="C1451" s="2" t="s">
        <v>3905</v>
      </c>
      <c r="D1451" s="2" t="s">
        <v>3984</v>
      </c>
      <c r="E1451" s="2" t="s">
        <v>3985</v>
      </c>
      <c r="F1451" s="2" t="s">
        <v>77</v>
      </c>
      <c r="G1451" s="2"/>
      <c r="H1451" s="2" t="s">
        <v>27</v>
      </c>
      <c r="I1451" s="7" t="n">
        <v>36161</v>
      </c>
      <c r="J1451" s="2" t="s">
        <v>19</v>
      </c>
      <c r="K1451" s="2" t="s">
        <v>20</v>
      </c>
      <c r="L1451" s="6" t="s">
        <v>3986</v>
      </c>
    </row>
    <row r="1452" customFormat="false" ht="11.9" hidden="false" customHeight="true" outlineLevel="0" collapsed="false">
      <c r="A1452" s="3" t="str">
        <f aca="false">HYPERLINK("https://www.fabsurplus.com/sdi_catalog/salesItemDetails.do?id=106929")</f>
        <v>https://www.fabsurplus.com/sdi_catalog/salesItemDetails.do?id=106929</v>
      </c>
      <c r="B1452" s="3" t="s">
        <v>3987</v>
      </c>
      <c r="C1452" s="3" t="s">
        <v>3905</v>
      </c>
      <c r="D1452" s="3" t="s">
        <v>3988</v>
      </c>
      <c r="E1452" s="3" t="s">
        <v>3989</v>
      </c>
      <c r="F1452" s="3" t="s">
        <v>77</v>
      </c>
      <c r="G1452" s="3" t="s">
        <v>26</v>
      </c>
      <c r="H1452" s="3" t="s">
        <v>27</v>
      </c>
      <c r="I1452" s="4" t="n">
        <v>36161</v>
      </c>
      <c r="J1452" s="3" t="s">
        <v>19</v>
      </c>
      <c r="K1452" s="3" t="s">
        <v>20</v>
      </c>
      <c r="L1452" s="5" t="s">
        <v>3990</v>
      </c>
    </row>
    <row r="1453" customFormat="false" ht="11.9" hidden="false" customHeight="true" outlineLevel="0" collapsed="false">
      <c r="A1453" s="2" t="str">
        <f aca="false">HYPERLINK("https://www.fabsurplus.com/sdi_catalog/salesItemDetails.do?id=83559")</f>
        <v>https://www.fabsurplus.com/sdi_catalog/salesItemDetails.do?id=83559</v>
      </c>
      <c r="B1453" s="2" t="s">
        <v>3991</v>
      </c>
      <c r="C1453" s="2" t="s">
        <v>3905</v>
      </c>
      <c r="D1453" s="2" t="s">
        <v>3992</v>
      </c>
      <c r="E1453" s="2" t="s">
        <v>3993</v>
      </c>
      <c r="F1453" s="2" t="s">
        <v>69</v>
      </c>
      <c r="G1453" s="2" t="s">
        <v>26</v>
      </c>
      <c r="H1453" s="2" t="s">
        <v>27</v>
      </c>
      <c r="I1453" s="7" t="n">
        <v>36161</v>
      </c>
      <c r="J1453" s="2" t="s">
        <v>19</v>
      </c>
      <c r="K1453" s="2" t="s">
        <v>20</v>
      </c>
      <c r="L1453" s="6" t="s">
        <v>3994</v>
      </c>
    </row>
    <row r="1454" customFormat="false" ht="11.9" hidden="false" customHeight="true" outlineLevel="0" collapsed="false">
      <c r="A1454" s="2" t="str">
        <f aca="false">HYPERLINK("https://www.fabsurplus.com/sdi_catalog/salesItemDetails.do?id=80269")</f>
        <v>https://www.fabsurplus.com/sdi_catalog/salesItemDetails.do?id=80269</v>
      </c>
      <c r="B1454" s="2" t="s">
        <v>3995</v>
      </c>
      <c r="C1454" s="2" t="s">
        <v>3905</v>
      </c>
      <c r="D1454" s="2" t="s">
        <v>3996</v>
      </c>
      <c r="E1454" s="2" t="s">
        <v>3997</v>
      </c>
      <c r="F1454" s="2" t="s">
        <v>16</v>
      </c>
      <c r="G1454" s="2" t="s">
        <v>26</v>
      </c>
      <c r="H1454" s="2" t="s">
        <v>27</v>
      </c>
      <c r="I1454" s="7" t="n">
        <v>36342</v>
      </c>
      <c r="J1454" s="2" t="s">
        <v>19</v>
      </c>
      <c r="K1454" s="2" t="s">
        <v>20</v>
      </c>
      <c r="L1454" s="6" t="s">
        <v>3998</v>
      </c>
    </row>
    <row r="1455" customFormat="false" ht="11.9" hidden="false" customHeight="true" outlineLevel="0" collapsed="false">
      <c r="A1455" s="2" t="str">
        <f aca="false">HYPERLINK("https://www.fabsurplus.com/sdi_catalog/salesItemDetails.do?id=106932")</f>
        <v>https://www.fabsurplus.com/sdi_catalog/salesItemDetails.do?id=106932</v>
      </c>
      <c r="B1455" s="2" t="s">
        <v>3999</v>
      </c>
      <c r="C1455" s="2" t="s">
        <v>3905</v>
      </c>
      <c r="D1455" s="2" t="s">
        <v>4000</v>
      </c>
      <c r="E1455" s="2" t="s">
        <v>4001</v>
      </c>
      <c r="F1455" s="2" t="s">
        <v>16</v>
      </c>
      <c r="G1455" s="2" t="s">
        <v>41</v>
      </c>
      <c r="H1455" s="2" t="s">
        <v>27</v>
      </c>
      <c r="I1455" s="7" t="n">
        <v>36342</v>
      </c>
      <c r="J1455" s="2" t="s">
        <v>19</v>
      </c>
      <c r="K1455" s="2" t="s">
        <v>20</v>
      </c>
      <c r="L1455" s="2"/>
    </row>
    <row r="1456" customFormat="false" ht="11.9" hidden="false" customHeight="true" outlineLevel="0" collapsed="false">
      <c r="A1456" s="3" t="str">
        <f aca="false">HYPERLINK("https://www.fabsurplus.com/sdi_catalog/salesItemDetails.do?id=106933")</f>
        <v>https://www.fabsurplus.com/sdi_catalog/salesItemDetails.do?id=106933</v>
      </c>
      <c r="B1456" s="3" t="s">
        <v>4002</v>
      </c>
      <c r="C1456" s="3" t="s">
        <v>3905</v>
      </c>
      <c r="D1456" s="3" t="s">
        <v>4003</v>
      </c>
      <c r="E1456" s="3" t="s">
        <v>4004</v>
      </c>
      <c r="F1456" s="3" t="s">
        <v>16</v>
      </c>
      <c r="G1456" s="3" t="s">
        <v>26</v>
      </c>
      <c r="H1456" s="3" t="s">
        <v>27</v>
      </c>
      <c r="I1456" s="4" t="n">
        <v>36342</v>
      </c>
      <c r="J1456" s="3" t="s">
        <v>19</v>
      </c>
      <c r="K1456" s="3" t="s">
        <v>20</v>
      </c>
      <c r="L1456" s="5" t="s">
        <v>4005</v>
      </c>
    </row>
    <row r="1457" customFormat="false" ht="11.9" hidden="false" customHeight="true" outlineLevel="0" collapsed="false">
      <c r="A1457" s="3" t="str">
        <f aca="false">HYPERLINK("https://www.fabsurplus.com/sdi_catalog/salesItemDetails.do?id=80270")</f>
        <v>https://www.fabsurplus.com/sdi_catalog/salesItemDetails.do?id=80270</v>
      </c>
      <c r="B1457" s="3" t="s">
        <v>4006</v>
      </c>
      <c r="C1457" s="3" t="s">
        <v>3905</v>
      </c>
      <c r="D1457" s="3" t="s">
        <v>4003</v>
      </c>
      <c r="E1457" s="3" t="s">
        <v>4007</v>
      </c>
      <c r="F1457" s="3" t="s">
        <v>16</v>
      </c>
      <c r="G1457" s="3" t="s">
        <v>41</v>
      </c>
      <c r="H1457" s="3" t="s">
        <v>27</v>
      </c>
      <c r="I1457" s="4" t="n">
        <v>36342</v>
      </c>
      <c r="J1457" s="3" t="s">
        <v>19</v>
      </c>
      <c r="K1457" s="3" t="s">
        <v>20</v>
      </c>
      <c r="L1457" s="5" t="s">
        <v>4008</v>
      </c>
    </row>
    <row r="1458" customFormat="false" ht="11.9" hidden="false" customHeight="true" outlineLevel="0" collapsed="false">
      <c r="A1458" s="3" t="str">
        <f aca="false">HYPERLINK("https://www.fabsurplus.com/sdi_catalog/salesItemDetails.do?id=80320")</f>
        <v>https://www.fabsurplus.com/sdi_catalog/salesItemDetails.do?id=80320</v>
      </c>
      <c r="B1458" s="3" t="s">
        <v>4009</v>
      </c>
      <c r="C1458" s="3" t="s">
        <v>3905</v>
      </c>
      <c r="D1458" s="3" t="s">
        <v>4010</v>
      </c>
      <c r="E1458" s="3" t="s">
        <v>4011</v>
      </c>
      <c r="F1458" s="3" t="s">
        <v>16</v>
      </c>
      <c r="G1458" s="3"/>
      <c r="H1458" s="3" t="s">
        <v>27</v>
      </c>
      <c r="I1458" s="4" t="n">
        <v>36161</v>
      </c>
      <c r="J1458" s="3" t="s">
        <v>19</v>
      </c>
      <c r="K1458" s="3" t="s">
        <v>20</v>
      </c>
      <c r="L1458" s="5" t="s">
        <v>4012</v>
      </c>
    </row>
    <row r="1459" customFormat="false" ht="11.9" hidden="false" customHeight="true" outlineLevel="0" collapsed="false">
      <c r="A1459" s="2" t="str">
        <f aca="false">HYPERLINK("https://www.fabsurplus.com/sdi_catalog/salesItemDetails.do?id=106926")</f>
        <v>https://www.fabsurplus.com/sdi_catalog/salesItemDetails.do?id=106926</v>
      </c>
      <c r="B1459" s="2" t="s">
        <v>4013</v>
      </c>
      <c r="C1459" s="2" t="s">
        <v>3905</v>
      </c>
      <c r="D1459" s="2" t="s">
        <v>4014</v>
      </c>
      <c r="E1459" s="2" t="s">
        <v>4011</v>
      </c>
      <c r="F1459" s="2" t="s">
        <v>16</v>
      </c>
      <c r="G1459" s="2" t="s">
        <v>26</v>
      </c>
      <c r="H1459" s="2" t="s">
        <v>27</v>
      </c>
      <c r="I1459" s="7" t="n">
        <v>36161</v>
      </c>
      <c r="J1459" s="2" t="s">
        <v>19</v>
      </c>
      <c r="K1459" s="2" t="s">
        <v>20</v>
      </c>
      <c r="L1459" s="6" t="s">
        <v>4015</v>
      </c>
    </row>
    <row r="1460" customFormat="false" ht="11.9" hidden="false" customHeight="true" outlineLevel="0" collapsed="false">
      <c r="A1460" s="3" t="str">
        <f aca="false">HYPERLINK("https://www.fabsurplus.com/sdi_catalog/salesItemDetails.do?id=80312")</f>
        <v>https://www.fabsurplus.com/sdi_catalog/salesItemDetails.do?id=80312</v>
      </c>
      <c r="B1460" s="3" t="s">
        <v>4016</v>
      </c>
      <c r="C1460" s="3" t="s">
        <v>3905</v>
      </c>
      <c r="D1460" s="3" t="s">
        <v>4017</v>
      </c>
      <c r="E1460" s="3" t="s">
        <v>4018</v>
      </c>
      <c r="F1460" s="3" t="s">
        <v>4019</v>
      </c>
      <c r="G1460" s="3" t="s">
        <v>26</v>
      </c>
      <c r="H1460" s="3" t="s">
        <v>35</v>
      </c>
      <c r="I1460" s="4" t="n">
        <v>36161</v>
      </c>
      <c r="J1460" s="3" t="s">
        <v>19</v>
      </c>
      <c r="K1460" s="3" t="s">
        <v>20</v>
      </c>
      <c r="L1460" s="5" t="s">
        <v>4020</v>
      </c>
    </row>
    <row r="1461" customFormat="false" ht="11.9" hidden="false" customHeight="true" outlineLevel="0" collapsed="false">
      <c r="A1461" s="2" t="str">
        <f aca="false">HYPERLINK("https://www.fabsurplus.com/sdi_catalog/salesItemDetails.do?id=106924")</f>
        <v>https://www.fabsurplus.com/sdi_catalog/salesItemDetails.do?id=106924</v>
      </c>
      <c r="B1461" s="2" t="s">
        <v>4021</v>
      </c>
      <c r="C1461" s="2" t="s">
        <v>3905</v>
      </c>
      <c r="D1461" s="2" t="s">
        <v>4022</v>
      </c>
      <c r="E1461" s="2" t="s">
        <v>4018</v>
      </c>
      <c r="F1461" s="2" t="s">
        <v>293</v>
      </c>
      <c r="G1461" s="2" t="s">
        <v>41</v>
      </c>
      <c r="H1461" s="2" t="s">
        <v>27</v>
      </c>
      <c r="I1461" s="7" t="n">
        <v>36342</v>
      </c>
      <c r="J1461" s="2" t="s">
        <v>19</v>
      </c>
      <c r="K1461" s="2" t="s">
        <v>20</v>
      </c>
      <c r="L1461" s="6" t="s">
        <v>4023</v>
      </c>
    </row>
    <row r="1462" customFormat="false" ht="11.9" hidden="false" customHeight="true" outlineLevel="0" collapsed="false">
      <c r="A1462" s="2" t="str">
        <f aca="false">HYPERLINK("https://www.fabsurplus.com/sdi_catalog/salesItemDetails.do?id=83819")</f>
        <v>https://www.fabsurplus.com/sdi_catalog/salesItemDetails.do?id=83819</v>
      </c>
      <c r="B1462" s="2" t="s">
        <v>4024</v>
      </c>
      <c r="C1462" s="2" t="s">
        <v>3905</v>
      </c>
      <c r="D1462" s="2" t="s">
        <v>4025</v>
      </c>
      <c r="E1462" s="2" t="s">
        <v>4026</v>
      </c>
      <c r="F1462" s="2" t="s">
        <v>16</v>
      </c>
      <c r="G1462" s="2" t="s">
        <v>26</v>
      </c>
      <c r="H1462" s="2" t="s">
        <v>27</v>
      </c>
      <c r="I1462" s="7" t="n">
        <v>36161</v>
      </c>
      <c r="J1462" s="2" t="s">
        <v>19</v>
      </c>
      <c r="K1462" s="2" t="s">
        <v>20</v>
      </c>
      <c r="L1462" s="6" t="s">
        <v>4027</v>
      </c>
    </row>
    <row r="1463" customFormat="false" ht="11.9" hidden="false" customHeight="true" outlineLevel="0" collapsed="false">
      <c r="A1463" s="2" t="str">
        <f aca="false">HYPERLINK("https://www.fabsurplus.com/sdi_catalog/salesItemDetails.do?id=84278")</f>
        <v>https://www.fabsurplus.com/sdi_catalog/salesItemDetails.do?id=84278</v>
      </c>
      <c r="B1463" s="2" t="s">
        <v>4028</v>
      </c>
      <c r="C1463" s="2" t="s">
        <v>3905</v>
      </c>
      <c r="D1463" s="2" t="s">
        <v>4029</v>
      </c>
      <c r="E1463" s="2" t="s">
        <v>4030</v>
      </c>
      <c r="F1463" s="2" t="s">
        <v>77</v>
      </c>
      <c r="G1463" s="2" t="s">
        <v>26</v>
      </c>
      <c r="H1463" s="2" t="s">
        <v>27</v>
      </c>
      <c r="I1463" s="7" t="n">
        <v>36161</v>
      </c>
      <c r="J1463" s="2" t="s">
        <v>19</v>
      </c>
      <c r="K1463" s="2" t="s">
        <v>20</v>
      </c>
      <c r="L1463" s="6" t="s">
        <v>4031</v>
      </c>
    </row>
    <row r="1464" customFormat="false" ht="11.9" hidden="false" customHeight="true" outlineLevel="0" collapsed="false">
      <c r="A1464" s="2" t="str">
        <f aca="false">HYPERLINK("https://www.fabsurplus.com/sdi_catalog/salesItemDetails.do?id=84280")</f>
        <v>https://www.fabsurplus.com/sdi_catalog/salesItemDetails.do?id=84280</v>
      </c>
      <c r="B1464" s="2" t="s">
        <v>4032</v>
      </c>
      <c r="C1464" s="2" t="s">
        <v>3905</v>
      </c>
      <c r="D1464" s="2" t="s">
        <v>4033</v>
      </c>
      <c r="E1464" s="2" t="s">
        <v>4030</v>
      </c>
      <c r="F1464" s="2" t="s">
        <v>16</v>
      </c>
      <c r="G1464" s="2" t="s">
        <v>26</v>
      </c>
      <c r="H1464" s="2" t="s">
        <v>27</v>
      </c>
      <c r="I1464" s="7" t="n">
        <v>36161</v>
      </c>
      <c r="J1464" s="2" t="s">
        <v>19</v>
      </c>
      <c r="K1464" s="2" t="s">
        <v>20</v>
      </c>
      <c r="L1464" s="6" t="s">
        <v>4034</v>
      </c>
    </row>
    <row r="1465" customFormat="false" ht="11.9" hidden="false" customHeight="true" outlineLevel="0" collapsed="false">
      <c r="A1465" s="3" t="str">
        <f aca="false">HYPERLINK("https://www.fabsurplus.com/sdi_catalog/salesItemDetails.do?id=106939")</f>
        <v>https://www.fabsurplus.com/sdi_catalog/salesItemDetails.do?id=106939</v>
      </c>
      <c r="B1465" s="3" t="s">
        <v>4035</v>
      </c>
      <c r="C1465" s="3" t="s">
        <v>3905</v>
      </c>
      <c r="D1465" s="3" t="s">
        <v>4036</v>
      </c>
      <c r="E1465" s="3" t="s">
        <v>4037</v>
      </c>
      <c r="F1465" s="3" t="s">
        <v>16</v>
      </c>
      <c r="G1465" s="3" t="s">
        <v>26</v>
      </c>
      <c r="H1465" s="3" t="s">
        <v>27</v>
      </c>
      <c r="I1465" s="4" t="n">
        <v>38657</v>
      </c>
      <c r="J1465" s="3" t="s">
        <v>19</v>
      </c>
      <c r="K1465" s="3" t="s">
        <v>20</v>
      </c>
      <c r="L1465" s="5" t="s">
        <v>4038</v>
      </c>
    </row>
    <row r="1466" customFormat="false" ht="11.9" hidden="false" customHeight="true" outlineLevel="0" collapsed="false">
      <c r="A1466" s="2" t="str">
        <f aca="false">HYPERLINK("https://www.fabsurplus.com/sdi_catalog/salesItemDetails.do?id=81866")</f>
        <v>https://www.fabsurplus.com/sdi_catalog/salesItemDetails.do?id=81866</v>
      </c>
      <c r="B1466" s="2" t="s">
        <v>4039</v>
      </c>
      <c r="C1466" s="2" t="s">
        <v>3905</v>
      </c>
      <c r="D1466" s="2" t="s">
        <v>4040</v>
      </c>
      <c r="E1466" s="2" t="s">
        <v>4041</v>
      </c>
      <c r="F1466" s="2" t="s">
        <v>16</v>
      </c>
      <c r="G1466" s="2" t="s">
        <v>26</v>
      </c>
      <c r="H1466" s="2" t="s">
        <v>27</v>
      </c>
      <c r="I1466" s="7" t="n">
        <v>39114</v>
      </c>
      <c r="J1466" s="2" t="s">
        <v>19</v>
      </c>
      <c r="K1466" s="2" t="s">
        <v>20</v>
      </c>
      <c r="L1466" s="6" t="s">
        <v>4042</v>
      </c>
    </row>
    <row r="1467" customFormat="false" ht="11.9" hidden="false" customHeight="true" outlineLevel="0" collapsed="false">
      <c r="A1467" s="2" t="str">
        <f aca="false">HYPERLINK("https://www.fabsurplus.com/sdi_catalog/salesItemDetails.do?id=80313")</f>
        <v>https://www.fabsurplus.com/sdi_catalog/salesItemDetails.do?id=80313</v>
      </c>
      <c r="B1467" s="2" t="s">
        <v>4043</v>
      </c>
      <c r="C1467" s="2" t="s">
        <v>3905</v>
      </c>
      <c r="D1467" s="2" t="s">
        <v>4044</v>
      </c>
      <c r="E1467" s="2" t="s">
        <v>4018</v>
      </c>
      <c r="F1467" s="2" t="s">
        <v>16</v>
      </c>
      <c r="G1467" s="2"/>
      <c r="H1467" s="2"/>
      <c r="I1467" s="7" t="n">
        <v>36161</v>
      </c>
      <c r="J1467" s="2" t="s">
        <v>19</v>
      </c>
      <c r="K1467" s="2"/>
      <c r="L1467" s="2"/>
    </row>
    <row r="1468" customFormat="false" ht="11.9" hidden="false" customHeight="true" outlineLevel="0" collapsed="false">
      <c r="A1468" s="3" t="str">
        <f aca="false">HYPERLINK("https://www.fabsurplus.com/sdi_catalog/salesItemDetails.do?id=84281")</f>
        <v>https://www.fabsurplus.com/sdi_catalog/salesItemDetails.do?id=84281</v>
      </c>
      <c r="B1468" s="3" t="s">
        <v>4045</v>
      </c>
      <c r="C1468" s="3" t="s">
        <v>3905</v>
      </c>
      <c r="D1468" s="3" t="s">
        <v>4046</v>
      </c>
      <c r="E1468" s="3" t="s">
        <v>4047</v>
      </c>
      <c r="F1468" s="3" t="s">
        <v>16</v>
      </c>
      <c r="G1468" s="3"/>
      <c r="H1468" s="3" t="s">
        <v>27</v>
      </c>
      <c r="I1468" s="4" t="n">
        <v>36161</v>
      </c>
      <c r="J1468" s="3" t="s">
        <v>19</v>
      </c>
      <c r="K1468" s="3" t="s">
        <v>20</v>
      </c>
      <c r="L1468" s="5" t="s">
        <v>4048</v>
      </c>
    </row>
    <row r="1469" customFormat="false" ht="11.9" hidden="false" customHeight="true" outlineLevel="0" collapsed="false">
      <c r="A1469" s="2" t="str">
        <f aca="false">HYPERLINK("https://www.fabsurplus.com/sdi_catalog/salesItemDetails.do?id=106940")</f>
        <v>https://www.fabsurplus.com/sdi_catalog/salesItemDetails.do?id=106940</v>
      </c>
      <c r="B1469" s="2" t="s">
        <v>4049</v>
      </c>
      <c r="C1469" s="2" t="s">
        <v>3905</v>
      </c>
      <c r="D1469" s="2" t="s">
        <v>4046</v>
      </c>
      <c r="E1469" s="2" t="s">
        <v>4050</v>
      </c>
      <c r="F1469" s="2" t="s">
        <v>16</v>
      </c>
      <c r="G1469" s="2" t="s">
        <v>26</v>
      </c>
      <c r="H1469" s="2" t="s">
        <v>27</v>
      </c>
      <c r="I1469" s="7" t="n">
        <v>36342</v>
      </c>
      <c r="J1469" s="2" t="s">
        <v>19</v>
      </c>
      <c r="K1469" s="2" t="s">
        <v>20</v>
      </c>
      <c r="L1469" s="6" t="s">
        <v>4051</v>
      </c>
    </row>
    <row r="1470" customFormat="false" ht="11.9" hidden="false" customHeight="true" outlineLevel="0" collapsed="false">
      <c r="A1470" s="3" t="str">
        <f aca="false">HYPERLINK("https://www.fabsurplus.com/sdi_catalog/salesItemDetails.do?id=80314")</f>
        <v>https://www.fabsurplus.com/sdi_catalog/salesItemDetails.do?id=80314</v>
      </c>
      <c r="B1470" s="3" t="s">
        <v>4052</v>
      </c>
      <c r="C1470" s="3" t="s">
        <v>3905</v>
      </c>
      <c r="D1470" s="3" t="s">
        <v>4053</v>
      </c>
      <c r="E1470" s="3" t="s">
        <v>4054</v>
      </c>
      <c r="F1470" s="3" t="s">
        <v>101</v>
      </c>
      <c r="G1470" s="3" t="s">
        <v>26</v>
      </c>
      <c r="H1470" s="3" t="s">
        <v>27</v>
      </c>
      <c r="I1470" s="4" t="n">
        <v>36161</v>
      </c>
      <c r="J1470" s="3" t="s">
        <v>19</v>
      </c>
      <c r="K1470" s="3" t="s">
        <v>20</v>
      </c>
      <c r="L1470" s="5" t="s">
        <v>4055</v>
      </c>
    </row>
    <row r="1471" customFormat="false" ht="11.9" hidden="false" customHeight="true" outlineLevel="0" collapsed="false">
      <c r="A1471" s="3" t="str">
        <f aca="false">HYPERLINK("https://www.fabsurplus.com/sdi_catalog/salesItemDetails.do?id=80211")</f>
        <v>https://www.fabsurplus.com/sdi_catalog/salesItemDetails.do?id=80211</v>
      </c>
      <c r="B1471" s="3" t="s">
        <v>4056</v>
      </c>
      <c r="C1471" s="3" t="s">
        <v>3905</v>
      </c>
      <c r="D1471" s="3" t="s">
        <v>4057</v>
      </c>
      <c r="E1471" s="3" t="s">
        <v>4058</v>
      </c>
      <c r="F1471" s="3" t="s">
        <v>77</v>
      </c>
      <c r="G1471" s="3" t="s">
        <v>26</v>
      </c>
      <c r="H1471" s="3" t="s">
        <v>35</v>
      </c>
      <c r="I1471" s="4" t="n">
        <v>36161</v>
      </c>
      <c r="J1471" s="3" t="s">
        <v>19</v>
      </c>
      <c r="K1471" s="3" t="s">
        <v>20</v>
      </c>
      <c r="L1471" s="5" t="s">
        <v>4059</v>
      </c>
    </row>
    <row r="1472" customFormat="false" ht="11.9" hidden="false" customHeight="true" outlineLevel="0" collapsed="false">
      <c r="A1472" s="2" t="str">
        <f aca="false">HYPERLINK("https://www.fabsurplus.com/sdi_catalog/salesItemDetails.do?id=78638")</f>
        <v>https://www.fabsurplus.com/sdi_catalog/salesItemDetails.do?id=78638</v>
      </c>
      <c r="B1472" s="2" t="s">
        <v>4060</v>
      </c>
      <c r="C1472" s="2" t="s">
        <v>3905</v>
      </c>
      <c r="D1472" s="2" t="s">
        <v>4057</v>
      </c>
      <c r="E1472" s="2" t="s">
        <v>4061</v>
      </c>
      <c r="F1472" s="2" t="s">
        <v>16</v>
      </c>
      <c r="G1472" s="2" t="s">
        <v>857</v>
      </c>
      <c r="H1472" s="2" t="s">
        <v>299</v>
      </c>
      <c r="I1472" s="2"/>
      <c r="J1472" s="2" t="s">
        <v>19</v>
      </c>
      <c r="K1472" s="2" t="s">
        <v>20</v>
      </c>
      <c r="L1472" s="6" t="s">
        <v>4062</v>
      </c>
    </row>
    <row r="1473" customFormat="false" ht="11.9" hidden="false" customHeight="true" outlineLevel="0" collapsed="false">
      <c r="A1473" s="2" t="str">
        <f aca="false">HYPERLINK("https://www.fabsurplus.com/sdi_catalog/salesItemDetails.do?id=106928")</f>
        <v>https://www.fabsurplus.com/sdi_catalog/salesItemDetails.do?id=106928</v>
      </c>
      <c r="B1473" s="2" t="s">
        <v>4063</v>
      </c>
      <c r="C1473" s="2" t="s">
        <v>4064</v>
      </c>
      <c r="D1473" s="2" t="s">
        <v>4065</v>
      </c>
      <c r="E1473" s="2" t="s">
        <v>4066</v>
      </c>
      <c r="F1473" s="2" t="s">
        <v>77</v>
      </c>
      <c r="G1473" s="2" t="s">
        <v>26</v>
      </c>
      <c r="H1473" s="2" t="s">
        <v>27</v>
      </c>
      <c r="I1473" s="7" t="n">
        <v>36161</v>
      </c>
      <c r="J1473" s="2" t="s">
        <v>19</v>
      </c>
      <c r="K1473" s="2" t="s">
        <v>20</v>
      </c>
      <c r="L1473" s="6" t="s">
        <v>4067</v>
      </c>
    </row>
    <row r="1474" customFormat="false" ht="11.9" hidden="false" customHeight="true" outlineLevel="0" collapsed="false">
      <c r="A1474" s="2" t="str">
        <f aca="false">HYPERLINK("https://www.fabsurplus.com/sdi_catalog/salesItemDetails.do?id=69855")</f>
        <v>https://www.fabsurplus.com/sdi_catalog/salesItemDetails.do?id=69855</v>
      </c>
      <c r="B1474" s="2" t="s">
        <v>4068</v>
      </c>
      <c r="C1474" s="2" t="s">
        <v>4069</v>
      </c>
      <c r="D1474" s="2" t="s">
        <v>4070</v>
      </c>
      <c r="E1474" s="2" t="s">
        <v>4071</v>
      </c>
      <c r="F1474" s="2" t="s">
        <v>16</v>
      </c>
      <c r="G1474" s="2" t="s">
        <v>4072</v>
      </c>
      <c r="H1474" s="2" t="s">
        <v>27</v>
      </c>
      <c r="I1474" s="7" t="n">
        <v>35551</v>
      </c>
      <c r="J1474" s="2" t="s">
        <v>19</v>
      </c>
      <c r="K1474" s="2" t="s">
        <v>20</v>
      </c>
      <c r="L1474" s="6" t="s">
        <v>4073</v>
      </c>
    </row>
    <row r="1475" customFormat="false" ht="11.9" hidden="false" customHeight="true" outlineLevel="0" collapsed="false">
      <c r="A1475" s="3" t="str">
        <f aca="false">HYPERLINK("https://www.fabsurplus.com/sdi_catalog/salesItemDetails.do?id=54562")</f>
        <v>https://www.fabsurplus.com/sdi_catalog/salesItemDetails.do?id=54562</v>
      </c>
      <c r="B1475" s="3" t="s">
        <v>4074</v>
      </c>
      <c r="C1475" s="3" t="s">
        <v>4075</v>
      </c>
      <c r="D1475" s="3" t="s">
        <v>4076</v>
      </c>
      <c r="E1475" s="3" t="s">
        <v>4071</v>
      </c>
      <c r="F1475" s="3" t="s">
        <v>77</v>
      </c>
      <c r="G1475" s="3" t="s">
        <v>4077</v>
      </c>
      <c r="H1475" s="3" t="s">
        <v>27</v>
      </c>
      <c r="I1475" s="4" t="n">
        <v>35551</v>
      </c>
      <c r="J1475" s="3" t="s">
        <v>19</v>
      </c>
      <c r="K1475" s="3" t="s">
        <v>20</v>
      </c>
      <c r="L1475" s="3" t="s">
        <v>4078</v>
      </c>
    </row>
    <row r="1476" customFormat="false" ht="11.9" hidden="false" customHeight="true" outlineLevel="0" collapsed="false">
      <c r="A1476" s="3" t="str">
        <f aca="false">HYPERLINK("https://www.fabsurplus.com/sdi_catalog/salesItemDetails.do?id=115383")</f>
        <v>https://www.fabsurplus.com/sdi_catalog/salesItemDetails.do?id=115383</v>
      </c>
      <c r="B1476" s="3" t="s">
        <v>4079</v>
      </c>
      <c r="C1476" s="3" t="s">
        <v>4080</v>
      </c>
      <c r="D1476" s="3" t="s">
        <v>4081</v>
      </c>
      <c r="E1476" s="3" t="s">
        <v>4082</v>
      </c>
      <c r="F1476" s="3" t="s">
        <v>77</v>
      </c>
      <c r="G1476" s="3" t="s">
        <v>26</v>
      </c>
      <c r="H1476" s="3"/>
      <c r="I1476" s="3"/>
      <c r="J1476" s="3" t="s">
        <v>19</v>
      </c>
      <c r="K1476" s="3"/>
      <c r="L1476" s="3" t="s">
        <v>63</v>
      </c>
    </row>
    <row r="1477" customFormat="false" ht="11.9" hidden="false" customHeight="true" outlineLevel="0" collapsed="false">
      <c r="A1477" s="3" t="str">
        <f aca="false">HYPERLINK("https://www.fabsurplus.com/sdi_catalog/salesItemDetails.do?id=83892")</f>
        <v>https://www.fabsurplus.com/sdi_catalog/salesItemDetails.do?id=83892</v>
      </c>
      <c r="B1477" s="3" t="s">
        <v>4083</v>
      </c>
      <c r="C1477" s="3" t="s">
        <v>4084</v>
      </c>
      <c r="D1477" s="3" t="s">
        <v>4085</v>
      </c>
      <c r="E1477" s="3" t="s">
        <v>4086</v>
      </c>
      <c r="F1477" s="3" t="s">
        <v>69</v>
      </c>
      <c r="G1477" s="3"/>
      <c r="H1477" s="3" t="s">
        <v>18</v>
      </c>
      <c r="I1477" s="3"/>
      <c r="J1477" s="3" t="s">
        <v>19</v>
      </c>
      <c r="K1477" s="3" t="s">
        <v>20</v>
      </c>
      <c r="L1477" s="5" t="s">
        <v>4087</v>
      </c>
    </row>
    <row r="1478" customFormat="false" ht="11.9" hidden="false" customHeight="true" outlineLevel="0" collapsed="false">
      <c r="A1478" s="3" t="str">
        <f aca="false">HYPERLINK("https://www.fabsurplus.com/sdi_catalog/salesItemDetails.do?id=106018")</f>
        <v>https://www.fabsurplus.com/sdi_catalog/salesItemDetails.do?id=106018</v>
      </c>
      <c r="B1478" s="3" t="s">
        <v>4088</v>
      </c>
      <c r="C1478" s="3" t="s">
        <v>4089</v>
      </c>
      <c r="D1478" s="3" t="s">
        <v>4090</v>
      </c>
      <c r="E1478" s="3" t="s">
        <v>4091</v>
      </c>
      <c r="F1478" s="3" t="s">
        <v>16</v>
      </c>
      <c r="G1478" s="3" t="s">
        <v>26</v>
      </c>
      <c r="H1478" s="3" t="s">
        <v>27</v>
      </c>
      <c r="I1478" s="4" t="n">
        <v>35246.9166666667</v>
      </c>
      <c r="J1478" s="3" t="s">
        <v>19</v>
      </c>
      <c r="K1478" s="3" t="s">
        <v>20</v>
      </c>
      <c r="L1478" s="5" t="s">
        <v>4092</v>
      </c>
    </row>
    <row r="1479" customFormat="false" ht="11.9" hidden="false" customHeight="true" outlineLevel="0" collapsed="false">
      <c r="A1479" s="2" t="str">
        <f aca="false">HYPERLINK("https://www.fabsurplus.com/sdi_catalog/salesItemDetails.do?id=52159")</f>
        <v>https://www.fabsurplus.com/sdi_catalog/salesItemDetails.do?id=52159</v>
      </c>
      <c r="B1479" s="2" t="s">
        <v>4093</v>
      </c>
      <c r="C1479" s="2" t="s">
        <v>4089</v>
      </c>
      <c r="D1479" s="2" t="s">
        <v>4094</v>
      </c>
      <c r="E1479" s="2" t="s">
        <v>4095</v>
      </c>
      <c r="F1479" s="2" t="s">
        <v>16</v>
      </c>
      <c r="G1479" s="2" t="s">
        <v>41</v>
      </c>
      <c r="H1479" s="2" t="s">
        <v>27</v>
      </c>
      <c r="I1479" s="7" t="n">
        <v>35947</v>
      </c>
      <c r="J1479" s="2" t="s">
        <v>19</v>
      </c>
      <c r="K1479" s="2" t="s">
        <v>20</v>
      </c>
      <c r="L1479" s="6" t="s">
        <v>4096</v>
      </c>
    </row>
    <row r="1480" customFormat="false" ht="11.9" hidden="false" customHeight="true" outlineLevel="0" collapsed="false">
      <c r="A1480" s="2" t="str">
        <f aca="false">HYPERLINK("https://www.fabsurplus.com/sdi_catalog/salesItemDetails.do?id=69789")</f>
        <v>https://www.fabsurplus.com/sdi_catalog/salesItemDetails.do?id=69789</v>
      </c>
      <c r="B1480" s="2" t="s">
        <v>4097</v>
      </c>
      <c r="C1480" s="2" t="s">
        <v>4098</v>
      </c>
      <c r="D1480" s="2" t="s">
        <v>4099</v>
      </c>
      <c r="E1480" s="2" t="s">
        <v>4100</v>
      </c>
      <c r="F1480" s="2" t="s">
        <v>16</v>
      </c>
      <c r="G1480" s="2" t="s">
        <v>26</v>
      </c>
      <c r="H1480" s="2" t="s">
        <v>27</v>
      </c>
      <c r="I1480" s="2"/>
      <c r="J1480" s="2" t="s">
        <v>19</v>
      </c>
      <c r="K1480" s="2" t="s">
        <v>20</v>
      </c>
      <c r="L1480" s="6" t="s">
        <v>4101</v>
      </c>
    </row>
    <row r="1481" customFormat="false" ht="11.9" hidden="false" customHeight="true" outlineLevel="0" collapsed="false">
      <c r="A1481" s="3" t="str">
        <f aca="false">HYPERLINK("https://www.fabsurplus.com/sdi_catalog/salesItemDetails.do?id=115385")</f>
        <v>https://www.fabsurplus.com/sdi_catalog/salesItemDetails.do?id=115385</v>
      </c>
      <c r="B1481" s="3" t="s">
        <v>4102</v>
      </c>
      <c r="C1481" s="3" t="s">
        <v>4103</v>
      </c>
      <c r="D1481" s="3" t="s">
        <v>4104</v>
      </c>
      <c r="E1481" s="3" t="s">
        <v>4105</v>
      </c>
      <c r="F1481" s="3" t="s">
        <v>235</v>
      </c>
      <c r="G1481" s="3" t="s">
        <v>26</v>
      </c>
      <c r="H1481" s="3"/>
      <c r="I1481" s="3"/>
      <c r="J1481" s="3" t="s">
        <v>19</v>
      </c>
      <c r="K1481" s="3"/>
      <c r="L1481" s="3" t="s">
        <v>63</v>
      </c>
    </row>
    <row r="1482" customFormat="false" ht="11.9" hidden="false" customHeight="true" outlineLevel="0" collapsed="false">
      <c r="A1482" s="2" t="str">
        <f aca="false">HYPERLINK("https://www.fabsurplus.com/sdi_catalog/salesItemDetails.do?id=115384")</f>
        <v>https://www.fabsurplus.com/sdi_catalog/salesItemDetails.do?id=115384</v>
      </c>
      <c r="B1482" s="2" t="s">
        <v>4106</v>
      </c>
      <c r="C1482" s="2" t="s">
        <v>4103</v>
      </c>
      <c r="D1482" s="2" t="s">
        <v>4104</v>
      </c>
      <c r="E1482" s="2" t="s">
        <v>4105</v>
      </c>
      <c r="F1482" s="2" t="s">
        <v>262</v>
      </c>
      <c r="G1482" s="2" t="s">
        <v>26</v>
      </c>
      <c r="H1482" s="2"/>
      <c r="I1482" s="2"/>
      <c r="J1482" s="2" t="s">
        <v>19</v>
      </c>
      <c r="K1482" s="2"/>
      <c r="L1482" s="2" t="s">
        <v>63</v>
      </c>
    </row>
    <row r="1483" customFormat="false" ht="11.9" hidden="false" customHeight="true" outlineLevel="0" collapsed="false">
      <c r="A1483" s="3" t="str">
        <f aca="false">HYPERLINK("https://www.fabsurplus.com/sdi_catalog/salesItemDetails.do?id=110039")</f>
        <v>https://www.fabsurplus.com/sdi_catalog/salesItemDetails.do?id=110039</v>
      </c>
      <c r="B1483" s="3" t="s">
        <v>4107</v>
      </c>
      <c r="C1483" s="3" t="s">
        <v>4108</v>
      </c>
      <c r="D1483" s="3" t="s">
        <v>4109</v>
      </c>
      <c r="E1483" s="3" t="s">
        <v>133</v>
      </c>
      <c r="F1483" s="3" t="s">
        <v>16</v>
      </c>
      <c r="G1483" s="3" t="s">
        <v>41</v>
      </c>
      <c r="H1483" s="3" t="s">
        <v>35</v>
      </c>
      <c r="I1483" s="3"/>
      <c r="J1483" s="3" t="s">
        <v>19</v>
      </c>
      <c r="K1483" s="3" t="s">
        <v>20</v>
      </c>
      <c r="L1483" s="3" t="s">
        <v>4110</v>
      </c>
    </row>
    <row r="1484" customFormat="false" ht="11.9" hidden="false" customHeight="true" outlineLevel="0" collapsed="false">
      <c r="A1484" s="2" t="str">
        <f aca="false">HYPERLINK("https://www.fabsurplus.com/sdi_catalog/salesItemDetails.do?id=110038")</f>
        <v>https://www.fabsurplus.com/sdi_catalog/salesItemDetails.do?id=110038</v>
      </c>
      <c r="B1484" s="2" t="s">
        <v>4111</v>
      </c>
      <c r="C1484" s="2" t="s">
        <v>4108</v>
      </c>
      <c r="D1484" s="2" t="s">
        <v>4109</v>
      </c>
      <c r="E1484" s="2" t="s">
        <v>133</v>
      </c>
      <c r="F1484" s="2" t="s">
        <v>16</v>
      </c>
      <c r="G1484" s="2" t="s">
        <v>41</v>
      </c>
      <c r="H1484" s="2" t="s">
        <v>35</v>
      </c>
      <c r="I1484" s="2"/>
      <c r="J1484" s="2" t="s">
        <v>19</v>
      </c>
      <c r="K1484" s="2" t="s">
        <v>20</v>
      </c>
      <c r="L1484" s="2" t="s">
        <v>4112</v>
      </c>
    </row>
    <row r="1485" customFormat="false" ht="11.9" hidden="false" customHeight="true" outlineLevel="0" collapsed="false">
      <c r="A1485" s="2" t="str">
        <f aca="false">HYPERLINK("https://www.fabsurplus.com/sdi_catalog/salesItemDetails.do?id=110040")</f>
        <v>https://www.fabsurplus.com/sdi_catalog/salesItemDetails.do?id=110040</v>
      </c>
      <c r="B1485" s="2" t="s">
        <v>4113</v>
      </c>
      <c r="C1485" s="2" t="s">
        <v>4108</v>
      </c>
      <c r="D1485" s="2" t="s">
        <v>420</v>
      </c>
      <c r="E1485" s="2" t="s">
        <v>133</v>
      </c>
      <c r="F1485" s="2" t="s">
        <v>16</v>
      </c>
      <c r="G1485" s="2" t="s">
        <v>41</v>
      </c>
      <c r="H1485" s="2"/>
      <c r="I1485" s="2"/>
      <c r="J1485" s="2" t="s">
        <v>42</v>
      </c>
      <c r="K1485" s="2"/>
      <c r="L1485" s="2" t="s">
        <v>4114</v>
      </c>
    </row>
    <row r="1486" customFormat="false" ht="11.9" hidden="false" customHeight="true" outlineLevel="0" collapsed="false">
      <c r="A1486" s="3" t="str">
        <f aca="false">HYPERLINK("https://www.fabsurplus.com/sdi_catalog/salesItemDetails.do?id=110041")</f>
        <v>https://www.fabsurplus.com/sdi_catalog/salesItemDetails.do?id=110041</v>
      </c>
      <c r="B1486" s="3" t="s">
        <v>4115</v>
      </c>
      <c r="C1486" s="3" t="s">
        <v>4108</v>
      </c>
      <c r="D1486" s="3" t="s">
        <v>4116</v>
      </c>
      <c r="E1486" s="3" t="s">
        <v>133</v>
      </c>
      <c r="F1486" s="3" t="s">
        <v>16</v>
      </c>
      <c r="G1486" s="3" t="s">
        <v>41</v>
      </c>
      <c r="H1486" s="3"/>
      <c r="I1486" s="3"/>
      <c r="J1486" s="3" t="s">
        <v>42</v>
      </c>
      <c r="K1486" s="3"/>
      <c r="L1486" s="3" t="s">
        <v>4117</v>
      </c>
    </row>
    <row r="1487" customFormat="false" ht="11.9" hidden="false" customHeight="true" outlineLevel="0" collapsed="false">
      <c r="A1487" s="3" t="str">
        <f aca="false">HYPERLINK("https://www.fabsurplus.com/sdi_catalog/salesItemDetails.do?id=110043")</f>
        <v>https://www.fabsurplus.com/sdi_catalog/salesItemDetails.do?id=110043</v>
      </c>
      <c r="B1487" s="3" t="s">
        <v>4118</v>
      </c>
      <c r="C1487" s="3" t="s">
        <v>4103</v>
      </c>
      <c r="D1487" s="3" t="s">
        <v>4119</v>
      </c>
      <c r="E1487" s="3" t="s">
        <v>133</v>
      </c>
      <c r="F1487" s="3" t="s">
        <v>16</v>
      </c>
      <c r="G1487" s="3" t="s">
        <v>41</v>
      </c>
      <c r="H1487" s="3"/>
      <c r="I1487" s="3"/>
      <c r="J1487" s="3" t="s">
        <v>42</v>
      </c>
      <c r="K1487" s="3"/>
      <c r="L1487" s="3" t="s">
        <v>4120</v>
      </c>
    </row>
    <row r="1488" customFormat="false" ht="11.9" hidden="false" customHeight="true" outlineLevel="0" collapsed="false">
      <c r="A1488" s="3" t="str">
        <f aca="false">HYPERLINK("https://www.fabsurplus.com/sdi_catalog/salesItemDetails.do?id=110045")</f>
        <v>https://www.fabsurplus.com/sdi_catalog/salesItemDetails.do?id=110045</v>
      </c>
      <c r="B1488" s="3" t="s">
        <v>4121</v>
      </c>
      <c r="C1488" s="3" t="s">
        <v>4103</v>
      </c>
      <c r="D1488" s="3" t="s">
        <v>4122</v>
      </c>
      <c r="E1488" s="3" t="s">
        <v>40</v>
      </c>
      <c r="F1488" s="3" t="s">
        <v>16</v>
      </c>
      <c r="G1488" s="3" t="s">
        <v>41</v>
      </c>
      <c r="H1488" s="3"/>
      <c r="I1488" s="3"/>
      <c r="J1488" s="3" t="s">
        <v>42</v>
      </c>
      <c r="K1488" s="3"/>
      <c r="L1488" s="3" t="s">
        <v>4123</v>
      </c>
    </row>
    <row r="1489" customFormat="false" ht="11.9" hidden="false" customHeight="true" outlineLevel="0" collapsed="false">
      <c r="A1489" s="2" t="str">
        <f aca="false">HYPERLINK("https://www.fabsurplus.com/sdi_catalog/salesItemDetails.do?id=110042")</f>
        <v>https://www.fabsurplus.com/sdi_catalog/salesItemDetails.do?id=110042</v>
      </c>
      <c r="B1489" s="2" t="s">
        <v>4124</v>
      </c>
      <c r="C1489" s="2" t="s">
        <v>4125</v>
      </c>
      <c r="D1489" s="2" t="s">
        <v>4126</v>
      </c>
      <c r="E1489" s="2" t="s">
        <v>47</v>
      </c>
      <c r="F1489" s="2" t="s">
        <v>16</v>
      </c>
      <c r="G1489" s="2" t="s">
        <v>41</v>
      </c>
      <c r="H1489" s="2"/>
      <c r="I1489" s="2"/>
      <c r="J1489" s="2" t="s">
        <v>42</v>
      </c>
      <c r="K1489" s="2"/>
      <c r="L1489" s="2" t="s">
        <v>4127</v>
      </c>
    </row>
    <row r="1490" customFormat="false" ht="11.9" hidden="false" customHeight="true" outlineLevel="0" collapsed="false">
      <c r="A1490" s="2" t="str">
        <f aca="false">HYPERLINK("https://www.fabsurplus.com/sdi_catalog/salesItemDetails.do?id=110044")</f>
        <v>https://www.fabsurplus.com/sdi_catalog/salesItemDetails.do?id=110044</v>
      </c>
      <c r="B1490" s="2" t="s">
        <v>4128</v>
      </c>
      <c r="C1490" s="2" t="s">
        <v>4125</v>
      </c>
      <c r="D1490" s="2" t="s">
        <v>4129</v>
      </c>
      <c r="E1490" s="2" t="s">
        <v>47</v>
      </c>
      <c r="F1490" s="2" t="s">
        <v>16</v>
      </c>
      <c r="G1490" s="2" t="s">
        <v>41</v>
      </c>
      <c r="H1490" s="2"/>
      <c r="I1490" s="2"/>
      <c r="J1490" s="2" t="s">
        <v>42</v>
      </c>
      <c r="K1490" s="2"/>
      <c r="L1490" s="2" t="s">
        <v>4130</v>
      </c>
    </row>
    <row r="1491" customFormat="false" ht="11.9" hidden="false" customHeight="true" outlineLevel="0" collapsed="false">
      <c r="A1491" s="3" t="str">
        <f aca="false">HYPERLINK("https://www.fabsurplus.com/sdi_catalog/salesItemDetails.do?id=84375")</f>
        <v>https://www.fabsurplus.com/sdi_catalog/salesItemDetails.do?id=84375</v>
      </c>
      <c r="B1491" s="3" t="s">
        <v>4131</v>
      </c>
      <c r="C1491" s="3" t="s">
        <v>4132</v>
      </c>
      <c r="D1491" s="3" t="s">
        <v>4133</v>
      </c>
      <c r="E1491" s="3" t="s">
        <v>4134</v>
      </c>
      <c r="F1491" s="3" t="s">
        <v>16</v>
      </c>
      <c r="G1491" s="3" t="s">
        <v>4135</v>
      </c>
      <c r="H1491" s="3" t="s">
        <v>27</v>
      </c>
      <c r="I1491" s="4" t="n">
        <v>36250.9166666667</v>
      </c>
      <c r="J1491" s="3" t="s">
        <v>19</v>
      </c>
      <c r="K1491" s="3" t="s">
        <v>20</v>
      </c>
      <c r="L1491" s="5" t="s">
        <v>4136</v>
      </c>
    </row>
    <row r="1492" customFormat="false" ht="11.9" hidden="false" customHeight="true" outlineLevel="0" collapsed="false">
      <c r="A1492" s="2" t="str">
        <f aca="false">HYPERLINK("https://www.fabsurplus.com/sdi_catalog/salesItemDetails.do?id=77204")</f>
        <v>https://www.fabsurplus.com/sdi_catalog/salesItemDetails.do?id=77204</v>
      </c>
      <c r="B1492" s="2" t="s">
        <v>4137</v>
      </c>
      <c r="C1492" s="2" t="s">
        <v>4138</v>
      </c>
      <c r="D1492" s="2" t="s">
        <v>4139</v>
      </c>
      <c r="E1492" s="2" t="s">
        <v>4140</v>
      </c>
      <c r="F1492" s="2" t="s">
        <v>16</v>
      </c>
      <c r="G1492" s="2"/>
      <c r="H1492" s="2" t="s">
        <v>944</v>
      </c>
      <c r="I1492" s="7" t="n">
        <v>39814</v>
      </c>
      <c r="J1492" s="2" t="s">
        <v>19</v>
      </c>
      <c r="K1492" s="2" t="s">
        <v>20</v>
      </c>
      <c r="L1492" s="6" t="s">
        <v>4141</v>
      </c>
    </row>
    <row r="1493" customFormat="false" ht="11.9" hidden="false" customHeight="true" outlineLevel="0" collapsed="false">
      <c r="A1493" s="3" t="str">
        <f aca="false">HYPERLINK("https://www.fabsurplus.com/sdi_catalog/salesItemDetails.do?id=83627")</f>
        <v>https://www.fabsurplus.com/sdi_catalog/salesItemDetails.do?id=83627</v>
      </c>
      <c r="B1493" s="3" t="s">
        <v>4142</v>
      </c>
      <c r="C1493" s="3" t="s">
        <v>4143</v>
      </c>
      <c r="D1493" s="3" t="s">
        <v>4144</v>
      </c>
      <c r="E1493" s="3" t="s">
        <v>4145</v>
      </c>
      <c r="F1493" s="3" t="s">
        <v>77</v>
      </c>
      <c r="G1493" s="3"/>
      <c r="H1493" s="3" t="s">
        <v>18</v>
      </c>
      <c r="I1493" s="3"/>
      <c r="J1493" s="3" t="s">
        <v>19</v>
      </c>
      <c r="K1493" s="3" t="s">
        <v>20</v>
      </c>
      <c r="L1493" s="5" t="s">
        <v>4146</v>
      </c>
    </row>
    <row r="1494" customFormat="false" ht="11.9" hidden="false" customHeight="true" outlineLevel="0" collapsed="false">
      <c r="A1494" s="3" t="str">
        <f aca="false">HYPERLINK("https://www.fabsurplus.com/sdi_catalog/salesItemDetails.do?id=77187")</f>
        <v>https://www.fabsurplus.com/sdi_catalog/salesItemDetails.do?id=77187</v>
      </c>
      <c r="B1494" s="3" t="s">
        <v>4147</v>
      </c>
      <c r="C1494" s="3" t="s">
        <v>4148</v>
      </c>
      <c r="D1494" s="3" t="s">
        <v>4149</v>
      </c>
      <c r="E1494" s="3" t="s">
        <v>4150</v>
      </c>
      <c r="F1494" s="3" t="s">
        <v>16</v>
      </c>
      <c r="G1494" s="3" t="s">
        <v>26</v>
      </c>
      <c r="H1494" s="3" t="s">
        <v>1691</v>
      </c>
      <c r="I1494" s="3"/>
      <c r="J1494" s="3" t="s">
        <v>19</v>
      </c>
      <c r="K1494" s="3" t="s">
        <v>20</v>
      </c>
      <c r="L1494" s="5" t="s">
        <v>4151</v>
      </c>
    </row>
    <row r="1495" customFormat="false" ht="11.9" hidden="false" customHeight="true" outlineLevel="0" collapsed="false">
      <c r="A1495" s="2" t="str">
        <f aca="false">HYPERLINK("https://www.fabsurplus.com/sdi_catalog/salesItemDetails.do?id=108995")</f>
        <v>https://www.fabsurplus.com/sdi_catalog/salesItemDetails.do?id=108995</v>
      </c>
      <c r="B1495" s="2" t="s">
        <v>4152</v>
      </c>
      <c r="C1495" s="2" t="s">
        <v>4148</v>
      </c>
      <c r="D1495" s="2" t="s">
        <v>4153</v>
      </c>
      <c r="E1495" s="2" t="s">
        <v>4154</v>
      </c>
      <c r="F1495" s="2" t="s">
        <v>16</v>
      </c>
      <c r="G1495" s="2" t="s">
        <v>17</v>
      </c>
      <c r="H1495" s="2" t="s">
        <v>1691</v>
      </c>
      <c r="I1495" s="2"/>
      <c r="J1495" s="2" t="s">
        <v>19</v>
      </c>
      <c r="K1495" s="2" t="s">
        <v>20</v>
      </c>
      <c r="L1495" s="6" t="s">
        <v>4155</v>
      </c>
    </row>
    <row r="1496" customFormat="false" ht="11.9" hidden="false" customHeight="true" outlineLevel="0" collapsed="false">
      <c r="A1496" s="2" t="str">
        <f aca="false">HYPERLINK("https://www.fabsurplus.com/sdi_catalog/salesItemDetails.do?id=77186")</f>
        <v>https://www.fabsurplus.com/sdi_catalog/salesItemDetails.do?id=77186</v>
      </c>
      <c r="B1496" s="2" t="s">
        <v>4156</v>
      </c>
      <c r="C1496" s="2" t="s">
        <v>4148</v>
      </c>
      <c r="D1496" s="2" t="s">
        <v>4157</v>
      </c>
      <c r="E1496" s="2" t="s">
        <v>4158</v>
      </c>
      <c r="F1496" s="2" t="s">
        <v>16</v>
      </c>
      <c r="G1496" s="2" t="s">
        <v>17</v>
      </c>
      <c r="H1496" s="2" t="s">
        <v>944</v>
      </c>
      <c r="I1496" s="2"/>
      <c r="J1496" s="2" t="s">
        <v>19</v>
      </c>
      <c r="K1496" s="2" t="s">
        <v>20</v>
      </c>
      <c r="L1496" s="2" t="s">
        <v>4159</v>
      </c>
    </row>
    <row r="1497" customFormat="false" ht="11.9" hidden="false" customHeight="true" outlineLevel="0" collapsed="false">
      <c r="A1497" s="3" t="str">
        <f aca="false">HYPERLINK("https://www.fabsurplus.com/sdi_catalog/salesItemDetails.do?id=81837")</f>
        <v>https://www.fabsurplus.com/sdi_catalog/salesItemDetails.do?id=81837</v>
      </c>
      <c r="B1497" s="3" t="s">
        <v>4160</v>
      </c>
      <c r="C1497" s="3" t="s">
        <v>4161</v>
      </c>
      <c r="D1497" s="3" t="s">
        <v>4162</v>
      </c>
      <c r="E1497" s="3" t="s">
        <v>4163</v>
      </c>
      <c r="F1497" s="3" t="s">
        <v>16</v>
      </c>
      <c r="G1497" s="3" t="s">
        <v>26</v>
      </c>
      <c r="H1497" s="3" t="s">
        <v>18</v>
      </c>
      <c r="I1497" s="3"/>
      <c r="J1497" s="3" t="s">
        <v>19</v>
      </c>
      <c r="K1497" s="3" t="s">
        <v>20</v>
      </c>
      <c r="L1497" s="5" t="s">
        <v>4164</v>
      </c>
    </row>
    <row r="1498" customFormat="false" ht="11.9" hidden="false" customHeight="true" outlineLevel="0" collapsed="false">
      <c r="A1498" s="2" t="str">
        <f aca="false">HYPERLINK("https://www.fabsurplus.com/sdi_catalog/salesItemDetails.do?id=76954")</f>
        <v>https://www.fabsurplus.com/sdi_catalog/salesItemDetails.do?id=76954</v>
      </c>
      <c r="B1498" s="2" t="s">
        <v>4165</v>
      </c>
      <c r="C1498" s="2" t="s">
        <v>4166</v>
      </c>
      <c r="D1498" s="2" t="s">
        <v>4167</v>
      </c>
      <c r="E1498" s="2" t="s">
        <v>4168</v>
      </c>
      <c r="F1498" s="2" t="s">
        <v>101</v>
      </c>
      <c r="G1498" s="2" t="s">
        <v>17</v>
      </c>
      <c r="H1498" s="2" t="s">
        <v>1691</v>
      </c>
      <c r="I1498" s="2"/>
      <c r="J1498" s="2" t="s">
        <v>19</v>
      </c>
      <c r="K1498" s="2" t="s">
        <v>20</v>
      </c>
      <c r="L1498" s="6" t="s">
        <v>4169</v>
      </c>
    </row>
    <row r="1499" customFormat="false" ht="11.9" hidden="false" customHeight="true" outlineLevel="0" collapsed="false">
      <c r="A1499" s="3" t="str">
        <f aca="false">HYPERLINK("https://www.fabsurplus.com/sdi_catalog/salesItemDetails.do?id=105871")</f>
        <v>https://www.fabsurplus.com/sdi_catalog/salesItemDetails.do?id=105871</v>
      </c>
      <c r="B1499" s="3" t="s">
        <v>4170</v>
      </c>
      <c r="C1499" s="3" t="s">
        <v>4171</v>
      </c>
      <c r="D1499" s="3" t="s">
        <v>4172</v>
      </c>
      <c r="E1499" s="3" t="s">
        <v>4173</v>
      </c>
      <c r="F1499" s="3" t="s">
        <v>16</v>
      </c>
      <c r="G1499" s="3" t="s">
        <v>17</v>
      </c>
      <c r="H1499" s="3" t="s">
        <v>1691</v>
      </c>
      <c r="I1499" s="3"/>
      <c r="J1499" s="3" t="s">
        <v>19</v>
      </c>
      <c r="K1499" s="3" t="s">
        <v>20</v>
      </c>
      <c r="L1499" s="3"/>
    </row>
    <row r="1500" customFormat="false" ht="11.9" hidden="false" customHeight="true" outlineLevel="0" collapsed="false">
      <c r="A1500" s="2" t="str">
        <f aca="false">HYPERLINK("https://www.fabsurplus.com/sdi_catalog/salesItemDetails.do?id=105872")</f>
        <v>https://www.fabsurplus.com/sdi_catalog/salesItemDetails.do?id=105872</v>
      </c>
      <c r="B1500" s="2" t="s">
        <v>4174</v>
      </c>
      <c r="C1500" s="2" t="s">
        <v>4171</v>
      </c>
      <c r="D1500" s="2" t="s">
        <v>4175</v>
      </c>
      <c r="E1500" s="2" t="s">
        <v>4176</v>
      </c>
      <c r="F1500" s="2" t="s">
        <v>16</v>
      </c>
      <c r="G1500" s="2" t="s">
        <v>17</v>
      </c>
      <c r="H1500" s="2" t="s">
        <v>1691</v>
      </c>
      <c r="I1500" s="2"/>
      <c r="J1500" s="2" t="s">
        <v>19</v>
      </c>
      <c r="K1500" s="2" t="s">
        <v>20</v>
      </c>
      <c r="L1500" s="2"/>
    </row>
    <row r="1501" customFormat="false" ht="11.9" hidden="false" customHeight="true" outlineLevel="0" collapsed="false">
      <c r="A1501" s="3" t="str">
        <f aca="false">HYPERLINK("https://www.fabsurplus.com/sdi_catalog/salesItemDetails.do?id=83876")</f>
        <v>https://www.fabsurplus.com/sdi_catalog/salesItemDetails.do?id=83876</v>
      </c>
      <c r="B1501" s="3" t="s">
        <v>4177</v>
      </c>
      <c r="C1501" s="3" t="s">
        <v>4178</v>
      </c>
      <c r="D1501" s="3" t="s">
        <v>4179</v>
      </c>
      <c r="E1501" s="3" t="s">
        <v>4180</v>
      </c>
      <c r="F1501" s="3" t="s">
        <v>77</v>
      </c>
      <c r="G1501" s="3"/>
      <c r="H1501" s="3" t="s">
        <v>18</v>
      </c>
      <c r="I1501" s="4" t="n">
        <v>39355.9166666667</v>
      </c>
      <c r="J1501" s="3" t="s">
        <v>19</v>
      </c>
      <c r="K1501" s="3" t="s">
        <v>20</v>
      </c>
      <c r="L1501" s="5" t="s">
        <v>4181</v>
      </c>
    </row>
    <row r="1502" customFormat="false" ht="11.9" hidden="false" customHeight="true" outlineLevel="0" collapsed="false">
      <c r="A1502" s="2" t="str">
        <f aca="false">HYPERLINK("https://www.fabsurplus.com/sdi_catalog/salesItemDetails.do?id=110049")</f>
        <v>https://www.fabsurplus.com/sdi_catalog/salesItemDetails.do?id=110049</v>
      </c>
      <c r="B1502" s="2" t="s">
        <v>4182</v>
      </c>
      <c r="C1502" s="2" t="s">
        <v>4183</v>
      </c>
      <c r="D1502" s="2" t="s">
        <v>4184</v>
      </c>
      <c r="E1502" s="2" t="s">
        <v>47</v>
      </c>
      <c r="F1502" s="2" t="s">
        <v>16</v>
      </c>
      <c r="G1502" s="2" t="s">
        <v>41</v>
      </c>
      <c r="H1502" s="2"/>
      <c r="I1502" s="2"/>
      <c r="J1502" s="2" t="s">
        <v>42</v>
      </c>
      <c r="K1502" s="2"/>
      <c r="L1502" s="2" t="s">
        <v>349</v>
      </c>
    </row>
    <row r="1503" customFormat="false" ht="11.9" hidden="false" customHeight="true" outlineLevel="0" collapsed="false">
      <c r="A1503" s="3" t="str">
        <f aca="false">HYPERLINK("https://www.fabsurplus.com/sdi_catalog/salesItemDetails.do?id=110056")</f>
        <v>https://www.fabsurplus.com/sdi_catalog/salesItemDetails.do?id=110056</v>
      </c>
      <c r="B1503" s="3" t="s">
        <v>4185</v>
      </c>
      <c r="C1503" s="3" t="s">
        <v>4183</v>
      </c>
      <c r="D1503" s="3" t="s">
        <v>393</v>
      </c>
      <c r="E1503" s="3" t="s">
        <v>47</v>
      </c>
      <c r="F1503" s="3" t="s">
        <v>16</v>
      </c>
      <c r="G1503" s="3" t="s">
        <v>41</v>
      </c>
      <c r="H1503" s="3"/>
      <c r="I1503" s="3"/>
      <c r="J1503" s="3" t="s">
        <v>42</v>
      </c>
      <c r="K1503" s="3"/>
      <c r="L1503" s="3" t="s">
        <v>349</v>
      </c>
    </row>
    <row r="1504" customFormat="false" ht="11.9" hidden="false" customHeight="true" outlineLevel="0" collapsed="false">
      <c r="A1504" s="2" t="str">
        <f aca="false">HYPERLINK("https://www.fabsurplus.com/sdi_catalog/salesItemDetails.do?id=110055")</f>
        <v>https://www.fabsurplus.com/sdi_catalog/salesItemDetails.do?id=110055</v>
      </c>
      <c r="B1504" s="2" t="s">
        <v>4186</v>
      </c>
      <c r="C1504" s="2" t="s">
        <v>4183</v>
      </c>
      <c r="D1504" s="2" t="s">
        <v>393</v>
      </c>
      <c r="E1504" s="2" t="s">
        <v>47</v>
      </c>
      <c r="F1504" s="2" t="s">
        <v>16</v>
      </c>
      <c r="G1504" s="2" t="s">
        <v>41</v>
      </c>
      <c r="H1504" s="2"/>
      <c r="I1504" s="2"/>
      <c r="J1504" s="2" t="s">
        <v>42</v>
      </c>
      <c r="K1504" s="2"/>
      <c r="L1504" s="2" t="s">
        <v>349</v>
      </c>
    </row>
    <row r="1505" customFormat="false" ht="11.9" hidden="false" customHeight="true" outlineLevel="0" collapsed="false">
      <c r="A1505" s="3" t="str">
        <f aca="false">HYPERLINK("https://www.fabsurplus.com/sdi_catalog/salesItemDetails.do?id=110054")</f>
        <v>https://www.fabsurplus.com/sdi_catalog/salesItemDetails.do?id=110054</v>
      </c>
      <c r="B1505" s="3" t="s">
        <v>4187</v>
      </c>
      <c r="C1505" s="3" t="s">
        <v>4183</v>
      </c>
      <c r="D1505" s="3" t="s">
        <v>393</v>
      </c>
      <c r="E1505" s="3" t="s">
        <v>47</v>
      </c>
      <c r="F1505" s="3" t="s">
        <v>16</v>
      </c>
      <c r="G1505" s="3" t="s">
        <v>41</v>
      </c>
      <c r="H1505" s="3"/>
      <c r="I1505" s="3"/>
      <c r="J1505" s="3" t="s">
        <v>42</v>
      </c>
      <c r="K1505" s="3"/>
      <c r="L1505" s="3" t="s">
        <v>349</v>
      </c>
    </row>
    <row r="1506" customFormat="false" ht="11.9" hidden="false" customHeight="true" outlineLevel="0" collapsed="false">
      <c r="A1506" s="2" t="str">
        <f aca="false">HYPERLINK("https://www.fabsurplus.com/sdi_catalog/salesItemDetails.do?id=110053")</f>
        <v>https://www.fabsurplus.com/sdi_catalog/salesItemDetails.do?id=110053</v>
      </c>
      <c r="B1506" s="2" t="s">
        <v>4188</v>
      </c>
      <c r="C1506" s="2" t="s">
        <v>4183</v>
      </c>
      <c r="D1506" s="2" t="s">
        <v>393</v>
      </c>
      <c r="E1506" s="2" t="s">
        <v>47</v>
      </c>
      <c r="F1506" s="2" t="s">
        <v>16</v>
      </c>
      <c r="G1506" s="2" t="s">
        <v>41</v>
      </c>
      <c r="H1506" s="2"/>
      <c r="I1506" s="2"/>
      <c r="J1506" s="2" t="s">
        <v>42</v>
      </c>
      <c r="K1506" s="2"/>
      <c r="L1506" s="2" t="s">
        <v>349</v>
      </c>
    </row>
    <row r="1507" customFormat="false" ht="11.9" hidden="false" customHeight="true" outlineLevel="0" collapsed="false">
      <c r="A1507" s="3" t="str">
        <f aca="false">HYPERLINK("https://www.fabsurplus.com/sdi_catalog/salesItemDetails.do?id=110052")</f>
        <v>https://www.fabsurplus.com/sdi_catalog/salesItemDetails.do?id=110052</v>
      </c>
      <c r="B1507" s="3" t="s">
        <v>4189</v>
      </c>
      <c r="C1507" s="3" t="s">
        <v>4183</v>
      </c>
      <c r="D1507" s="3" t="s">
        <v>393</v>
      </c>
      <c r="E1507" s="3" t="s">
        <v>47</v>
      </c>
      <c r="F1507" s="3" t="s">
        <v>16</v>
      </c>
      <c r="G1507" s="3" t="s">
        <v>41</v>
      </c>
      <c r="H1507" s="3"/>
      <c r="I1507" s="3"/>
      <c r="J1507" s="3" t="s">
        <v>42</v>
      </c>
      <c r="K1507" s="3"/>
      <c r="L1507" s="3" t="s">
        <v>349</v>
      </c>
    </row>
    <row r="1508" customFormat="false" ht="11.9" hidden="false" customHeight="true" outlineLevel="0" collapsed="false">
      <c r="A1508" s="2" t="str">
        <f aca="false">HYPERLINK("https://www.fabsurplus.com/sdi_catalog/salesItemDetails.do?id=110051")</f>
        <v>https://www.fabsurplus.com/sdi_catalog/salesItemDetails.do?id=110051</v>
      </c>
      <c r="B1508" s="2" t="s">
        <v>4190</v>
      </c>
      <c r="C1508" s="2" t="s">
        <v>4183</v>
      </c>
      <c r="D1508" s="2" t="s">
        <v>393</v>
      </c>
      <c r="E1508" s="2" t="s">
        <v>47</v>
      </c>
      <c r="F1508" s="2" t="s">
        <v>16</v>
      </c>
      <c r="G1508" s="2" t="s">
        <v>41</v>
      </c>
      <c r="H1508" s="2"/>
      <c r="I1508" s="2"/>
      <c r="J1508" s="2" t="s">
        <v>42</v>
      </c>
      <c r="K1508" s="2"/>
      <c r="L1508" s="2" t="s">
        <v>349</v>
      </c>
    </row>
    <row r="1509" customFormat="false" ht="11.9" hidden="false" customHeight="true" outlineLevel="0" collapsed="false">
      <c r="A1509" s="3" t="str">
        <f aca="false">HYPERLINK("https://www.fabsurplus.com/sdi_catalog/salesItemDetails.do?id=110048")</f>
        <v>https://www.fabsurplus.com/sdi_catalog/salesItemDetails.do?id=110048</v>
      </c>
      <c r="B1509" s="3" t="s">
        <v>4191</v>
      </c>
      <c r="C1509" s="3" t="s">
        <v>4183</v>
      </c>
      <c r="D1509" s="3" t="s">
        <v>403</v>
      </c>
      <c r="E1509" s="3" t="s">
        <v>47</v>
      </c>
      <c r="F1509" s="3" t="s">
        <v>16</v>
      </c>
      <c r="G1509" s="3" t="s">
        <v>41</v>
      </c>
      <c r="H1509" s="3"/>
      <c r="I1509" s="3"/>
      <c r="J1509" s="3" t="s">
        <v>42</v>
      </c>
      <c r="K1509" s="3"/>
      <c r="L1509" s="3" t="s">
        <v>349</v>
      </c>
    </row>
    <row r="1510" customFormat="false" ht="11.9" hidden="false" customHeight="true" outlineLevel="0" collapsed="false">
      <c r="A1510" s="2" t="str">
        <f aca="false">HYPERLINK("https://www.fabsurplus.com/sdi_catalog/salesItemDetails.do?id=110047")</f>
        <v>https://www.fabsurplus.com/sdi_catalog/salesItemDetails.do?id=110047</v>
      </c>
      <c r="B1510" s="2" t="s">
        <v>4192</v>
      </c>
      <c r="C1510" s="2" t="s">
        <v>4183</v>
      </c>
      <c r="D1510" s="2" t="s">
        <v>403</v>
      </c>
      <c r="E1510" s="2" t="s">
        <v>47</v>
      </c>
      <c r="F1510" s="2" t="s">
        <v>16</v>
      </c>
      <c r="G1510" s="2" t="s">
        <v>41</v>
      </c>
      <c r="H1510" s="2"/>
      <c r="I1510" s="2"/>
      <c r="J1510" s="2" t="s">
        <v>42</v>
      </c>
      <c r="K1510" s="2"/>
      <c r="L1510" s="2" t="s">
        <v>349</v>
      </c>
    </row>
    <row r="1511" customFormat="false" ht="11.9" hidden="false" customHeight="true" outlineLevel="0" collapsed="false">
      <c r="A1511" s="3" t="str">
        <f aca="false">HYPERLINK("https://www.fabsurplus.com/sdi_catalog/salesItemDetails.do?id=110046")</f>
        <v>https://www.fabsurplus.com/sdi_catalog/salesItemDetails.do?id=110046</v>
      </c>
      <c r="B1511" s="3" t="s">
        <v>4193</v>
      </c>
      <c r="C1511" s="3" t="s">
        <v>4183</v>
      </c>
      <c r="D1511" s="3" t="s">
        <v>403</v>
      </c>
      <c r="E1511" s="3" t="s">
        <v>47</v>
      </c>
      <c r="F1511" s="3" t="s">
        <v>16</v>
      </c>
      <c r="G1511" s="3" t="s">
        <v>41</v>
      </c>
      <c r="H1511" s="3"/>
      <c r="I1511" s="3"/>
      <c r="J1511" s="3" t="s">
        <v>42</v>
      </c>
      <c r="K1511" s="3"/>
      <c r="L1511" s="3" t="s">
        <v>349</v>
      </c>
    </row>
    <row r="1512" customFormat="false" ht="11.9" hidden="false" customHeight="true" outlineLevel="0" collapsed="false">
      <c r="A1512" s="3" t="str">
        <f aca="false">HYPERLINK("https://www.fabsurplus.com/sdi_catalog/salesItemDetails.do?id=110050")</f>
        <v>https://www.fabsurplus.com/sdi_catalog/salesItemDetails.do?id=110050</v>
      </c>
      <c r="B1512" s="3" t="s">
        <v>4194</v>
      </c>
      <c r="C1512" s="3" t="s">
        <v>4183</v>
      </c>
      <c r="D1512" s="3" t="s">
        <v>4195</v>
      </c>
      <c r="E1512" s="3" t="s">
        <v>47</v>
      </c>
      <c r="F1512" s="3" t="s">
        <v>16</v>
      </c>
      <c r="G1512" s="3" t="s">
        <v>41</v>
      </c>
      <c r="H1512" s="3"/>
      <c r="I1512" s="3"/>
      <c r="J1512" s="3" t="s">
        <v>42</v>
      </c>
      <c r="K1512" s="3"/>
      <c r="L1512" s="3" t="s">
        <v>349</v>
      </c>
    </row>
    <row r="1513" customFormat="false" ht="11.9" hidden="false" customHeight="true" outlineLevel="0" collapsed="false">
      <c r="A1513" s="2" t="str">
        <f aca="false">HYPERLINK("https://www.fabsurplus.com/sdi_catalog/salesItemDetails.do?id=110057")</f>
        <v>https://www.fabsurplus.com/sdi_catalog/salesItemDetails.do?id=110057</v>
      </c>
      <c r="B1513" s="2" t="s">
        <v>4196</v>
      </c>
      <c r="C1513" s="2" t="s">
        <v>4183</v>
      </c>
      <c r="D1513" s="2" t="s">
        <v>4197</v>
      </c>
      <c r="E1513" s="2" t="s">
        <v>47</v>
      </c>
      <c r="F1513" s="2" t="s">
        <v>16</v>
      </c>
      <c r="G1513" s="2" t="s">
        <v>41</v>
      </c>
      <c r="H1513" s="2" t="s">
        <v>27</v>
      </c>
      <c r="I1513" s="2"/>
      <c r="J1513" s="2" t="s">
        <v>139</v>
      </c>
      <c r="K1513" s="2" t="s">
        <v>20</v>
      </c>
      <c r="L1513" s="2" t="s">
        <v>4198</v>
      </c>
    </row>
    <row r="1514" customFormat="false" ht="11.9" hidden="false" customHeight="true" outlineLevel="0" collapsed="false">
      <c r="A1514" s="3" t="str">
        <f aca="false">HYPERLINK("https://www.fabsurplus.com/sdi_catalog/salesItemDetails.do?id=110058")</f>
        <v>https://www.fabsurplus.com/sdi_catalog/salesItemDetails.do?id=110058</v>
      </c>
      <c r="B1514" s="3" t="s">
        <v>4199</v>
      </c>
      <c r="C1514" s="3" t="s">
        <v>4183</v>
      </c>
      <c r="D1514" s="3" t="s">
        <v>4200</v>
      </c>
      <c r="E1514" s="3" t="s">
        <v>47</v>
      </c>
      <c r="F1514" s="3" t="s">
        <v>16</v>
      </c>
      <c r="G1514" s="3" t="s">
        <v>41</v>
      </c>
      <c r="H1514" s="3"/>
      <c r="I1514" s="3"/>
      <c r="J1514" s="3" t="s">
        <v>42</v>
      </c>
      <c r="K1514" s="3"/>
      <c r="L1514" s="3" t="s">
        <v>4201</v>
      </c>
    </row>
    <row r="1515" customFormat="false" ht="11.9" hidden="false" customHeight="true" outlineLevel="0" collapsed="false">
      <c r="A1515" s="3" t="str">
        <f aca="false">HYPERLINK("https://www.fabsurplus.com/sdi_catalog/salesItemDetails.do?id=110060")</f>
        <v>https://www.fabsurplus.com/sdi_catalog/salesItemDetails.do?id=110060</v>
      </c>
      <c r="B1515" s="3" t="s">
        <v>4202</v>
      </c>
      <c r="C1515" s="3" t="s">
        <v>4183</v>
      </c>
      <c r="D1515" s="3" t="s">
        <v>460</v>
      </c>
      <c r="E1515" s="3" t="s">
        <v>47</v>
      </c>
      <c r="F1515" s="3" t="s">
        <v>16</v>
      </c>
      <c r="G1515" s="3" t="s">
        <v>41</v>
      </c>
      <c r="H1515" s="3"/>
      <c r="I1515" s="3"/>
      <c r="J1515" s="3" t="s">
        <v>42</v>
      </c>
      <c r="K1515" s="3"/>
      <c r="L1515" s="3" t="s">
        <v>461</v>
      </c>
    </row>
    <row r="1516" customFormat="false" ht="11.9" hidden="false" customHeight="true" outlineLevel="0" collapsed="false">
      <c r="A1516" s="2" t="str">
        <f aca="false">HYPERLINK("https://www.fabsurplus.com/sdi_catalog/salesItemDetails.do?id=110059")</f>
        <v>https://www.fabsurplus.com/sdi_catalog/salesItemDetails.do?id=110059</v>
      </c>
      <c r="B1516" s="2" t="s">
        <v>4203</v>
      </c>
      <c r="C1516" s="2" t="s">
        <v>4183</v>
      </c>
      <c r="D1516" s="2" t="s">
        <v>460</v>
      </c>
      <c r="E1516" s="2" t="s">
        <v>47</v>
      </c>
      <c r="F1516" s="2" t="s">
        <v>16</v>
      </c>
      <c r="G1516" s="2" t="s">
        <v>41</v>
      </c>
      <c r="H1516" s="2"/>
      <c r="I1516" s="2"/>
      <c r="J1516" s="2" t="s">
        <v>42</v>
      </c>
      <c r="K1516" s="2"/>
      <c r="L1516" s="2" t="s">
        <v>349</v>
      </c>
    </row>
    <row r="1517" customFormat="false" ht="11.9" hidden="false" customHeight="true" outlineLevel="0" collapsed="false">
      <c r="A1517" s="3" t="str">
        <f aca="false">HYPERLINK("https://www.fabsurplus.com/sdi_catalog/salesItemDetails.do?id=110070")</f>
        <v>https://www.fabsurplus.com/sdi_catalog/salesItemDetails.do?id=110070</v>
      </c>
      <c r="B1517" s="3" t="s">
        <v>4204</v>
      </c>
      <c r="C1517" s="3" t="s">
        <v>4183</v>
      </c>
      <c r="D1517" s="3" t="s">
        <v>4205</v>
      </c>
      <c r="E1517" s="3" t="s">
        <v>133</v>
      </c>
      <c r="F1517" s="3" t="s">
        <v>16</v>
      </c>
      <c r="G1517" s="3" t="s">
        <v>41</v>
      </c>
      <c r="H1517" s="3"/>
      <c r="I1517" s="3"/>
      <c r="J1517" s="3" t="s">
        <v>42</v>
      </c>
      <c r="K1517" s="3"/>
      <c r="L1517" s="3" t="s">
        <v>349</v>
      </c>
    </row>
    <row r="1518" customFormat="false" ht="11.9" hidden="false" customHeight="true" outlineLevel="0" collapsed="false">
      <c r="A1518" s="2" t="str">
        <f aca="false">HYPERLINK("https://www.fabsurplus.com/sdi_catalog/salesItemDetails.do?id=110069")</f>
        <v>https://www.fabsurplus.com/sdi_catalog/salesItemDetails.do?id=110069</v>
      </c>
      <c r="B1518" s="2" t="s">
        <v>4206</v>
      </c>
      <c r="C1518" s="2" t="s">
        <v>4183</v>
      </c>
      <c r="D1518" s="2" t="s">
        <v>826</v>
      </c>
      <c r="E1518" s="2" t="s">
        <v>133</v>
      </c>
      <c r="F1518" s="2" t="s">
        <v>16</v>
      </c>
      <c r="G1518" s="2" t="s">
        <v>41</v>
      </c>
      <c r="H1518" s="2"/>
      <c r="I1518" s="2"/>
      <c r="J1518" s="2" t="s">
        <v>42</v>
      </c>
      <c r="K1518" s="2"/>
      <c r="L1518" s="2" t="s">
        <v>349</v>
      </c>
    </row>
    <row r="1519" customFormat="false" ht="11.9" hidden="false" customHeight="true" outlineLevel="0" collapsed="false">
      <c r="A1519" s="3" t="str">
        <f aca="false">HYPERLINK("https://www.fabsurplus.com/sdi_catalog/salesItemDetails.do?id=110068")</f>
        <v>https://www.fabsurplus.com/sdi_catalog/salesItemDetails.do?id=110068</v>
      </c>
      <c r="B1519" s="3" t="s">
        <v>4207</v>
      </c>
      <c r="C1519" s="3" t="s">
        <v>4183</v>
      </c>
      <c r="D1519" s="3" t="s">
        <v>826</v>
      </c>
      <c r="E1519" s="3" t="s">
        <v>133</v>
      </c>
      <c r="F1519" s="3" t="s">
        <v>16</v>
      </c>
      <c r="G1519" s="3" t="s">
        <v>41</v>
      </c>
      <c r="H1519" s="3"/>
      <c r="I1519" s="3"/>
      <c r="J1519" s="3" t="s">
        <v>42</v>
      </c>
      <c r="K1519" s="3"/>
      <c r="L1519" s="3" t="s">
        <v>349</v>
      </c>
    </row>
    <row r="1520" customFormat="false" ht="11.9" hidden="false" customHeight="true" outlineLevel="0" collapsed="false">
      <c r="A1520" s="2" t="str">
        <f aca="false">HYPERLINK("https://www.fabsurplus.com/sdi_catalog/salesItemDetails.do?id=110067")</f>
        <v>https://www.fabsurplus.com/sdi_catalog/salesItemDetails.do?id=110067</v>
      </c>
      <c r="B1520" s="2" t="s">
        <v>4208</v>
      </c>
      <c r="C1520" s="2" t="s">
        <v>4183</v>
      </c>
      <c r="D1520" s="2" t="s">
        <v>826</v>
      </c>
      <c r="E1520" s="2" t="s">
        <v>133</v>
      </c>
      <c r="F1520" s="2" t="s">
        <v>16</v>
      </c>
      <c r="G1520" s="2" t="s">
        <v>41</v>
      </c>
      <c r="H1520" s="2"/>
      <c r="I1520" s="2"/>
      <c r="J1520" s="2" t="s">
        <v>42</v>
      </c>
      <c r="K1520" s="2"/>
      <c r="L1520" s="2" t="s">
        <v>349</v>
      </c>
    </row>
    <row r="1521" customFormat="false" ht="11.9" hidden="false" customHeight="true" outlineLevel="0" collapsed="false">
      <c r="A1521" s="3" t="str">
        <f aca="false">HYPERLINK("https://www.fabsurplus.com/sdi_catalog/salesItemDetails.do?id=110066")</f>
        <v>https://www.fabsurplus.com/sdi_catalog/salesItemDetails.do?id=110066</v>
      </c>
      <c r="B1521" s="3" t="s">
        <v>4209</v>
      </c>
      <c r="C1521" s="3" t="s">
        <v>4183</v>
      </c>
      <c r="D1521" s="3" t="s">
        <v>826</v>
      </c>
      <c r="E1521" s="3" t="s">
        <v>133</v>
      </c>
      <c r="F1521" s="3" t="s">
        <v>16</v>
      </c>
      <c r="G1521" s="3" t="s">
        <v>41</v>
      </c>
      <c r="H1521" s="3"/>
      <c r="I1521" s="3"/>
      <c r="J1521" s="3" t="s">
        <v>42</v>
      </c>
      <c r="K1521" s="3"/>
      <c r="L1521" s="3" t="s">
        <v>349</v>
      </c>
    </row>
    <row r="1522" customFormat="false" ht="11.9" hidden="false" customHeight="true" outlineLevel="0" collapsed="false">
      <c r="A1522" s="2" t="str">
        <f aca="false">HYPERLINK("https://www.fabsurplus.com/sdi_catalog/salesItemDetails.do?id=110065")</f>
        <v>https://www.fabsurplus.com/sdi_catalog/salesItemDetails.do?id=110065</v>
      </c>
      <c r="B1522" s="2" t="s">
        <v>4210</v>
      </c>
      <c r="C1522" s="2" t="s">
        <v>4183</v>
      </c>
      <c r="D1522" s="2" t="s">
        <v>826</v>
      </c>
      <c r="E1522" s="2" t="s">
        <v>133</v>
      </c>
      <c r="F1522" s="2" t="s">
        <v>16</v>
      </c>
      <c r="G1522" s="2" t="s">
        <v>41</v>
      </c>
      <c r="H1522" s="2"/>
      <c r="I1522" s="2"/>
      <c r="J1522" s="2" t="s">
        <v>42</v>
      </c>
      <c r="K1522" s="2"/>
      <c r="L1522" s="2" t="s">
        <v>349</v>
      </c>
    </row>
    <row r="1523" customFormat="false" ht="11.9" hidden="false" customHeight="true" outlineLevel="0" collapsed="false">
      <c r="A1523" s="3" t="str">
        <f aca="false">HYPERLINK("https://www.fabsurplus.com/sdi_catalog/salesItemDetails.do?id=110064")</f>
        <v>https://www.fabsurplus.com/sdi_catalog/salesItemDetails.do?id=110064</v>
      </c>
      <c r="B1523" s="3" t="s">
        <v>4211</v>
      </c>
      <c r="C1523" s="3" t="s">
        <v>4183</v>
      </c>
      <c r="D1523" s="3" t="s">
        <v>826</v>
      </c>
      <c r="E1523" s="3" t="s">
        <v>133</v>
      </c>
      <c r="F1523" s="3" t="s">
        <v>16</v>
      </c>
      <c r="G1523" s="3" t="s">
        <v>41</v>
      </c>
      <c r="H1523" s="3"/>
      <c r="I1523" s="3"/>
      <c r="J1523" s="3" t="s">
        <v>42</v>
      </c>
      <c r="K1523" s="3"/>
      <c r="L1523" s="3" t="s">
        <v>349</v>
      </c>
    </row>
    <row r="1524" customFormat="false" ht="11.9" hidden="false" customHeight="true" outlineLevel="0" collapsed="false">
      <c r="A1524" s="2" t="str">
        <f aca="false">HYPERLINK("https://www.fabsurplus.com/sdi_catalog/salesItemDetails.do?id=110063")</f>
        <v>https://www.fabsurplus.com/sdi_catalog/salesItemDetails.do?id=110063</v>
      </c>
      <c r="B1524" s="2" t="s">
        <v>4212</v>
      </c>
      <c r="C1524" s="2" t="s">
        <v>4183</v>
      </c>
      <c r="D1524" s="2" t="s">
        <v>826</v>
      </c>
      <c r="E1524" s="2" t="s">
        <v>133</v>
      </c>
      <c r="F1524" s="2" t="s">
        <v>16</v>
      </c>
      <c r="G1524" s="2" t="s">
        <v>41</v>
      </c>
      <c r="H1524" s="2"/>
      <c r="I1524" s="2"/>
      <c r="J1524" s="2" t="s">
        <v>42</v>
      </c>
      <c r="K1524" s="2"/>
      <c r="L1524" s="2" t="s">
        <v>349</v>
      </c>
    </row>
    <row r="1525" customFormat="false" ht="11.9" hidden="false" customHeight="true" outlineLevel="0" collapsed="false">
      <c r="A1525" s="3" t="str">
        <f aca="false">HYPERLINK("https://www.fabsurplus.com/sdi_catalog/salesItemDetails.do?id=110062")</f>
        <v>https://www.fabsurplus.com/sdi_catalog/salesItemDetails.do?id=110062</v>
      </c>
      <c r="B1525" s="3" t="s">
        <v>4213</v>
      </c>
      <c r="C1525" s="3" t="s">
        <v>4183</v>
      </c>
      <c r="D1525" s="3" t="s">
        <v>826</v>
      </c>
      <c r="E1525" s="3" t="s">
        <v>133</v>
      </c>
      <c r="F1525" s="3" t="s">
        <v>16</v>
      </c>
      <c r="G1525" s="3" t="s">
        <v>41</v>
      </c>
      <c r="H1525" s="3"/>
      <c r="I1525" s="3"/>
      <c r="J1525" s="3" t="s">
        <v>42</v>
      </c>
      <c r="K1525" s="3"/>
      <c r="L1525" s="3" t="s">
        <v>349</v>
      </c>
    </row>
    <row r="1526" customFormat="false" ht="11.9" hidden="false" customHeight="true" outlineLevel="0" collapsed="false">
      <c r="A1526" s="2" t="str">
        <f aca="false">HYPERLINK("https://www.fabsurplus.com/sdi_catalog/salesItemDetails.do?id=110061")</f>
        <v>https://www.fabsurplus.com/sdi_catalog/salesItemDetails.do?id=110061</v>
      </c>
      <c r="B1526" s="2" t="s">
        <v>4214</v>
      </c>
      <c r="C1526" s="2" t="s">
        <v>4183</v>
      </c>
      <c r="D1526" s="2" t="s">
        <v>826</v>
      </c>
      <c r="E1526" s="2" t="s">
        <v>133</v>
      </c>
      <c r="F1526" s="2" t="s">
        <v>16</v>
      </c>
      <c r="G1526" s="2" t="s">
        <v>41</v>
      </c>
      <c r="H1526" s="2"/>
      <c r="I1526" s="2"/>
      <c r="J1526" s="2" t="s">
        <v>42</v>
      </c>
      <c r="K1526" s="2"/>
      <c r="L1526" s="2" t="s">
        <v>349</v>
      </c>
    </row>
    <row r="1527" customFormat="false" ht="11.9" hidden="false" customHeight="true" outlineLevel="0" collapsed="false">
      <c r="A1527" s="3" t="str">
        <f aca="false">HYPERLINK("https://www.fabsurplus.com/sdi_catalog/salesItemDetails.do?id=110071")</f>
        <v>https://www.fabsurplus.com/sdi_catalog/salesItemDetails.do?id=110071</v>
      </c>
      <c r="B1527" s="3" t="s">
        <v>4215</v>
      </c>
      <c r="C1527" s="3" t="s">
        <v>4216</v>
      </c>
      <c r="D1527" s="3" t="s">
        <v>4217</v>
      </c>
      <c r="E1527" s="3" t="s">
        <v>47</v>
      </c>
      <c r="F1527" s="3" t="s">
        <v>16</v>
      </c>
      <c r="G1527" s="3" t="s">
        <v>41</v>
      </c>
      <c r="H1527" s="3"/>
      <c r="I1527" s="3"/>
      <c r="J1527" s="3" t="s">
        <v>42</v>
      </c>
      <c r="K1527" s="3"/>
      <c r="L1527" s="3" t="s">
        <v>4218</v>
      </c>
    </row>
    <row r="1528" customFormat="false" ht="11.9" hidden="false" customHeight="true" outlineLevel="0" collapsed="false">
      <c r="A1528" s="2" t="str">
        <f aca="false">HYPERLINK("https://www.fabsurplus.com/sdi_catalog/salesItemDetails.do?id=105864")</f>
        <v>https://www.fabsurplus.com/sdi_catalog/salesItemDetails.do?id=105864</v>
      </c>
      <c r="B1528" s="2" t="s">
        <v>4219</v>
      </c>
      <c r="C1528" s="2" t="s">
        <v>4220</v>
      </c>
      <c r="D1528" s="2" t="s">
        <v>4221</v>
      </c>
      <c r="E1528" s="2" t="s">
        <v>4222</v>
      </c>
      <c r="F1528" s="2" t="s">
        <v>16</v>
      </c>
      <c r="G1528" s="2" t="s">
        <v>26</v>
      </c>
      <c r="H1528" s="2" t="s">
        <v>1691</v>
      </c>
      <c r="I1528" s="2"/>
      <c r="J1528" s="2" t="s">
        <v>19</v>
      </c>
      <c r="K1528" s="2" t="s">
        <v>20</v>
      </c>
      <c r="L1528" s="6" t="s">
        <v>4223</v>
      </c>
    </row>
    <row r="1529" customFormat="false" ht="11.9" hidden="false" customHeight="true" outlineLevel="0" collapsed="false">
      <c r="A1529" s="3" t="str">
        <f aca="false">HYPERLINK("https://www.fabsurplus.com/sdi_catalog/salesItemDetails.do?id=70304")</f>
        <v>https://www.fabsurplus.com/sdi_catalog/salesItemDetails.do?id=70304</v>
      </c>
      <c r="B1529" s="3" t="s">
        <v>4224</v>
      </c>
      <c r="C1529" s="3" t="s">
        <v>4225</v>
      </c>
      <c r="D1529" s="3" t="s">
        <v>4226</v>
      </c>
      <c r="E1529" s="3" t="s">
        <v>4227</v>
      </c>
      <c r="F1529" s="3" t="s">
        <v>16</v>
      </c>
      <c r="G1529" s="3" t="s">
        <v>41</v>
      </c>
      <c r="H1529" s="3" t="s">
        <v>1691</v>
      </c>
      <c r="I1529" s="3"/>
      <c r="J1529" s="3" t="s">
        <v>19</v>
      </c>
      <c r="K1529" s="3" t="s">
        <v>20</v>
      </c>
      <c r="L1529" s="3" t="s">
        <v>4228</v>
      </c>
    </row>
    <row r="1530" customFormat="false" ht="11.9" hidden="false" customHeight="true" outlineLevel="0" collapsed="false">
      <c r="A1530" s="2" t="str">
        <f aca="false">HYPERLINK("https://www.fabsurplus.com/sdi_catalog/salesItemDetails.do?id=79394")</f>
        <v>https://www.fabsurplus.com/sdi_catalog/salesItemDetails.do?id=79394</v>
      </c>
      <c r="B1530" s="2" t="s">
        <v>4229</v>
      </c>
      <c r="C1530" s="2" t="s">
        <v>4230</v>
      </c>
      <c r="D1530" s="2" t="s">
        <v>4231</v>
      </c>
      <c r="E1530" s="2" t="s">
        <v>4232</v>
      </c>
      <c r="F1530" s="2" t="s">
        <v>16</v>
      </c>
      <c r="G1530" s="2" t="s">
        <v>4233</v>
      </c>
      <c r="H1530" s="2" t="s">
        <v>27</v>
      </c>
      <c r="I1530" s="2"/>
      <c r="J1530" s="2" t="s">
        <v>19</v>
      </c>
      <c r="K1530" s="2" t="s">
        <v>20</v>
      </c>
      <c r="L1530" s="6" t="s">
        <v>4234</v>
      </c>
    </row>
    <row r="1531" customFormat="false" ht="11.9" hidden="false" customHeight="true" outlineLevel="0" collapsed="false">
      <c r="A1531" s="3" t="str">
        <f aca="false">HYPERLINK("https://www.fabsurplus.com/sdi_catalog/salesItemDetails.do?id=79395")</f>
        <v>https://www.fabsurplus.com/sdi_catalog/salesItemDetails.do?id=79395</v>
      </c>
      <c r="B1531" s="3" t="s">
        <v>4235</v>
      </c>
      <c r="C1531" s="3" t="s">
        <v>4230</v>
      </c>
      <c r="D1531" s="3" t="s">
        <v>4231</v>
      </c>
      <c r="E1531" s="3" t="s">
        <v>4232</v>
      </c>
      <c r="F1531" s="3" t="s">
        <v>16</v>
      </c>
      <c r="G1531" s="3" t="s">
        <v>4233</v>
      </c>
      <c r="H1531" s="3" t="s">
        <v>27</v>
      </c>
      <c r="I1531" s="3"/>
      <c r="J1531" s="3" t="s">
        <v>19</v>
      </c>
      <c r="K1531" s="3" t="s">
        <v>20</v>
      </c>
      <c r="L1531" s="5" t="s">
        <v>4236</v>
      </c>
    </row>
    <row r="1532" customFormat="false" ht="11.9" hidden="false" customHeight="true" outlineLevel="0" collapsed="false">
      <c r="A1532" s="2" t="str">
        <f aca="false">HYPERLINK("https://www.fabsurplus.com/sdi_catalog/salesItemDetails.do?id=70305")</f>
        <v>https://www.fabsurplus.com/sdi_catalog/salesItemDetails.do?id=70305</v>
      </c>
      <c r="B1532" s="2" t="s">
        <v>4237</v>
      </c>
      <c r="C1532" s="2" t="s">
        <v>4225</v>
      </c>
      <c r="D1532" s="2" t="s">
        <v>4238</v>
      </c>
      <c r="E1532" s="2" t="s">
        <v>4239</v>
      </c>
      <c r="F1532" s="2" t="s">
        <v>16</v>
      </c>
      <c r="G1532" s="2" t="s">
        <v>41</v>
      </c>
      <c r="H1532" s="2" t="s">
        <v>18</v>
      </c>
      <c r="I1532" s="2"/>
      <c r="J1532" s="2" t="s">
        <v>19</v>
      </c>
      <c r="K1532" s="2" t="s">
        <v>20</v>
      </c>
      <c r="L1532" s="6" t="s">
        <v>4240</v>
      </c>
    </row>
    <row r="1533" customFormat="false" ht="11.9" hidden="false" customHeight="true" outlineLevel="0" collapsed="false">
      <c r="A1533" s="3" t="str">
        <f aca="false">HYPERLINK("https://www.fabsurplus.com/sdi_catalog/salesItemDetails.do?id=70306")</f>
        <v>https://www.fabsurplus.com/sdi_catalog/salesItemDetails.do?id=70306</v>
      </c>
      <c r="B1533" s="3" t="s">
        <v>4241</v>
      </c>
      <c r="C1533" s="3" t="s">
        <v>4230</v>
      </c>
      <c r="D1533" s="3" t="s">
        <v>4242</v>
      </c>
      <c r="E1533" s="3" t="s">
        <v>4243</v>
      </c>
      <c r="F1533" s="3" t="s">
        <v>77</v>
      </c>
      <c r="G1533" s="3" t="s">
        <v>41</v>
      </c>
      <c r="H1533" s="3" t="s">
        <v>1691</v>
      </c>
      <c r="I1533" s="3"/>
      <c r="J1533" s="3" t="s">
        <v>19</v>
      </c>
      <c r="K1533" s="3" t="s">
        <v>20</v>
      </c>
      <c r="L1533" s="5" t="s">
        <v>4244</v>
      </c>
    </row>
    <row r="1534" customFormat="false" ht="11.9" hidden="false" customHeight="true" outlineLevel="0" collapsed="false">
      <c r="A1534" s="3" t="str">
        <f aca="false">HYPERLINK("https://www.fabsurplus.com/sdi_catalog/salesItemDetails.do?id=80031")</f>
        <v>https://www.fabsurplus.com/sdi_catalog/salesItemDetails.do?id=80031</v>
      </c>
      <c r="B1534" s="3" t="s">
        <v>4245</v>
      </c>
      <c r="C1534" s="3" t="s">
        <v>4246</v>
      </c>
      <c r="D1534" s="3" t="s">
        <v>4247</v>
      </c>
      <c r="E1534" s="3" t="s">
        <v>4248</v>
      </c>
      <c r="F1534" s="3" t="s">
        <v>199</v>
      </c>
      <c r="G1534" s="3" t="s">
        <v>4249</v>
      </c>
      <c r="H1534" s="3" t="s">
        <v>27</v>
      </c>
      <c r="I1534" s="3"/>
      <c r="J1534" s="3" t="s">
        <v>19</v>
      </c>
      <c r="K1534" s="3" t="s">
        <v>20</v>
      </c>
      <c r="L1534" s="5" t="s">
        <v>4250</v>
      </c>
    </row>
    <row r="1535" customFormat="false" ht="11.9" hidden="false" customHeight="true" outlineLevel="0" collapsed="false">
      <c r="A1535" s="2" t="str">
        <f aca="false">HYPERLINK("https://www.fabsurplus.com/sdi_catalog/salesItemDetails.do?id=80082")</f>
        <v>https://www.fabsurplus.com/sdi_catalog/salesItemDetails.do?id=80082</v>
      </c>
      <c r="B1535" s="2" t="s">
        <v>4251</v>
      </c>
      <c r="C1535" s="2" t="s">
        <v>4246</v>
      </c>
      <c r="D1535" s="2" t="s">
        <v>4252</v>
      </c>
      <c r="E1535" s="2" t="s">
        <v>4253</v>
      </c>
      <c r="F1535" s="2" t="s">
        <v>16</v>
      </c>
      <c r="G1535" s="2" t="s">
        <v>4249</v>
      </c>
      <c r="H1535" s="2" t="s">
        <v>27</v>
      </c>
      <c r="I1535" s="2"/>
      <c r="J1535" s="2" t="s">
        <v>19</v>
      </c>
      <c r="K1535" s="2" t="s">
        <v>20</v>
      </c>
      <c r="L1535" s="6" t="s">
        <v>4254</v>
      </c>
    </row>
    <row r="1536" customFormat="false" ht="11.9" hidden="false" customHeight="true" outlineLevel="0" collapsed="false">
      <c r="A1536" s="3" t="str">
        <f aca="false">HYPERLINK("https://www.fabsurplus.com/sdi_catalog/salesItemDetails.do?id=80042")</f>
        <v>https://www.fabsurplus.com/sdi_catalog/salesItemDetails.do?id=80042</v>
      </c>
      <c r="B1536" s="3" t="s">
        <v>4255</v>
      </c>
      <c r="C1536" s="3" t="s">
        <v>4246</v>
      </c>
      <c r="D1536" s="3" t="s">
        <v>4252</v>
      </c>
      <c r="E1536" s="3" t="s">
        <v>4256</v>
      </c>
      <c r="F1536" s="3" t="s">
        <v>16</v>
      </c>
      <c r="G1536" s="3" t="s">
        <v>4249</v>
      </c>
      <c r="H1536" s="3" t="s">
        <v>27</v>
      </c>
      <c r="I1536" s="3"/>
      <c r="J1536" s="3" t="s">
        <v>19</v>
      </c>
      <c r="K1536" s="3" t="s">
        <v>20</v>
      </c>
      <c r="L1536" s="5" t="s">
        <v>4257</v>
      </c>
    </row>
    <row r="1537" customFormat="false" ht="11.9" hidden="false" customHeight="true" outlineLevel="0" collapsed="false">
      <c r="A1537" s="3" t="str">
        <f aca="false">HYPERLINK("https://www.fabsurplus.com/sdi_catalog/salesItemDetails.do?id=80052")</f>
        <v>https://www.fabsurplus.com/sdi_catalog/salesItemDetails.do?id=80052</v>
      </c>
      <c r="B1537" s="3" t="s">
        <v>4258</v>
      </c>
      <c r="C1537" s="3" t="s">
        <v>4246</v>
      </c>
      <c r="D1537" s="3" t="s">
        <v>4259</v>
      </c>
      <c r="E1537" s="3" t="s">
        <v>4253</v>
      </c>
      <c r="F1537" s="3" t="s">
        <v>16</v>
      </c>
      <c r="G1537" s="3" t="s">
        <v>4249</v>
      </c>
      <c r="H1537" s="3" t="s">
        <v>27</v>
      </c>
      <c r="I1537" s="3"/>
      <c r="J1537" s="3" t="s">
        <v>19</v>
      </c>
      <c r="K1537" s="3" t="s">
        <v>20</v>
      </c>
      <c r="L1537" s="5" t="s">
        <v>4260</v>
      </c>
    </row>
    <row r="1538" customFormat="false" ht="11.9" hidden="false" customHeight="true" outlineLevel="0" collapsed="false">
      <c r="A1538" s="3" t="str">
        <f aca="false">HYPERLINK("https://www.fabsurplus.com/sdi_catalog/salesItemDetails.do?id=80040")</f>
        <v>https://www.fabsurplus.com/sdi_catalog/salesItemDetails.do?id=80040</v>
      </c>
      <c r="B1538" s="3" t="s">
        <v>4261</v>
      </c>
      <c r="C1538" s="3" t="s">
        <v>4246</v>
      </c>
      <c r="D1538" s="3" t="s">
        <v>4262</v>
      </c>
      <c r="E1538" s="3" t="s">
        <v>4263</v>
      </c>
      <c r="F1538" s="3" t="s">
        <v>16</v>
      </c>
      <c r="G1538" s="3" t="s">
        <v>4249</v>
      </c>
      <c r="H1538" s="3" t="s">
        <v>27</v>
      </c>
      <c r="I1538" s="3"/>
      <c r="J1538" s="3" t="s">
        <v>19</v>
      </c>
      <c r="K1538" s="3" t="s">
        <v>20</v>
      </c>
      <c r="L1538" s="5" t="s">
        <v>4264</v>
      </c>
    </row>
    <row r="1539" customFormat="false" ht="11.9" hidden="false" customHeight="true" outlineLevel="0" collapsed="false">
      <c r="A1539" s="2" t="str">
        <f aca="false">HYPERLINK("https://www.fabsurplus.com/sdi_catalog/salesItemDetails.do?id=80041")</f>
        <v>https://www.fabsurplus.com/sdi_catalog/salesItemDetails.do?id=80041</v>
      </c>
      <c r="B1539" s="2" t="s">
        <v>4265</v>
      </c>
      <c r="C1539" s="2" t="s">
        <v>4246</v>
      </c>
      <c r="D1539" s="2" t="s">
        <v>4262</v>
      </c>
      <c r="E1539" s="2" t="s">
        <v>4263</v>
      </c>
      <c r="F1539" s="2" t="s">
        <v>16</v>
      </c>
      <c r="G1539" s="2" t="s">
        <v>4249</v>
      </c>
      <c r="H1539" s="2" t="s">
        <v>27</v>
      </c>
      <c r="I1539" s="2"/>
      <c r="J1539" s="2" t="s">
        <v>19</v>
      </c>
      <c r="K1539" s="2" t="s">
        <v>20</v>
      </c>
      <c r="L1539" s="6" t="s">
        <v>4266</v>
      </c>
    </row>
    <row r="1540" customFormat="false" ht="11.9" hidden="false" customHeight="true" outlineLevel="0" collapsed="false">
      <c r="A1540" s="2" t="str">
        <f aca="false">HYPERLINK("https://www.fabsurplus.com/sdi_catalog/salesItemDetails.do?id=80080")</f>
        <v>https://www.fabsurplus.com/sdi_catalog/salesItemDetails.do?id=80080</v>
      </c>
      <c r="B1540" s="2" t="s">
        <v>4267</v>
      </c>
      <c r="C1540" s="2" t="s">
        <v>4246</v>
      </c>
      <c r="D1540" s="2" t="s">
        <v>4262</v>
      </c>
      <c r="E1540" s="2" t="s">
        <v>4268</v>
      </c>
      <c r="F1540" s="2" t="s">
        <v>16</v>
      </c>
      <c r="G1540" s="2" t="s">
        <v>4249</v>
      </c>
      <c r="H1540" s="2" t="s">
        <v>27</v>
      </c>
      <c r="I1540" s="2"/>
      <c r="J1540" s="2" t="s">
        <v>19</v>
      </c>
      <c r="K1540" s="2" t="s">
        <v>20</v>
      </c>
      <c r="L1540" s="6" t="s">
        <v>4269</v>
      </c>
    </row>
    <row r="1541" customFormat="false" ht="11.9" hidden="false" customHeight="true" outlineLevel="0" collapsed="false">
      <c r="A1541" s="2" t="str">
        <f aca="false">HYPERLINK("https://www.fabsurplus.com/sdi_catalog/salesItemDetails.do?id=80001")</f>
        <v>https://www.fabsurplus.com/sdi_catalog/salesItemDetails.do?id=80001</v>
      </c>
      <c r="B1541" s="2" t="s">
        <v>4270</v>
      </c>
      <c r="C1541" s="2" t="s">
        <v>4246</v>
      </c>
      <c r="D1541" s="2" t="s">
        <v>4271</v>
      </c>
      <c r="E1541" s="2" t="s">
        <v>4263</v>
      </c>
      <c r="F1541" s="2" t="s">
        <v>16</v>
      </c>
      <c r="G1541" s="2" t="s">
        <v>4249</v>
      </c>
      <c r="H1541" s="2" t="s">
        <v>27</v>
      </c>
      <c r="I1541" s="2"/>
      <c r="J1541" s="2" t="s">
        <v>19</v>
      </c>
      <c r="K1541" s="2" t="s">
        <v>20</v>
      </c>
      <c r="L1541" s="6" t="s">
        <v>4272</v>
      </c>
    </row>
    <row r="1542" customFormat="false" ht="11.9" hidden="false" customHeight="true" outlineLevel="0" collapsed="false">
      <c r="A1542" s="2" t="str">
        <f aca="false">HYPERLINK("https://www.fabsurplus.com/sdi_catalog/salesItemDetails.do?id=80030")</f>
        <v>https://www.fabsurplus.com/sdi_catalog/salesItemDetails.do?id=80030</v>
      </c>
      <c r="B1542" s="2" t="s">
        <v>4273</v>
      </c>
      <c r="C1542" s="2" t="s">
        <v>4246</v>
      </c>
      <c r="D1542" s="2" t="s">
        <v>4271</v>
      </c>
      <c r="E1542" s="2" t="s">
        <v>4263</v>
      </c>
      <c r="F1542" s="2" t="s">
        <v>16</v>
      </c>
      <c r="G1542" s="2" t="s">
        <v>4249</v>
      </c>
      <c r="H1542" s="2" t="s">
        <v>27</v>
      </c>
      <c r="I1542" s="2"/>
      <c r="J1542" s="2" t="s">
        <v>19</v>
      </c>
      <c r="K1542" s="2" t="s">
        <v>20</v>
      </c>
      <c r="L1542" s="6" t="s">
        <v>4274</v>
      </c>
    </row>
    <row r="1543" customFormat="false" ht="11.9" hidden="false" customHeight="true" outlineLevel="0" collapsed="false">
      <c r="A1543" s="2" t="str">
        <f aca="false">HYPERLINK("https://www.fabsurplus.com/sdi_catalog/salesItemDetails.do?id=80045")</f>
        <v>https://www.fabsurplus.com/sdi_catalog/salesItemDetails.do?id=80045</v>
      </c>
      <c r="B1543" s="2" t="s">
        <v>4275</v>
      </c>
      <c r="C1543" s="2" t="s">
        <v>4246</v>
      </c>
      <c r="D1543" s="2" t="s">
        <v>4271</v>
      </c>
      <c r="E1543" s="2" t="s">
        <v>4256</v>
      </c>
      <c r="F1543" s="2" t="s">
        <v>16</v>
      </c>
      <c r="G1543" s="2" t="s">
        <v>4249</v>
      </c>
      <c r="H1543" s="2" t="s">
        <v>27</v>
      </c>
      <c r="I1543" s="2"/>
      <c r="J1543" s="2" t="s">
        <v>19</v>
      </c>
      <c r="K1543" s="2" t="s">
        <v>20</v>
      </c>
      <c r="L1543" s="6" t="s">
        <v>4276</v>
      </c>
    </row>
    <row r="1544" customFormat="false" ht="11.9" hidden="false" customHeight="true" outlineLevel="0" collapsed="false">
      <c r="A1544" s="3" t="str">
        <f aca="false">HYPERLINK("https://www.fabsurplus.com/sdi_catalog/salesItemDetails.do?id=80081")</f>
        <v>https://www.fabsurplus.com/sdi_catalog/salesItemDetails.do?id=80081</v>
      </c>
      <c r="B1544" s="3" t="s">
        <v>4277</v>
      </c>
      <c r="C1544" s="3" t="s">
        <v>4246</v>
      </c>
      <c r="D1544" s="3" t="s">
        <v>4271</v>
      </c>
      <c r="E1544" s="3" t="s">
        <v>4278</v>
      </c>
      <c r="F1544" s="3" t="s">
        <v>16</v>
      </c>
      <c r="G1544" s="3" t="s">
        <v>4249</v>
      </c>
      <c r="H1544" s="3" t="s">
        <v>27</v>
      </c>
      <c r="I1544" s="3"/>
      <c r="J1544" s="3" t="s">
        <v>19</v>
      </c>
      <c r="K1544" s="3" t="s">
        <v>20</v>
      </c>
      <c r="L1544" s="5" t="s">
        <v>4279</v>
      </c>
    </row>
    <row r="1545" customFormat="false" ht="11.9" hidden="false" customHeight="true" outlineLevel="0" collapsed="false">
      <c r="A1545" s="3" t="str">
        <f aca="false">HYPERLINK("https://www.fabsurplus.com/sdi_catalog/salesItemDetails.do?id=80084")</f>
        <v>https://www.fabsurplus.com/sdi_catalog/salesItemDetails.do?id=80084</v>
      </c>
      <c r="B1545" s="3" t="s">
        <v>4280</v>
      </c>
      <c r="C1545" s="3" t="s">
        <v>4246</v>
      </c>
      <c r="D1545" s="3" t="s">
        <v>4271</v>
      </c>
      <c r="E1545" s="3" t="s">
        <v>4278</v>
      </c>
      <c r="F1545" s="3" t="s">
        <v>16</v>
      </c>
      <c r="G1545" s="3" t="s">
        <v>4249</v>
      </c>
      <c r="H1545" s="3" t="s">
        <v>27</v>
      </c>
      <c r="I1545" s="3"/>
      <c r="J1545" s="3" t="s">
        <v>19</v>
      </c>
      <c r="K1545" s="3" t="s">
        <v>20</v>
      </c>
      <c r="L1545" s="5" t="s">
        <v>4281</v>
      </c>
    </row>
    <row r="1546" customFormat="false" ht="11.9" hidden="false" customHeight="true" outlineLevel="0" collapsed="false">
      <c r="A1546" s="3" t="str">
        <f aca="false">HYPERLINK("https://www.fabsurplus.com/sdi_catalog/salesItemDetails.do?id=80029")</f>
        <v>https://www.fabsurplus.com/sdi_catalog/salesItemDetails.do?id=80029</v>
      </c>
      <c r="B1546" s="3" t="s">
        <v>4282</v>
      </c>
      <c r="C1546" s="3" t="s">
        <v>4246</v>
      </c>
      <c r="D1546" s="3" t="s">
        <v>4283</v>
      </c>
      <c r="E1546" s="3" t="s">
        <v>4284</v>
      </c>
      <c r="F1546" s="3" t="s">
        <v>16</v>
      </c>
      <c r="G1546" s="3" t="s">
        <v>4249</v>
      </c>
      <c r="H1546" s="3" t="s">
        <v>27</v>
      </c>
      <c r="I1546" s="3"/>
      <c r="J1546" s="3" t="s">
        <v>19</v>
      </c>
      <c r="K1546" s="3" t="s">
        <v>20</v>
      </c>
      <c r="L1546" s="5" t="s">
        <v>4285</v>
      </c>
    </row>
    <row r="1547" customFormat="false" ht="11.9" hidden="false" customHeight="true" outlineLevel="0" collapsed="false">
      <c r="A1547" s="2" t="str">
        <f aca="false">HYPERLINK("https://www.fabsurplus.com/sdi_catalog/salesItemDetails.do?id=80032")</f>
        <v>https://www.fabsurplus.com/sdi_catalog/salesItemDetails.do?id=80032</v>
      </c>
      <c r="B1547" s="2" t="s">
        <v>4286</v>
      </c>
      <c r="C1547" s="2" t="s">
        <v>4246</v>
      </c>
      <c r="D1547" s="2" t="s">
        <v>4287</v>
      </c>
      <c r="E1547" s="2" t="s">
        <v>4288</v>
      </c>
      <c r="F1547" s="2" t="s">
        <v>16</v>
      </c>
      <c r="G1547" s="2" t="s">
        <v>4249</v>
      </c>
      <c r="H1547" s="2" t="s">
        <v>18</v>
      </c>
      <c r="I1547" s="2"/>
      <c r="J1547" s="2" t="s">
        <v>19</v>
      </c>
      <c r="K1547" s="2" t="s">
        <v>20</v>
      </c>
      <c r="L1547" s="6" t="s">
        <v>4289</v>
      </c>
    </row>
    <row r="1548" customFormat="false" ht="11.9" hidden="false" customHeight="true" outlineLevel="0" collapsed="false">
      <c r="A1548" s="2" t="str">
        <f aca="false">HYPERLINK("https://www.fabsurplus.com/sdi_catalog/salesItemDetails.do?id=80033")</f>
        <v>https://www.fabsurplus.com/sdi_catalog/salesItemDetails.do?id=80033</v>
      </c>
      <c r="B1548" s="2" t="s">
        <v>4290</v>
      </c>
      <c r="C1548" s="2" t="s">
        <v>4291</v>
      </c>
      <c r="D1548" s="2" t="s">
        <v>4292</v>
      </c>
      <c r="E1548" s="2" t="s">
        <v>4293</v>
      </c>
      <c r="F1548" s="2" t="s">
        <v>4294</v>
      </c>
      <c r="G1548" s="2" t="s">
        <v>4249</v>
      </c>
      <c r="H1548" s="2" t="s">
        <v>18</v>
      </c>
      <c r="I1548" s="2"/>
      <c r="J1548" s="2" t="s">
        <v>19</v>
      </c>
      <c r="K1548" s="2" t="s">
        <v>20</v>
      </c>
      <c r="L1548" s="6" t="s">
        <v>4295</v>
      </c>
    </row>
    <row r="1549" customFormat="false" ht="11.9" hidden="false" customHeight="true" outlineLevel="0" collapsed="false">
      <c r="A1549" s="3" t="str">
        <f aca="false">HYPERLINK("https://www.fabsurplus.com/sdi_catalog/salesItemDetails.do?id=72128")</f>
        <v>https://www.fabsurplus.com/sdi_catalog/salesItemDetails.do?id=72128</v>
      </c>
      <c r="B1549" s="3" t="s">
        <v>4296</v>
      </c>
      <c r="C1549" s="3" t="s">
        <v>4297</v>
      </c>
      <c r="D1549" s="3" t="s">
        <v>4298</v>
      </c>
      <c r="E1549" s="3" t="s">
        <v>4299</v>
      </c>
      <c r="F1549" s="3" t="s">
        <v>16</v>
      </c>
      <c r="G1549" s="3" t="s">
        <v>26</v>
      </c>
      <c r="H1549" s="3" t="s">
        <v>1691</v>
      </c>
      <c r="I1549" s="3"/>
      <c r="J1549" s="3" t="s">
        <v>19</v>
      </c>
      <c r="K1549" s="3" t="s">
        <v>20</v>
      </c>
      <c r="L1549" s="5" t="s">
        <v>3340</v>
      </c>
    </row>
    <row r="1550" customFormat="false" ht="11.9" hidden="false" customHeight="true" outlineLevel="0" collapsed="false">
      <c r="A1550" s="3" t="str">
        <f aca="false">HYPERLINK("https://www.fabsurplus.com/sdi_catalog/salesItemDetails.do?id=115386")</f>
        <v>https://www.fabsurplus.com/sdi_catalog/salesItemDetails.do?id=115386</v>
      </c>
      <c r="B1550" s="3" t="s">
        <v>4300</v>
      </c>
      <c r="C1550" s="3" t="s">
        <v>4301</v>
      </c>
      <c r="D1550" s="3" t="s">
        <v>4302</v>
      </c>
      <c r="E1550" s="3" t="s">
        <v>4303</v>
      </c>
      <c r="F1550" s="3" t="s">
        <v>16</v>
      </c>
      <c r="G1550" s="3" t="s">
        <v>26</v>
      </c>
      <c r="H1550" s="3" t="s">
        <v>35</v>
      </c>
      <c r="I1550" s="3"/>
      <c r="J1550" s="3" t="s">
        <v>19</v>
      </c>
      <c r="K1550" s="3" t="s">
        <v>20</v>
      </c>
      <c r="L1550" s="5" t="s">
        <v>4304</v>
      </c>
    </row>
    <row r="1551" customFormat="false" ht="11.9" hidden="false" customHeight="true" outlineLevel="0" collapsed="false">
      <c r="A1551" s="2" t="str">
        <f aca="false">HYPERLINK("https://www.fabsurplus.com/sdi_catalog/salesItemDetails.do?id=115387")</f>
        <v>https://www.fabsurplus.com/sdi_catalog/salesItemDetails.do?id=115387</v>
      </c>
      <c r="B1551" s="2" t="s">
        <v>4305</v>
      </c>
      <c r="C1551" s="2" t="s">
        <v>4301</v>
      </c>
      <c r="D1551" s="2" t="s">
        <v>4302</v>
      </c>
      <c r="E1551" s="2" t="s">
        <v>4306</v>
      </c>
      <c r="F1551" s="2" t="s">
        <v>16</v>
      </c>
      <c r="G1551" s="2" t="s">
        <v>26</v>
      </c>
      <c r="H1551" s="2" t="s">
        <v>35</v>
      </c>
      <c r="I1551" s="2"/>
      <c r="J1551" s="2" t="s">
        <v>19</v>
      </c>
      <c r="K1551" s="2" t="s">
        <v>20</v>
      </c>
      <c r="L1551" s="2" t="s">
        <v>63</v>
      </c>
    </row>
    <row r="1552" customFormat="false" ht="11.9" hidden="false" customHeight="true" outlineLevel="0" collapsed="false">
      <c r="A1552" s="2" t="str">
        <f aca="false">HYPERLINK("https://www.fabsurplus.com/sdi_catalog/salesItemDetails.do?id=115389")</f>
        <v>https://www.fabsurplus.com/sdi_catalog/salesItemDetails.do?id=115389</v>
      </c>
      <c r="B1552" s="2" t="s">
        <v>4307</v>
      </c>
      <c r="C1552" s="2" t="s">
        <v>4301</v>
      </c>
      <c r="D1552" s="2" t="s">
        <v>4308</v>
      </c>
      <c r="E1552" s="2" t="s">
        <v>4309</v>
      </c>
      <c r="F1552" s="2" t="s">
        <v>16</v>
      </c>
      <c r="G1552" s="2" t="s">
        <v>4077</v>
      </c>
      <c r="H1552" s="2" t="s">
        <v>35</v>
      </c>
      <c r="I1552" s="2"/>
      <c r="J1552" s="2" t="s">
        <v>19</v>
      </c>
      <c r="K1552" s="2" t="s">
        <v>20</v>
      </c>
      <c r="L1552" s="2" t="s">
        <v>63</v>
      </c>
    </row>
    <row r="1553" customFormat="false" ht="11.9" hidden="false" customHeight="true" outlineLevel="0" collapsed="false">
      <c r="A1553" s="3" t="str">
        <f aca="false">HYPERLINK("https://www.fabsurplus.com/sdi_catalog/salesItemDetails.do?id=115388")</f>
        <v>https://www.fabsurplus.com/sdi_catalog/salesItemDetails.do?id=115388</v>
      </c>
      <c r="B1553" s="3" t="s">
        <v>4310</v>
      </c>
      <c r="C1553" s="3" t="s">
        <v>4301</v>
      </c>
      <c r="D1553" s="3" t="s">
        <v>4308</v>
      </c>
      <c r="E1553" s="3" t="s">
        <v>4309</v>
      </c>
      <c r="F1553" s="3" t="s">
        <v>16</v>
      </c>
      <c r="G1553" s="3" t="s">
        <v>4072</v>
      </c>
      <c r="H1553" s="3" t="s">
        <v>35</v>
      </c>
      <c r="I1553" s="3"/>
      <c r="J1553" s="3" t="s">
        <v>19</v>
      </c>
      <c r="K1553" s="3" t="s">
        <v>20</v>
      </c>
      <c r="L1553" s="3" t="s">
        <v>63</v>
      </c>
    </row>
    <row r="1554" customFormat="false" ht="11.9" hidden="false" customHeight="true" outlineLevel="0" collapsed="false">
      <c r="A1554" s="2" t="str">
        <f aca="false">HYPERLINK("https://www.fabsurplus.com/sdi_catalog/salesItemDetails.do?id=77209")</f>
        <v>https://www.fabsurplus.com/sdi_catalog/salesItemDetails.do?id=77209</v>
      </c>
      <c r="B1554" s="2" t="s">
        <v>4311</v>
      </c>
      <c r="C1554" s="2" t="s">
        <v>4297</v>
      </c>
      <c r="D1554" s="2" t="s">
        <v>4312</v>
      </c>
      <c r="E1554" s="2" t="s">
        <v>4313</v>
      </c>
      <c r="F1554" s="2" t="s">
        <v>16</v>
      </c>
      <c r="G1554" s="2"/>
      <c r="H1554" s="2" t="s">
        <v>27</v>
      </c>
      <c r="I1554" s="2"/>
      <c r="J1554" s="2" t="s">
        <v>19</v>
      </c>
      <c r="K1554" s="2" t="s">
        <v>20</v>
      </c>
      <c r="L1554" s="6" t="s">
        <v>4314</v>
      </c>
    </row>
    <row r="1555" customFormat="false" ht="11.9" hidden="false" customHeight="true" outlineLevel="0" collapsed="false">
      <c r="A1555" s="3" t="str">
        <f aca="false">HYPERLINK("https://www.fabsurplus.com/sdi_catalog/salesItemDetails.do?id=82180")</f>
        <v>https://www.fabsurplus.com/sdi_catalog/salesItemDetails.do?id=82180</v>
      </c>
      <c r="B1555" s="3" t="s">
        <v>4315</v>
      </c>
      <c r="C1555" s="3" t="s">
        <v>4297</v>
      </c>
      <c r="D1555" s="3" t="s">
        <v>4312</v>
      </c>
      <c r="E1555" s="3" t="s">
        <v>4316</v>
      </c>
      <c r="F1555" s="3" t="s">
        <v>16</v>
      </c>
      <c r="G1555" s="3"/>
      <c r="H1555" s="3" t="s">
        <v>27</v>
      </c>
      <c r="I1555" s="3"/>
      <c r="J1555" s="3" t="s">
        <v>19</v>
      </c>
      <c r="K1555" s="3" t="s">
        <v>20</v>
      </c>
      <c r="L1555" s="5" t="s">
        <v>4317</v>
      </c>
    </row>
    <row r="1556" customFormat="false" ht="11.9" hidden="false" customHeight="true" outlineLevel="0" collapsed="false">
      <c r="A1556" s="3" t="str">
        <f aca="false">HYPERLINK("https://www.fabsurplus.com/sdi_catalog/salesItemDetails.do?id=95559")</f>
        <v>https://www.fabsurplus.com/sdi_catalog/salesItemDetails.do?id=95559</v>
      </c>
      <c r="B1556" s="3" t="s">
        <v>4318</v>
      </c>
      <c r="C1556" s="3" t="s">
        <v>4297</v>
      </c>
      <c r="D1556" s="3" t="s">
        <v>4319</v>
      </c>
      <c r="E1556" s="3" t="s">
        <v>4320</v>
      </c>
      <c r="F1556" s="3" t="s">
        <v>16</v>
      </c>
      <c r="G1556" s="3" t="s">
        <v>4233</v>
      </c>
      <c r="H1556" s="3" t="s">
        <v>27</v>
      </c>
      <c r="I1556" s="4" t="n">
        <v>36647</v>
      </c>
      <c r="J1556" s="3" t="s">
        <v>19</v>
      </c>
      <c r="K1556" s="3" t="s">
        <v>20</v>
      </c>
      <c r="L1556" s="5" t="s">
        <v>4321</v>
      </c>
    </row>
    <row r="1557" customFormat="false" ht="11.9" hidden="false" customHeight="true" outlineLevel="0" collapsed="false">
      <c r="A1557" s="3" t="str">
        <f aca="false">HYPERLINK("https://www.fabsurplus.com/sdi_catalog/salesItemDetails.do?id=54217")</f>
        <v>https://www.fabsurplus.com/sdi_catalog/salesItemDetails.do?id=54217</v>
      </c>
      <c r="B1557" s="3" t="s">
        <v>4322</v>
      </c>
      <c r="C1557" s="3" t="s">
        <v>4297</v>
      </c>
      <c r="D1557" s="3" t="s">
        <v>4323</v>
      </c>
      <c r="E1557" s="3" t="s">
        <v>4324</v>
      </c>
      <c r="F1557" s="3" t="s">
        <v>69</v>
      </c>
      <c r="G1557" s="3" t="s">
        <v>4072</v>
      </c>
      <c r="H1557" s="3" t="s">
        <v>35</v>
      </c>
      <c r="I1557" s="4" t="n">
        <v>39142</v>
      </c>
      <c r="J1557" s="3" t="s">
        <v>19</v>
      </c>
      <c r="K1557" s="3" t="s">
        <v>20</v>
      </c>
      <c r="L1557" s="5" t="s">
        <v>4325</v>
      </c>
    </row>
    <row r="1558" customFormat="false" ht="11.9" hidden="false" customHeight="true" outlineLevel="0" collapsed="false">
      <c r="A1558" s="2" t="str">
        <f aca="false">HYPERLINK("https://www.fabsurplus.com/sdi_catalog/salesItemDetails.do?id=54218")</f>
        <v>https://www.fabsurplus.com/sdi_catalog/salesItemDetails.do?id=54218</v>
      </c>
      <c r="B1558" s="2" t="s">
        <v>4326</v>
      </c>
      <c r="C1558" s="2" t="s">
        <v>4297</v>
      </c>
      <c r="D1558" s="2" t="s">
        <v>4323</v>
      </c>
      <c r="E1558" s="2" t="s">
        <v>4324</v>
      </c>
      <c r="F1558" s="2" t="s">
        <v>16</v>
      </c>
      <c r="G1558" s="2" t="s">
        <v>4072</v>
      </c>
      <c r="H1558" s="2" t="s">
        <v>35</v>
      </c>
      <c r="I1558" s="7" t="n">
        <v>39142</v>
      </c>
      <c r="J1558" s="2" t="s">
        <v>19</v>
      </c>
      <c r="K1558" s="2" t="s">
        <v>20</v>
      </c>
      <c r="L1558" s="6" t="s">
        <v>4327</v>
      </c>
    </row>
    <row r="1559" customFormat="false" ht="11.9" hidden="false" customHeight="true" outlineLevel="0" collapsed="false">
      <c r="A1559" s="3" t="str">
        <f aca="false">HYPERLINK("https://www.fabsurplus.com/sdi_catalog/salesItemDetails.do?id=54219")</f>
        <v>https://www.fabsurplus.com/sdi_catalog/salesItemDetails.do?id=54219</v>
      </c>
      <c r="B1559" s="3" t="s">
        <v>4328</v>
      </c>
      <c r="C1559" s="3" t="s">
        <v>4297</v>
      </c>
      <c r="D1559" s="3" t="s">
        <v>4323</v>
      </c>
      <c r="E1559" s="3" t="s">
        <v>4324</v>
      </c>
      <c r="F1559" s="3" t="s">
        <v>16</v>
      </c>
      <c r="G1559" s="3" t="s">
        <v>4072</v>
      </c>
      <c r="H1559" s="3" t="s">
        <v>35</v>
      </c>
      <c r="I1559" s="4" t="n">
        <v>39142</v>
      </c>
      <c r="J1559" s="3" t="s">
        <v>19</v>
      </c>
      <c r="K1559" s="3" t="s">
        <v>20</v>
      </c>
      <c r="L1559" s="5" t="s">
        <v>4329</v>
      </c>
    </row>
    <row r="1560" customFormat="false" ht="11.9" hidden="false" customHeight="true" outlineLevel="0" collapsed="false">
      <c r="A1560" s="3" t="str">
        <f aca="false">HYPERLINK("https://www.fabsurplus.com/sdi_catalog/salesItemDetails.do?id=106974")</f>
        <v>https://www.fabsurplus.com/sdi_catalog/salesItemDetails.do?id=106974</v>
      </c>
      <c r="B1560" s="3" t="s">
        <v>4330</v>
      </c>
      <c r="C1560" s="3" t="s">
        <v>4297</v>
      </c>
      <c r="D1560" s="3" t="s">
        <v>4331</v>
      </c>
      <c r="E1560" s="3" t="s">
        <v>4332</v>
      </c>
      <c r="F1560" s="3" t="s">
        <v>16</v>
      </c>
      <c r="G1560" s="3" t="s">
        <v>4072</v>
      </c>
      <c r="H1560" s="3" t="s">
        <v>35</v>
      </c>
      <c r="I1560" s="4" t="n">
        <v>34851</v>
      </c>
      <c r="J1560" s="3" t="s">
        <v>19</v>
      </c>
      <c r="K1560" s="3" t="s">
        <v>20</v>
      </c>
      <c r="L1560" s="5" t="s">
        <v>4333</v>
      </c>
    </row>
    <row r="1561" customFormat="false" ht="11.9" hidden="false" customHeight="true" outlineLevel="0" collapsed="false">
      <c r="A1561" s="2" t="str">
        <f aca="false">HYPERLINK("https://www.fabsurplus.com/sdi_catalog/salesItemDetails.do?id=106973")</f>
        <v>https://www.fabsurplus.com/sdi_catalog/salesItemDetails.do?id=106973</v>
      </c>
      <c r="B1561" s="2" t="s">
        <v>4334</v>
      </c>
      <c r="C1561" s="2" t="s">
        <v>4297</v>
      </c>
      <c r="D1561" s="2" t="s">
        <v>4335</v>
      </c>
      <c r="E1561" s="2" t="s">
        <v>4332</v>
      </c>
      <c r="F1561" s="2" t="s">
        <v>16</v>
      </c>
      <c r="G1561" s="2" t="s">
        <v>4072</v>
      </c>
      <c r="H1561" s="2" t="s">
        <v>35</v>
      </c>
      <c r="I1561" s="7" t="n">
        <v>34851</v>
      </c>
      <c r="J1561" s="2" t="s">
        <v>19</v>
      </c>
      <c r="K1561" s="2" t="s">
        <v>20</v>
      </c>
      <c r="L1561" s="6" t="s">
        <v>4333</v>
      </c>
    </row>
    <row r="1562" customFormat="false" ht="11.9" hidden="false" customHeight="true" outlineLevel="0" collapsed="false">
      <c r="A1562" s="2" t="str">
        <f aca="false">HYPERLINK("https://www.fabsurplus.com/sdi_catalog/salesItemDetails.do?id=106975")</f>
        <v>https://www.fabsurplus.com/sdi_catalog/salesItemDetails.do?id=106975</v>
      </c>
      <c r="B1562" s="2" t="s">
        <v>4336</v>
      </c>
      <c r="C1562" s="2" t="s">
        <v>4297</v>
      </c>
      <c r="D1562" s="2" t="s">
        <v>4335</v>
      </c>
      <c r="E1562" s="2" t="s">
        <v>4332</v>
      </c>
      <c r="F1562" s="2" t="s">
        <v>16</v>
      </c>
      <c r="G1562" s="2" t="s">
        <v>4072</v>
      </c>
      <c r="H1562" s="2" t="s">
        <v>35</v>
      </c>
      <c r="I1562" s="7" t="n">
        <v>34851</v>
      </c>
      <c r="J1562" s="2" t="s">
        <v>19</v>
      </c>
      <c r="K1562" s="2" t="s">
        <v>20</v>
      </c>
      <c r="L1562" s="6" t="s">
        <v>4333</v>
      </c>
    </row>
    <row r="1563" customFormat="false" ht="11.9" hidden="false" customHeight="true" outlineLevel="0" collapsed="false">
      <c r="A1563" s="3" t="str">
        <f aca="false">HYPERLINK("https://www.fabsurplus.com/sdi_catalog/salesItemDetails.do?id=106972")</f>
        <v>https://www.fabsurplus.com/sdi_catalog/salesItemDetails.do?id=106972</v>
      </c>
      <c r="B1563" s="3" t="s">
        <v>4337</v>
      </c>
      <c r="C1563" s="3" t="s">
        <v>4297</v>
      </c>
      <c r="D1563" s="3" t="s">
        <v>4338</v>
      </c>
      <c r="E1563" s="3" t="s">
        <v>4339</v>
      </c>
      <c r="F1563" s="3" t="s">
        <v>16</v>
      </c>
      <c r="G1563" s="3" t="s">
        <v>4072</v>
      </c>
      <c r="H1563" s="3" t="s">
        <v>35</v>
      </c>
      <c r="I1563" s="4" t="n">
        <v>34851</v>
      </c>
      <c r="J1563" s="3" t="s">
        <v>19</v>
      </c>
      <c r="K1563" s="3" t="s">
        <v>20</v>
      </c>
      <c r="L1563" s="5" t="s">
        <v>4340</v>
      </c>
    </row>
    <row r="1564" customFormat="false" ht="11.9" hidden="false" customHeight="true" outlineLevel="0" collapsed="false">
      <c r="A1564" s="2" t="str">
        <f aca="false">HYPERLINK("https://www.fabsurplus.com/sdi_catalog/salesItemDetails.do?id=72127")</f>
        <v>https://www.fabsurplus.com/sdi_catalog/salesItemDetails.do?id=72127</v>
      </c>
      <c r="B1564" s="2" t="s">
        <v>4341</v>
      </c>
      <c r="C1564" s="2" t="s">
        <v>4297</v>
      </c>
      <c r="D1564" s="2" t="s">
        <v>4342</v>
      </c>
      <c r="E1564" s="2" t="s">
        <v>4343</v>
      </c>
      <c r="F1564" s="2" t="s">
        <v>16</v>
      </c>
      <c r="G1564" s="2" t="s">
        <v>26</v>
      </c>
      <c r="H1564" s="2" t="s">
        <v>27</v>
      </c>
      <c r="I1564" s="2"/>
      <c r="J1564" s="2" t="s">
        <v>19</v>
      </c>
      <c r="K1564" s="2" t="s">
        <v>20</v>
      </c>
      <c r="L1564" s="6" t="s">
        <v>3340</v>
      </c>
    </row>
    <row r="1565" customFormat="false" ht="11.9" hidden="false" customHeight="true" outlineLevel="0" collapsed="false">
      <c r="A1565" s="2" t="str">
        <f aca="false">HYPERLINK("https://www.fabsurplus.com/sdi_catalog/salesItemDetails.do?id=106919")</f>
        <v>https://www.fabsurplus.com/sdi_catalog/salesItemDetails.do?id=106919</v>
      </c>
      <c r="B1565" s="2" t="s">
        <v>4344</v>
      </c>
      <c r="C1565" s="2" t="s">
        <v>4297</v>
      </c>
      <c r="D1565" s="2" t="s">
        <v>4345</v>
      </c>
      <c r="E1565" s="2" t="s">
        <v>4346</v>
      </c>
      <c r="F1565" s="2" t="s">
        <v>16</v>
      </c>
      <c r="G1565" s="2" t="s">
        <v>4077</v>
      </c>
      <c r="H1565" s="2" t="s">
        <v>35</v>
      </c>
      <c r="I1565" s="7" t="n">
        <v>37408</v>
      </c>
      <c r="J1565" s="2" t="s">
        <v>19</v>
      </c>
      <c r="K1565" s="2" t="s">
        <v>20</v>
      </c>
      <c r="L1565" s="6" t="s">
        <v>4347</v>
      </c>
    </row>
    <row r="1566" customFormat="false" ht="11.9" hidden="false" customHeight="true" outlineLevel="0" collapsed="false">
      <c r="A1566" s="3" t="str">
        <f aca="false">HYPERLINK("https://www.fabsurplus.com/sdi_catalog/salesItemDetails.do?id=115390")</f>
        <v>https://www.fabsurplus.com/sdi_catalog/salesItemDetails.do?id=115390</v>
      </c>
      <c r="B1566" s="3" t="s">
        <v>4348</v>
      </c>
      <c r="C1566" s="3" t="s">
        <v>4301</v>
      </c>
      <c r="D1566" s="3" t="s">
        <v>4349</v>
      </c>
      <c r="E1566" s="3" t="s">
        <v>4350</v>
      </c>
      <c r="F1566" s="3" t="s">
        <v>16</v>
      </c>
      <c r="G1566" s="3" t="s">
        <v>26</v>
      </c>
      <c r="H1566" s="3"/>
      <c r="I1566" s="3"/>
      <c r="J1566" s="3" t="s">
        <v>19</v>
      </c>
      <c r="K1566" s="3"/>
      <c r="L1566" s="3" t="s">
        <v>63</v>
      </c>
    </row>
    <row r="1567" customFormat="false" ht="11.9" hidden="false" customHeight="true" outlineLevel="0" collapsed="false">
      <c r="A1567" s="2" t="str">
        <f aca="false">HYPERLINK("https://www.fabsurplus.com/sdi_catalog/salesItemDetails.do?id=83582")</f>
        <v>https://www.fabsurplus.com/sdi_catalog/salesItemDetails.do?id=83582</v>
      </c>
      <c r="B1567" s="2" t="s">
        <v>4351</v>
      </c>
      <c r="C1567" s="2" t="s">
        <v>4301</v>
      </c>
      <c r="D1567" s="2" t="s">
        <v>4352</v>
      </c>
      <c r="E1567" s="2" t="s">
        <v>4353</v>
      </c>
      <c r="F1567" s="2" t="s">
        <v>16</v>
      </c>
      <c r="G1567" s="2" t="s">
        <v>4354</v>
      </c>
      <c r="H1567" s="2" t="s">
        <v>27</v>
      </c>
      <c r="I1567" s="2"/>
      <c r="J1567" s="2" t="s">
        <v>19</v>
      </c>
      <c r="K1567" s="2" t="s">
        <v>20</v>
      </c>
      <c r="L1567" s="6" t="s">
        <v>4355</v>
      </c>
    </row>
    <row r="1568" customFormat="false" ht="11.9" hidden="false" customHeight="true" outlineLevel="0" collapsed="false">
      <c r="A1568" s="3" t="str">
        <f aca="false">HYPERLINK("https://www.fabsurplus.com/sdi_catalog/salesItemDetails.do?id=69878")</f>
        <v>https://www.fabsurplus.com/sdi_catalog/salesItemDetails.do?id=69878</v>
      </c>
      <c r="B1568" s="3" t="s">
        <v>4356</v>
      </c>
      <c r="C1568" s="3" t="s">
        <v>4357</v>
      </c>
      <c r="D1568" s="3" t="s">
        <v>4358</v>
      </c>
      <c r="E1568" s="3" t="s">
        <v>4359</v>
      </c>
      <c r="F1568" s="3" t="s">
        <v>16</v>
      </c>
      <c r="G1568" s="3" t="s">
        <v>4306</v>
      </c>
      <c r="H1568" s="3"/>
      <c r="I1568" s="4" t="n">
        <v>36434</v>
      </c>
      <c r="J1568" s="3" t="s">
        <v>19</v>
      </c>
      <c r="K1568" s="3" t="s">
        <v>20</v>
      </c>
      <c r="L1568" s="5" t="s">
        <v>4360</v>
      </c>
    </row>
    <row r="1569" customFormat="false" ht="11.9" hidden="false" customHeight="true" outlineLevel="0" collapsed="false">
      <c r="A1569" s="2" t="str">
        <f aca="false">HYPERLINK("https://www.fabsurplus.com/sdi_catalog/salesItemDetails.do?id=79521")</f>
        <v>https://www.fabsurplus.com/sdi_catalog/salesItemDetails.do?id=79521</v>
      </c>
      <c r="B1569" s="2" t="s">
        <v>4361</v>
      </c>
      <c r="C1569" s="2" t="s">
        <v>4362</v>
      </c>
      <c r="D1569" s="2" t="s">
        <v>4363</v>
      </c>
      <c r="E1569" s="2" t="s">
        <v>4364</v>
      </c>
      <c r="F1569" s="2" t="s">
        <v>16</v>
      </c>
      <c r="G1569" s="2"/>
      <c r="H1569" s="2" t="s">
        <v>883</v>
      </c>
      <c r="I1569" s="7" t="n">
        <v>36892</v>
      </c>
      <c r="J1569" s="2" t="s">
        <v>19</v>
      </c>
      <c r="K1569" s="2" t="s">
        <v>20</v>
      </c>
      <c r="L1569" s="2" t="s">
        <v>4365</v>
      </c>
    </row>
    <row r="1570" customFormat="false" ht="11.9" hidden="false" customHeight="true" outlineLevel="0" collapsed="false">
      <c r="A1570" s="3" t="str">
        <f aca="false">HYPERLINK("https://www.fabsurplus.com/sdi_catalog/salesItemDetails.do?id=15658")</f>
        <v>https://www.fabsurplus.com/sdi_catalog/salesItemDetails.do?id=15658</v>
      </c>
      <c r="B1570" s="3" t="s">
        <v>4366</v>
      </c>
      <c r="C1570" s="3" t="s">
        <v>4367</v>
      </c>
      <c r="D1570" s="3" t="s">
        <v>4368</v>
      </c>
      <c r="E1570" s="3" t="s">
        <v>15</v>
      </c>
      <c r="F1570" s="3" t="s">
        <v>16</v>
      </c>
      <c r="G1570" s="3" t="s">
        <v>17</v>
      </c>
      <c r="H1570" s="3" t="s">
        <v>18</v>
      </c>
      <c r="I1570" s="3"/>
      <c r="J1570" s="3" t="s">
        <v>19</v>
      </c>
      <c r="K1570" s="3" t="s">
        <v>20</v>
      </c>
      <c r="L1570" s="5" t="s">
        <v>4369</v>
      </c>
    </row>
    <row r="1571" customFormat="false" ht="11.9" hidden="false" customHeight="true" outlineLevel="0" collapsed="false">
      <c r="A1571" s="3" t="str">
        <f aca="false">HYPERLINK("https://www.fabsurplus.com/sdi_catalog/salesItemDetails.do?id=83639")</f>
        <v>https://www.fabsurplus.com/sdi_catalog/salesItemDetails.do?id=83639</v>
      </c>
      <c r="B1571" s="3" t="s">
        <v>4370</v>
      </c>
      <c r="C1571" s="3" t="s">
        <v>4371</v>
      </c>
      <c r="D1571" s="3" t="s">
        <v>4372</v>
      </c>
      <c r="E1571" s="3" t="s">
        <v>15</v>
      </c>
      <c r="F1571" s="3" t="s">
        <v>3734</v>
      </c>
      <c r="G1571" s="3" t="s">
        <v>4373</v>
      </c>
      <c r="H1571" s="3" t="s">
        <v>18</v>
      </c>
      <c r="I1571" s="3"/>
      <c r="J1571" s="3" t="s">
        <v>19</v>
      </c>
      <c r="K1571" s="3" t="s">
        <v>20</v>
      </c>
      <c r="L1571" s="5" t="s">
        <v>4374</v>
      </c>
    </row>
    <row r="1572" customFormat="false" ht="11.9" hidden="false" customHeight="true" outlineLevel="0" collapsed="false">
      <c r="A1572" s="2" t="str">
        <f aca="false">HYPERLINK("https://www.fabsurplus.com/sdi_catalog/salesItemDetails.do?id=83636")</f>
        <v>https://www.fabsurplus.com/sdi_catalog/salesItemDetails.do?id=83636</v>
      </c>
      <c r="B1572" s="2" t="s">
        <v>4375</v>
      </c>
      <c r="C1572" s="2" t="s">
        <v>4371</v>
      </c>
      <c r="D1572" s="2" t="s">
        <v>4376</v>
      </c>
      <c r="E1572" s="2" t="s">
        <v>15</v>
      </c>
      <c r="F1572" s="2" t="s">
        <v>69</v>
      </c>
      <c r="G1572" s="2" t="s">
        <v>4377</v>
      </c>
      <c r="H1572" s="2" t="s">
        <v>35</v>
      </c>
      <c r="I1572" s="2"/>
      <c r="J1572" s="2" t="s">
        <v>19</v>
      </c>
      <c r="K1572" s="2" t="s">
        <v>20</v>
      </c>
      <c r="L1572" s="6" t="s">
        <v>4378</v>
      </c>
    </row>
    <row r="1573" customFormat="false" ht="11.9" hidden="false" customHeight="true" outlineLevel="0" collapsed="false">
      <c r="A1573" s="3" t="str">
        <f aca="false">HYPERLINK("https://www.fabsurplus.com/sdi_catalog/salesItemDetails.do?id=110074")</f>
        <v>https://www.fabsurplus.com/sdi_catalog/salesItemDetails.do?id=110074</v>
      </c>
      <c r="B1573" s="3" t="s">
        <v>4379</v>
      </c>
      <c r="C1573" s="3" t="s">
        <v>4380</v>
      </c>
      <c r="D1573" s="3" t="s">
        <v>4381</v>
      </c>
      <c r="E1573" s="3" t="s">
        <v>133</v>
      </c>
      <c r="F1573" s="3" t="s">
        <v>16</v>
      </c>
      <c r="G1573" s="3" t="s">
        <v>41</v>
      </c>
      <c r="H1573" s="3"/>
      <c r="I1573" s="3"/>
      <c r="J1573" s="3" t="s">
        <v>42</v>
      </c>
      <c r="K1573" s="3"/>
      <c r="L1573" s="3" t="s">
        <v>349</v>
      </c>
    </row>
    <row r="1574" customFormat="false" ht="11.9" hidden="false" customHeight="true" outlineLevel="0" collapsed="false">
      <c r="A1574" s="2" t="str">
        <f aca="false">HYPERLINK("https://www.fabsurplus.com/sdi_catalog/salesItemDetails.do?id=110073")</f>
        <v>https://www.fabsurplus.com/sdi_catalog/salesItemDetails.do?id=110073</v>
      </c>
      <c r="B1574" s="2" t="s">
        <v>4382</v>
      </c>
      <c r="C1574" s="2" t="s">
        <v>4380</v>
      </c>
      <c r="D1574" s="2" t="s">
        <v>4381</v>
      </c>
      <c r="E1574" s="2" t="s">
        <v>133</v>
      </c>
      <c r="F1574" s="2" t="s">
        <v>16</v>
      </c>
      <c r="G1574" s="2" t="s">
        <v>41</v>
      </c>
      <c r="H1574" s="2"/>
      <c r="I1574" s="2"/>
      <c r="J1574" s="2" t="s">
        <v>42</v>
      </c>
      <c r="K1574" s="2"/>
      <c r="L1574" s="2" t="s">
        <v>349</v>
      </c>
    </row>
    <row r="1575" customFormat="false" ht="11.9" hidden="false" customHeight="true" outlineLevel="0" collapsed="false">
      <c r="A1575" s="3" t="str">
        <f aca="false">HYPERLINK("https://www.fabsurplus.com/sdi_catalog/salesItemDetails.do?id=110072")</f>
        <v>https://www.fabsurplus.com/sdi_catalog/salesItemDetails.do?id=110072</v>
      </c>
      <c r="B1575" s="3" t="s">
        <v>4383</v>
      </c>
      <c r="C1575" s="3" t="s">
        <v>4380</v>
      </c>
      <c r="D1575" s="3" t="s">
        <v>4381</v>
      </c>
      <c r="E1575" s="3" t="s">
        <v>133</v>
      </c>
      <c r="F1575" s="3" t="s">
        <v>16</v>
      </c>
      <c r="G1575" s="3" t="s">
        <v>41</v>
      </c>
      <c r="H1575" s="3"/>
      <c r="I1575" s="3"/>
      <c r="J1575" s="3" t="s">
        <v>42</v>
      </c>
      <c r="K1575" s="3"/>
      <c r="L1575" s="3" t="s">
        <v>349</v>
      </c>
    </row>
    <row r="1576" customFormat="false" ht="11.9" hidden="false" customHeight="true" outlineLevel="0" collapsed="false">
      <c r="A1576" s="2" t="str">
        <f aca="false">HYPERLINK("https://www.fabsurplus.com/sdi_catalog/salesItemDetails.do?id=79887")</f>
        <v>https://www.fabsurplus.com/sdi_catalog/salesItemDetails.do?id=79887</v>
      </c>
      <c r="B1576" s="2" t="s">
        <v>4384</v>
      </c>
      <c r="C1576" s="2" t="s">
        <v>4385</v>
      </c>
      <c r="D1576" s="2" t="s">
        <v>4386</v>
      </c>
      <c r="E1576" s="2" t="s">
        <v>4387</v>
      </c>
      <c r="F1576" s="2" t="s">
        <v>16</v>
      </c>
      <c r="G1576" s="2" t="s">
        <v>4388</v>
      </c>
      <c r="H1576" s="2" t="s">
        <v>27</v>
      </c>
      <c r="I1576" s="7" t="n">
        <v>34820</v>
      </c>
      <c r="J1576" s="2" t="s">
        <v>19</v>
      </c>
      <c r="K1576" s="2" t="s">
        <v>20</v>
      </c>
      <c r="L1576" s="6" t="s">
        <v>4389</v>
      </c>
    </row>
    <row r="1577" customFormat="false" ht="11.9" hidden="false" customHeight="true" outlineLevel="0" collapsed="false">
      <c r="A1577" s="3" t="str">
        <f aca="false">HYPERLINK("https://www.fabsurplus.com/sdi_catalog/salesItemDetails.do?id=79885")</f>
        <v>https://www.fabsurplus.com/sdi_catalog/salesItemDetails.do?id=79885</v>
      </c>
      <c r="B1577" s="3" t="s">
        <v>4390</v>
      </c>
      <c r="C1577" s="3" t="s">
        <v>4385</v>
      </c>
      <c r="D1577" s="3" t="s">
        <v>4391</v>
      </c>
      <c r="E1577" s="3" t="s">
        <v>4392</v>
      </c>
      <c r="F1577" s="3" t="s">
        <v>16</v>
      </c>
      <c r="G1577" s="3" t="s">
        <v>868</v>
      </c>
      <c r="H1577" s="3" t="s">
        <v>35</v>
      </c>
      <c r="I1577" s="3"/>
      <c r="J1577" s="3" t="s">
        <v>19</v>
      </c>
      <c r="K1577" s="3" t="s">
        <v>20</v>
      </c>
      <c r="L1577" s="5" t="s">
        <v>4393</v>
      </c>
    </row>
    <row r="1578" customFormat="false" ht="11.9" hidden="false" customHeight="true" outlineLevel="0" collapsed="false">
      <c r="A1578" s="2" t="str">
        <f aca="false">HYPERLINK("https://www.fabsurplus.com/sdi_catalog/salesItemDetails.do?id=79596")</f>
        <v>https://www.fabsurplus.com/sdi_catalog/salesItemDetails.do?id=79596</v>
      </c>
      <c r="B1578" s="2" t="s">
        <v>4394</v>
      </c>
      <c r="C1578" s="2" t="s">
        <v>4385</v>
      </c>
      <c r="D1578" s="2" t="s">
        <v>4395</v>
      </c>
      <c r="E1578" s="2" t="s">
        <v>4396</v>
      </c>
      <c r="F1578" s="2" t="s">
        <v>101</v>
      </c>
      <c r="G1578" s="2" t="s">
        <v>868</v>
      </c>
      <c r="H1578" s="2" t="s">
        <v>27</v>
      </c>
      <c r="I1578" s="7" t="n">
        <v>36647</v>
      </c>
      <c r="J1578" s="2" t="s">
        <v>19</v>
      </c>
      <c r="K1578" s="2" t="s">
        <v>20</v>
      </c>
      <c r="L1578" s="6" t="s">
        <v>4397</v>
      </c>
    </row>
    <row r="1579" customFormat="false" ht="11.9" hidden="false" customHeight="true" outlineLevel="0" collapsed="false">
      <c r="A1579" s="3" t="str">
        <f aca="false">HYPERLINK("https://www.fabsurplus.com/sdi_catalog/salesItemDetails.do?id=110093")</f>
        <v>https://www.fabsurplus.com/sdi_catalog/salesItemDetails.do?id=110093</v>
      </c>
      <c r="B1579" s="3" t="s">
        <v>4398</v>
      </c>
      <c r="C1579" s="3" t="s">
        <v>4399</v>
      </c>
      <c r="D1579" s="3" t="s">
        <v>4400</v>
      </c>
      <c r="E1579" s="3" t="s">
        <v>47</v>
      </c>
      <c r="F1579" s="3" t="s">
        <v>16</v>
      </c>
      <c r="G1579" s="3" t="s">
        <v>41</v>
      </c>
      <c r="H1579" s="3"/>
      <c r="I1579" s="3"/>
      <c r="J1579" s="3" t="s">
        <v>42</v>
      </c>
      <c r="K1579" s="3"/>
      <c r="L1579" s="3" t="s">
        <v>4401</v>
      </c>
    </row>
    <row r="1580" customFormat="false" ht="11.9" hidden="false" customHeight="true" outlineLevel="0" collapsed="false">
      <c r="A1580" s="2" t="str">
        <f aca="false">HYPERLINK("https://www.fabsurplus.com/sdi_catalog/salesItemDetails.do?id=110092")</f>
        <v>https://www.fabsurplus.com/sdi_catalog/salesItemDetails.do?id=110092</v>
      </c>
      <c r="B1580" s="2" t="s">
        <v>4402</v>
      </c>
      <c r="C1580" s="2" t="s">
        <v>4399</v>
      </c>
      <c r="D1580" s="2" t="s">
        <v>4400</v>
      </c>
      <c r="E1580" s="2" t="s">
        <v>47</v>
      </c>
      <c r="F1580" s="2" t="s">
        <v>16</v>
      </c>
      <c r="G1580" s="2" t="s">
        <v>41</v>
      </c>
      <c r="H1580" s="2"/>
      <c r="I1580" s="2"/>
      <c r="J1580" s="2" t="s">
        <v>42</v>
      </c>
      <c r="K1580" s="2"/>
      <c r="L1580" s="2" t="s">
        <v>4403</v>
      </c>
    </row>
    <row r="1581" customFormat="false" ht="11.9" hidden="false" customHeight="true" outlineLevel="0" collapsed="false">
      <c r="A1581" s="3" t="str">
        <f aca="false">HYPERLINK("https://www.fabsurplus.com/sdi_catalog/salesItemDetails.do?id=110091")</f>
        <v>https://www.fabsurplus.com/sdi_catalog/salesItemDetails.do?id=110091</v>
      </c>
      <c r="B1581" s="3" t="s">
        <v>4404</v>
      </c>
      <c r="C1581" s="3" t="s">
        <v>4399</v>
      </c>
      <c r="D1581" s="3" t="s">
        <v>4400</v>
      </c>
      <c r="E1581" s="3" t="s">
        <v>47</v>
      </c>
      <c r="F1581" s="3" t="s">
        <v>16</v>
      </c>
      <c r="G1581" s="3" t="s">
        <v>41</v>
      </c>
      <c r="H1581" s="3"/>
      <c r="I1581" s="3"/>
      <c r="J1581" s="3" t="s">
        <v>42</v>
      </c>
      <c r="K1581" s="3"/>
      <c r="L1581" s="3" t="s">
        <v>4403</v>
      </c>
    </row>
    <row r="1582" customFormat="false" ht="11.9" hidden="false" customHeight="true" outlineLevel="0" collapsed="false">
      <c r="A1582" s="2" t="str">
        <f aca="false">HYPERLINK("https://www.fabsurplus.com/sdi_catalog/salesItemDetails.do?id=110090")</f>
        <v>https://www.fabsurplus.com/sdi_catalog/salesItemDetails.do?id=110090</v>
      </c>
      <c r="B1582" s="2" t="s">
        <v>4405</v>
      </c>
      <c r="C1582" s="2" t="s">
        <v>4399</v>
      </c>
      <c r="D1582" s="2" t="s">
        <v>4400</v>
      </c>
      <c r="E1582" s="2" t="s">
        <v>47</v>
      </c>
      <c r="F1582" s="2" t="s">
        <v>16</v>
      </c>
      <c r="G1582" s="2" t="s">
        <v>41</v>
      </c>
      <c r="H1582" s="2"/>
      <c r="I1582" s="2"/>
      <c r="J1582" s="2" t="s">
        <v>42</v>
      </c>
      <c r="K1582" s="2"/>
      <c r="L1582" s="2" t="s">
        <v>4403</v>
      </c>
    </row>
    <row r="1583" customFormat="false" ht="11.9" hidden="false" customHeight="true" outlineLevel="0" collapsed="false">
      <c r="A1583" s="3" t="str">
        <f aca="false">HYPERLINK("https://www.fabsurplus.com/sdi_catalog/salesItemDetails.do?id=110089")</f>
        <v>https://www.fabsurplus.com/sdi_catalog/salesItemDetails.do?id=110089</v>
      </c>
      <c r="B1583" s="3" t="s">
        <v>4406</v>
      </c>
      <c r="C1583" s="3" t="s">
        <v>4399</v>
      </c>
      <c r="D1583" s="3" t="s">
        <v>4400</v>
      </c>
      <c r="E1583" s="3" t="s">
        <v>47</v>
      </c>
      <c r="F1583" s="3" t="s">
        <v>16</v>
      </c>
      <c r="G1583" s="3" t="s">
        <v>41</v>
      </c>
      <c r="H1583" s="3"/>
      <c r="I1583" s="3"/>
      <c r="J1583" s="3" t="s">
        <v>42</v>
      </c>
      <c r="K1583" s="3"/>
      <c r="L1583" s="3" t="s">
        <v>4403</v>
      </c>
    </row>
    <row r="1584" customFormat="false" ht="11.9" hidden="false" customHeight="true" outlineLevel="0" collapsed="false">
      <c r="A1584" s="2" t="str">
        <f aca="false">HYPERLINK("https://www.fabsurplus.com/sdi_catalog/salesItemDetails.do?id=110088")</f>
        <v>https://www.fabsurplus.com/sdi_catalog/salesItemDetails.do?id=110088</v>
      </c>
      <c r="B1584" s="2" t="s">
        <v>4407</v>
      </c>
      <c r="C1584" s="2" t="s">
        <v>4399</v>
      </c>
      <c r="D1584" s="2" t="s">
        <v>4400</v>
      </c>
      <c r="E1584" s="2" t="s">
        <v>47</v>
      </c>
      <c r="F1584" s="2" t="s">
        <v>16</v>
      </c>
      <c r="G1584" s="2" t="s">
        <v>41</v>
      </c>
      <c r="H1584" s="2"/>
      <c r="I1584" s="2"/>
      <c r="J1584" s="2" t="s">
        <v>42</v>
      </c>
      <c r="K1584" s="2"/>
      <c r="L1584" s="2" t="s">
        <v>349</v>
      </c>
    </row>
    <row r="1585" customFormat="false" ht="11.9" hidden="false" customHeight="true" outlineLevel="0" collapsed="false">
      <c r="A1585" s="3" t="str">
        <f aca="false">HYPERLINK("https://www.fabsurplus.com/sdi_catalog/salesItemDetails.do?id=110087")</f>
        <v>https://www.fabsurplus.com/sdi_catalog/salesItemDetails.do?id=110087</v>
      </c>
      <c r="B1585" s="3" t="s">
        <v>4408</v>
      </c>
      <c r="C1585" s="3" t="s">
        <v>4399</v>
      </c>
      <c r="D1585" s="3" t="s">
        <v>4400</v>
      </c>
      <c r="E1585" s="3" t="s">
        <v>47</v>
      </c>
      <c r="F1585" s="3" t="s">
        <v>16</v>
      </c>
      <c r="G1585" s="3" t="s">
        <v>41</v>
      </c>
      <c r="H1585" s="3"/>
      <c r="I1585" s="3"/>
      <c r="J1585" s="3" t="s">
        <v>42</v>
      </c>
      <c r="K1585" s="3"/>
      <c r="L1585" s="3" t="s">
        <v>349</v>
      </c>
    </row>
    <row r="1586" customFormat="false" ht="11.9" hidden="false" customHeight="true" outlineLevel="0" collapsed="false">
      <c r="A1586" s="3" t="str">
        <f aca="false">HYPERLINK("https://www.fabsurplus.com/sdi_catalog/salesItemDetails.do?id=110097")</f>
        <v>https://www.fabsurplus.com/sdi_catalog/salesItemDetails.do?id=110097</v>
      </c>
      <c r="B1586" s="3" t="s">
        <v>4409</v>
      </c>
      <c r="C1586" s="3" t="s">
        <v>4399</v>
      </c>
      <c r="D1586" s="3" t="s">
        <v>4410</v>
      </c>
      <c r="E1586" s="3" t="s">
        <v>47</v>
      </c>
      <c r="F1586" s="3" t="s">
        <v>16</v>
      </c>
      <c r="G1586" s="3" t="s">
        <v>41</v>
      </c>
      <c r="H1586" s="3"/>
      <c r="I1586" s="3"/>
      <c r="J1586" s="3" t="s">
        <v>42</v>
      </c>
      <c r="K1586" s="3"/>
      <c r="L1586" s="3" t="s">
        <v>4411</v>
      </c>
    </row>
    <row r="1587" customFormat="false" ht="11.9" hidden="false" customHeight="true" outlineLevel="0" collapsed="false">
      <c r="A1587" s="2" t="str">
        <f aca="false">HYPERLINK("https://www.fabsurplus.com/sdi_catalog/salesItemDetails.do?id=110096")</f>
        <v>https://www.fabsurplus.com/sdi_catalog/salesItemDetails.do?id=110096</v>
      </c>
      <c r="B1587" s="2" t="s">
        <v>4412</v>
      </c>
      <c r="C1587" s="2" t="s">
        <v>4399</v>
      </c>
      <c r="D1587" s="2" t="s">
        <v>4410</v>
      </c>
      <c r="E1587" s="2" t="s">
        <v>47</v>
      </c>
      <c r="F1587" s="2" t="s">
        <v>16</v>
      </c>
      <c r="G1587" s="2" t="s">
        <v>41</v>
      </c>
      <c r="H1587" s="2"/>
      <c r="I1587" s="2"/>
      <c r="J1587" s="2" t="s">
        <v>42</v>
      </c>
      <c r="K1587" s="2"/>
      <c r="L1587" s="2" t="s">
        <v>4413</v>
      </c>
    </row>
    <row r="1588" customFormat="false" ht="11.9" hidden="false" customHeight="true" outlineLevel="0" collapsed="false">
      <c r="A1588" s="3" t="str">
        <f aca="false">HYPERLINK("https://www.fabsurplus.com/sdi_catalog/salesItemDetails.do?id=110095")</f>
        <v>https://www.fabsurplus.com/sdi_catalog/salesItemDetails.do?id=110095</v>
      </c>
      <c r="B1588" s="3" t="s">
        <v>4414</v>
      </c>
      <c r="C1588" s="3" t="s">
        <v>4399</v>
      </c>
      <c r="D1588" s="3" t="s">
        <v>4410</v>
      </c>
      <c r="E1588" s="3" t="s">
        <v>47</v>
      </c>
      <c r="F1588" s="3" t="s">
        <v>16</v>
      </c>
      <c r="G1588" s="3" t="s">
        <v>41</v>
      </c>
      <c r="H1588" s="3"/>
      <c r="I1588" s="3"/>
      <c r="J1588" s="3" t="s">
        <v>42</v>
      </c>
      <c r="K1588" s="3"/>
      <c r="L1588" s="3" t="s">
        <v>4415</v>
      </c>
    </row>
    <row r="1589" customFormat="false" ht="11.9" hidden="false" customHeight="true" outlineLevel="0" collapsed="false">
      <c r="A1589" s="2" t="str">
        <f aca="false">HYPERLINK("https://www.fabsurplus.com/sdi_catalog/salesItemDetails.do?id=110094")</f>
        <v>https://www.fabsurplus.com/sdi_catalog/salesItemDetails.do?id=110094</v>
      </c>
      <c r="B1589" s="2" t="s">
        <v>4416</v>
      </c>
      <c r="C1589" s="2" t="s">
        <v>4399</v>
      </c>
      <c r="D1589" s="2" t="s">
        <v>4410</v>
      </c>
      <c r="E1589" s="2" t="s">
        <v>47</v>
      </c>
      <c r="F1589" s="2" t="s">
        <v>16</v>
      </c>
      <c r="G1589" s="2" t="s">
        <v>41</v>
      </c>
      <c r="H1589" s="2"/>
      <c r="I1589" s="2"/>
      <c r="J1589" s="2" t="s">
        <v>42</v>
      </c>
      <c r="K1589" s="2"/>
      <c r="L1589" s="2" t="s">
        <v>4415</v>
      </c>
    </row>
    <row r="1590" customFormat="false" ht="11.9" hidden="false" customHeight="true" outlineLevel="0" collapsed="false">
      <c r="A1590" s="3" t="str">
        <f aca="false">HYPERLINK("https://www.fabsurplus.com/sdi_catalog/salesItemDetails.do?id=110099")</f>
        <v>https://www.fabsurplus.com/sdi_catalog/salesItemDetails.do?id=110099</v>
      </c>
      <c r="B1590" s="3" t="s">
        <v>4417</v>
      </c>
      <c r="C1590" s="3" t="s">
        <v>4399</v>
      </c>
      <c r="D1590" s="3" t="s">
        <v>4418</v>
      </c>
      <c r="E1590" s="3" t="s">
        <v>47</v>
      </c>
      <c r="F1590" s="3" t="s">
        <v>16</v>
      </c>
      <c r="G1590" s="3" t="s">
        <v>41</v>
      </c>
      <c r="H1590" s="3"/>
      <c r="I1590" s="3"/>
      <c r="J1590" s="3" t="s">
        <v>42</v>
      </c>
      <c r="K1590" s="3"/>
      <c r="L1590" s="3" t="s">
        <v>4419</v>
      </c>
    </row>
    <row r="1591" customFormat="false" ht="11.9" hidden="false" customHeight="true" outlineLevel="0" collapsed="false">
      <c r="A1591" s="2" t="str">
        <f aca="false">HYPERLINK("https://www.fabsurplus.com/sdi_catalog/salesItemDetails.do?id=110098")</f>
        <v>https://www.fabsurplus.com/sdi_catalog/salesItemDetails.do?id=110098</v>
      </c>
      <c r="B1591" s="2" t="s">
        <v>4420</v>
      </c>
      <c r="C1591" s="2" t="s">
        <v>4399</v>
      </c>
      <c r="D1591" s="2" t="s">
        <v>4418</v>
      </c>
      <c r="E1591" s="2" t="s">
        <v>47</v>
      </c>
      <c r="F1591" s="2" t="s">
        <v>16</v>
      </c>
      <c r="G1591" s="2" t="s">
        <v>41</v>
      </c>
      <c r="H1591" s="2"/>
      <c r="I1591" s="2"/>
      <c r="J1591" s="2" t="s">
        <v>42</v>
      </c>
      <c r="K1591" s="2"/>
      <c r="L1591" s="2" t="s">
        <v>4419</v>
      </c>
    </row>
    <row r="1592" customFormat="false" ht="11.9" hidden="false" customHeight="true" outlineLevel="0" collapsed="false">
      <c r="A1592" s="2" t="str">
        <f aca="false">HYPERLINK("https://www.fabsurplus.com/sdi_catalog/salesItemDetails.do?id=110100")</f>
        <v>https://www.fabsurplus.com/sdi_catalog/salesItemDetails.do?id=110100</v>
      </c>
      <c r="B1592" s="2" t="s">
        <v>4421</v>
      </c>
      <c r="C1592" s="2" t="s">
        <v>4399</v>
      </c>
      <c r="D1592" s="2" t="s">
        <v>4422</v>
      </c>
      <c r="E1592" s="2" t="s">
        <v>47</v>
      </c>
      <c r="F1592" s="2" t="s">
        <v>16</v>
      </c>
      <c r="G1592" s="2" t="s">
        <v>41</v>
      </c>
      <c r="H1592" s="2"/>
      <c r="I1592" s="2"/>
      <c r="J1592" s="2" t="s">
        <v>42</v>
      </c>
      <c r="K1592" s="2"/>
      <c r="L1592" s="2" t="s">
        <v>349</v>
      </c>
    </row>
    <row r="1593" customFormat="false" ht="11.9" hidden="false" customHeight="true" outlineLevel="0" collapsed="false">
      <c r="A1593" s="3" t="str">
        <f aca="false">HYPERLINK("https://www.fabsurplus.com/sdi_catalog/salesItemDetails.do?id=110101")</f>
        <v>https://www.fabsurplus.com/sdi_catalog/salesItemDetails.do?id=110101</v>
      </c>
      <c r="B1593" s="3" t="s">
        <v>4423</v>
      </c>
      <c r="C1593" s="3" t="s">
        <v>4399</v>
      </c>
      <c r="D1593" s="3" t="s">
        <v>4424</v>
      </c>
      <c r="E1593" s="3" t="s">
        <v>47</v>
      </c>
      <c r="F1593" s="3" t="s">
        <v>16</v>
      </c>
      <c r="G1593" s="3" t="s">
        <v>41</v>
      </c>
      <c r="H1593" s="3"/>
      <c r="I1593" s="3"/>
      <c r="J1593" s="3" t="s">
        <v>42</v>
      </c>
      <c r="K1593" s="3"/>
      <c r="L1593" s="3" t="s">
        <v>4425</v>
      </c>
    </row>
    <row r="1594" customFormat="false" ht="11.9" hidden="false" customHeight="true" outlineLevel="0" collapsed="false">
      <c r="A1594" s="3" t="str">
        <f aca="false">HYPERLINK("https://www.fabsurplus.com/sdi_catalog/salesItemDetails.do?id=110102")</f>
        <v>https://www.fabsurplus.com/sdi_catalog/salesItemDetails.do?id=110102</v>
      </c>
      <c r="B1594" s="3" t="s">
        <v>4426</v>
      </c>
      <c r="C1594" s="3" t="s">
        <v>4399</v>
      </c>
      <c r="D1594" s="3" t="s">
        <v>4424</v>
      </c>
      <c r="E1594" s="3" t="s">
        <v>137</v>
      </c>
      <c r="F1594" s="3" t="s">
        <v>16</v>
      </c>
      <c r="G1594" s="3" t="s">
        <v>41</v>
      </c>
      <c r="H1594" s="3" t="s">
        <v>138</v>
      </c>
      <c r="I1594" s="3"/>
      <c r="J1594" s="3" t="s">
        <v>139</v>
      </c>
      <c r="K1594" s="3" t="s">
        <v>20</v>
      </c>
      <c r="L1594" s="5" t="s">
        <v>4427</v>
      </c>
    </row>
    <row r="1595" customFormat="false" ht="11.9" hidden="false" customHeight="true" outlineLevel="0" collapsed="false">
      <c r="A1595" s="3" t="str">
        <f aca="false">HYPERLINK("https://www.fabsurplus.com/sdi_catalog/salesItemDetails.do?id=110077")</f>
        <v>https://www.fabsurplus.com/sdi_catalog/salesItemDetails.do?id=110077</v>
      </c>
      <c r="B1595" s="3" t="s">
        <v>4428</v>
      </c>
      <c r="C1595" s="3" t="s">
        <v>4399</v>
      </c>
      <c r="D1595" s="3" t="s">
        <v>4429</v>
      </c>
      <c r="E1595" s="3" t="s">
        <v>47</v>
      </c>
      <c r="F1595" s="3" t="s">
        <v>16</v>
      </c>
      <c r="G1595" s="3" t="s">
        <v>41</v>
      </c>
      <c r="H1595" s="3"/>
      <c r="I1595" s="3"/>
      <c r="J1595" s="3" t="s">
        <v>42</v>
      </c>
      <c r="K1595" s="3"/>
      <c r="L1595" s="3" t="s">
        <v>4430</v>
      </c>
    </row>
    <row r="1596" customFormat="false" ht="11.9" hidden="false" customHeight="true" outlineLevel="0" collapsed="false">
      <c r="A1596" s="2" t="str">
        <f aca="false">HYPERLINK("https://www.fabsurplus.com/sdi_catalog/salesItemDetails.do?id=110076")</f>
        <v>https://www.fabsurplus.com/sdi_catalog/salesItemDetails.do?id=110076</v>
      </c>
      <c r="B1596" s="2" t="s">
        <v>4431</v>
      </c>
      <c r="C1596" s="2" t="s">
        <v>4399</v>
      </c>
      <c r="D1596" s="2" t="s">
        <v>4429</v>
      </c>
      <c r="E1596" s="2" t="s">
        <v>47</v>
      </c>
      <c r="F1596" s="2" t="s">
        <v>16</v>
      </c>
      <c r="G1596" s="2" t="s">
        <v>41</v>
      </c>
      <c r="H1596" s="2"/>
      <c r="I1596" s="2"/>
      <c r="J1596" s="2" t="s">
        <v>42</v>
      </c>
      <c r="K1596" s="2"/>
      <c r="L1596" s="2" t="s">
        <v>4432</v>
      </c>
    </row>
    <row r="1597" customFormat="false" ht="11.9" hidden="false" customHeight="true" outlineLevel="0" collapsed="false">
      <c r="A1597" s="3" t="str">
        <f aca="false">HYPERLINK("https://www.fabsurplus.com/sdi_catalog/salesItemDetails.do?id=110075")</f>
        <v>https://www.fabsurplus.com/sdi_catalog/salesItemDetails.do?id=110075</v>
      </c>
      <c r="B1597" s="3" t="s">
        <v>4433</v>
      </c>
      <c r="C1597" s="3" t="s">
        <v>4399</v>
      </c>
      <c r="D1597" s="3" t="s">
        <v>4429</v>
      </c>
      <c r="E1597" s="3" t="s">
        <v>47</v>
      </c>
      <c r="F1597" s="3" t="s">
        <v>16</v>
      </c>
      <c r="G1597" s="3" t="s">
        <v>41</v>
      </c>
      <c r="H1597" s="3"/>
      <c r="I1597" s="3"/>
      <c r="J1597" s="3" t="s">
        <v>42</v>
      </c>
      <c r="K1597" s="3"/>
      <c r="L1597" s="3" t="s">
        <v>4432</v>
      </c>
    </row>
    <row r="1598" customFormat="false" ht="11.9" hidden="false" customHeight="true" outlineLevel="0" collapsed="false">
      <c r="A1598" s="3" t="str">
        <f aca="false">HYPERLINK("https://www.fabsurplus.com/sdi_catalog/salesItemDetails.do?id=110085")</f>
        <v>https://www.fabsurplus.com/sdi_catalog/salesItemDetails.do?id=110085</v>
      </c>
      <c r="B1598" s="3" t="s">
        <v>4434</v>
      </c>
      <c r="C1598" s="3" t="s">
        <v>4399</v>
      </c>
      <c r="D1598" s="3" t="s">
        <v>4435</v>
      </c>
      <c r="E1598" s="3" t="s">
        <v>47</v>
      </c>
      <c r="F1598" s="3" t="s">
        <v>16</v>
      </c>
      <c r="G1598" s="3" t="s">
        <v>41</v>
      </c>
      <c r="H1598" s="3"/>
      <c r="I1598" s="3"/>
      <c r="J1598" s="3" t="s">
        <v>42</v>
      </c>
      <c r="K1598" s="3"/>
      <c r="L1598" s="3" t="s">
        <v>4436</v>
      </c>
    </row>
    <row r="1599" customFormat="false" ht="11.9" hidden="false" customHeight="true" outlineLevel="0" collapsed="false">
      <c r="A1599" s="2" t="str">
        <f aca="false">HYPERLINK("https://www.fabsurplus.com/sdi_catalog/salesItemDetails.do?id=110084")</f>
        <v>https://www.fabsurplus.com/sdi_catalog/salesItemDetails.do?id=110084</v>
      </c>
      <c r="B1599" s="2" t="s">
        <v>4437</v>
      </c>
      <c r="C1599" s="2" t="s">
        <v>4399</v>
      </c>
      <c r="D1599" s="2" t="s">
        <v>4435</v>
      </c>
      <c r="E1599" s="2" t="s">
        <v>47</v>
      </c>
      <c r="F1599" s="2" t="s">
        <v>16</v>
      </c>
      <c r="G1599" s="2" t="s">
        <v>41</v>
      </c>
      <c r="H1599" s="2"/>
      <c r="I1599" s="2"/>
      <c r="J1599" s="2" t="s">
        <v>42</v>
      </c>
      <c r="K1599" s="2"/>
      <c r="L1599" s="2" t="s">
        <v>4436</v>
      </c>
    </row>
    <row r="1600" customFormat="false" ht="11.9" hidden="false" customHeight="true" outlineLevel="0" collapsed="false">
      <c r="A1600" s="3" t="str">
        <f aca="false">HYPERLINK("https://www.fabsurplus.com/sdi_catalog/salesItemDetails.do?id=110083")</f>
        <v>https://www.fabsurplus.com/sdi_catalog/salesItemDetails.do?id=110083</v>
      </c>
      <c r="B1600" s="3" t="s">
        <v>4438</v>
      </c>
      <c r="C1600" s="3" t="s">
        <v>4399</v>
      </c>
      <c r="D1600" s="3" t="s">
        <v>4435</v>
      </c>
      <c r="E1600" s="3" t="s">
        <v>47</v>
      </c>
      <c r="F1600" s="3" t="s">
        <v>16</v>
      </c>
      <c r="G1600" s="3" t="s">
        <v>41</v>
      </c>
      <c r="H1600" s="3"/>
      <c r="I1600" s="3"/>
      <c r="J1600" s="3" t="s">
        <v>42</v>
      </c>
      <c r="K1600" s="3"/>
      <c r="L1600" s="3" t="s">
        <v>4439</v>
      </c>
    </row>
    <row r="1601" customFormat="false" ht="11.9" hidden="false" customHeight="true" outlineLevel="0" collapsed="false">
      <c r="A1601" s="2" t="str">
        <f aca="false">HYPERLINK("https://www.fabsurplus.com/sdi_catalog/salesItemDetails.do?id=110082")</f>
        <v>https://www.fabsurplus.com/sdi_catalog/salesItemDetails.do?id=110082</v>
      </c>
      <c r="B1601" s="2" t="s">
        <v>4440</v>
      </c>
      <c r="C1601" s="2" t="s">
        <v>4399</v>
      </c>
      <c r="D1601" s="2" t="s">
        <v>4435</v>
      </c>
      <c r="E1601" s="2" t="s">
        <v>47</v>
      </c>
      <c r="F1601" s="2" t="s">
        <v>16</v>
      </c>
      <c r="G1601" s="2" t="s">
        <v>41</v>
      </c>
      <c r="H1601" s="2"/>
      <c r="I1601" s="2"/>
      <c r="J1601" s="2" t="s">
        <v>42</v>
      </c>
      <c r="K1601" s="2"/>
      <c r="L1601" s="2" t="s">
        <v>4441</v>
      </c>
    </row>
    <row r="1602" customFormat="false" ht="11.9" hidden="false" customHeight="true" outlineLevel="0" collapsed="false">
      <c r="A1602" s="3" t="str">
        <f aca="false">HYPERLINK("https://www.fabsurplus.com/sdi_catalog/salesItemDetails.do?id=110081")</f>
        <v>https://www.fabsurplus.com/sdi_catalog/salesItemDetails.do?id=110081</v>
      </c>
      <c r="B1602" s="3" t="s">
        <v>4442</v>
      </c>
      <c r="C1602" s="3" t="s">
        <v>4399</v>
      </c>
      <c r="D1602" s="3" t="s">
        <v>4435</v>
      </c>
      <c r="E1602" s="3" t="s">
        <v>47</v>
      </c>
      <c r="F1602" s="3" t="s">
        <v>16</v>
      </c>
      <c r="G1602" s="3" t="s">
        <v>41</v>
      </c>
      <c r="H1602" s="3"/>
      <c r="I1602" s="3"/>
      <c r="J1602" s="3" t="s">
        <v>42</v>
      </c>
      <c r="K1602" s="3"/>
      <c r="L1602" s="3" t="s">
        <v>4443</v>
      </c>
    </row>
    <row r="1603" customFormat="false" ht="11.9" hidden="false" customHeight="true" outlineLevel="0" collapsed="false">
      <c r="A1603" s="2" t="str">
        <f aca="false">HYPERLINK("https://www.fabsurplus.com/sdi_catalog/salesItemDetails.do?id=110080")</f>
        <v>https://www.fabsurplus.com/sdi_catalog/salesItemDetails.do?id=110080</v>
      </c>
      <c r="B1603" s="2" t="s">
        <v>4444</v>
      </c>
      <c r="C1603" s="2" t="s">
        <v>4399</v>
      </c>
      <c r="D1603" s="2" t="s">
        <v>4435</v>
      </c>
      <c r="E1603" s="2" t="s">
        <v>47</v>
      </c>
      <c r="F1603" s="2" t="s">
        <v>16</v>
      </c>
      <c r="G1603" s="2" t="s">
        <v>41</v>
      </c>
      <c r="H1603" s="2"/>
      <c r="I1603" s="2"/>
      <c r="J1603" s="2" t="s">
        <v>42</v>
      </c>
      <c r="K1603" s="2"/>
      <c r="L1603" s="2" t="s">
        <v>4445</v>
      </c>
    </row>
    <row r="1604" customFormat="false" ht="11.9" hidden="false" customHeight="true" outlineLevel="0" collapsed="false">
      <c r="A1604" s="3" t="str">
        <f aca="false">HYPERLINK("https://www.fabsurplus.com/sdi_catalog/salesItemDetails.do?id=110079")</f>
        <v>https://www.fabsurplus.com/sdi_catalog/salesItemDetails.do?id=110079</v>
      </c>
      <c r="B1604" s="3" t="s">
        <v>4446</v>
      </c>
      <c r="C1604" s="3" t="s">
        <v>4399</v>
      </c>
      <c r="D1604" s="3" t="s">
        <v>4435</v>
      </c>
      <c r="E1604" s="3" t="s">
        <v>47</v>
      </c>
      <c r="F1604" s="3" t="s">
        <v>16</v>
      </c>
      <c r="G1604" s="3" t="s">
        <v>41</v>
      </c>
      <c r="H1604" s="3"/>
      <c r="I1604" s="3"/>
      <c r="J1604" s="3" t="s">
        <v>42</v>
      </c>
      <c r="K1604" s="3"/>
      <c r="L1604" s="3" t="s">
        <v>4447</v>
      </c>
    </row>
    <row r="1605" customFormat="false" ht="11.9" hidden="false" customHeight="true" outlineLevel="0" collapsed="false">
      <c r="A1605" s="2" t="str">
        <f aca="false">HYPERLINK("https://www.fabsurplus.com/sdi_catalog/salesItemDetails.do?id=110078")</f>
        <v>https://www.fabsurplus.com/sdi_catalog/salesItemDetails.do?id=110078</v>
      </c>
      <c r="B1605" s="2" t="s">
        <v>4448</v>
      </c>
      <c r="C1605" s="2" t="s">
        <v>4399</v>
      </c>
      <c r="D1605" s="2" t="s">
        <v>4435</v>
      </c>
      <c r="E1605" s="2" t="s">
        <v>47</v>
      </c>
      <c r="F1605" s="2" t="s">
        <v>16</v>
      </c>
      <c r="G1605" s="2" t="s">
        <v>41</v>
      </c>
      <c r="H1605" s="2"/>
      <c r="I1605" s="2"/>
      <c r="J1605" s="2" t="s">
        <v>42</v>
      </c>
      <c r="K1605" s="2"/>
      <c r="L1605" s="2" t="s">
        <v>4449</v>
      </c>
    </row>
    <row r="1606" customFormat="false" ht="11.9" hidden="false" customHeight="true" outlineLevel="0" collapsed="false">
      <c r="A1606" s="2" t="str">
        <f aca="false">HYPERLINK("https://www.fabsurplus.com/sdi_catalog/salesItemDetails.do?id=110086")</f>
        <v>https://www.fabsurplus.com/sdi_catalog/salesItemDetails.do?id=110086</v>
      </c>
      <c r="B1606" s="2" t="s">
        <v>4450</v>
      </c>
      <c r="C1606" s="2" t="s">
        <v>4399</v>
      </c>
      <c r="D1606" s="2" t="s">
        <v>4451</v>
      </c>
      <c r="E1606" s="2" t="s">
        <v>47</v>
      </c>
      <c r="F1606" s="2" t="s">
        <v>16</v>
      </c>
      <c r="G1606" s="2" t="s">
        <v>41</v>
      </c>
      <c r="H1606" s="2"/>
      <c r="I1606" s="2"/>
      <c r="J1606" s="2" t="s">
        <v>42</v>
      </c>
      <c r="K1606" s="2"/>
      <c r="L1606" s="2" t="s">
        <v>4452</v>
      </c>
    </row>
    <row r="1607" customFormat="false" ht="11.9" hidden="false" customHeight="true" outlineLevel="0" collapsed="false">
      <c r="A1607" s="3" t="str">
        <f aca="false">HYPERLINK("https://www.fabsurplus.com/sdi_catalog/salesItemDetails.do?id=110105")</f>
        <v>https://www.fabsurplus.com/sdi_catalog/salesItemDetails.do?id=110105</v>
      </c>
      <c r="B1607" s="3" t="s">
        <v>4453</v>
      </c>
      <c r="C1607" s="3" t="s">
        <v>4399</v>
      </c>
      <c r="D1607" s="3" t="s">
        <v>4454</v>
      </c>
      <c r="E1607" s="3" t="s">
        <v>47</v>
      </c>
      <c r="F1607" s="3" t="s">
        <v>16</v>
      </c>
      <c r="G1607" s="3" t="s">
        <v>41</v>
      </c>
      <c r="H1607" s="3"/>
      <c r="I1607" s="3"/>
      <c r="J1607" s="3" t="s">
        <v>42</v>
      </c>
      <c r="K1607" s="3"/>
      <c r="L1607" s="3" t="s">
        <v>4455</v>
      </c>
    </row>
    <row r="1608" customFormat="false" ht="11.9" hidden="false" customHeight="true" outlineLevel="0" collapsed="false">
      <c r="A1608" s="2" t="str">
        <f aca="false">HYPERLINK("https://www.fabsurplus.com/sdi_catalog/salesItemDetails.do?id=110104")</f>
        <v>https://www.fabsurplus.com/sdi_catalog/salesItemDetails.do?id=110104</v>
      </c>
      <c r="B1608" s="2" t="s">
        <v>4456</v>
      </c>
      <c r="C1608" s="2" t="s">
        <v>4399</v>
      </c>
      <c r="D1608" s="2" t="s">
        <v>4454</v>
      </c>
      <c r="E1608" s="2" t="s">
        <v>47</v>
      </c>
      <c r="F1608" s="2" t="s">
        <v>16</v>
      </c>
      <c r="G1608" s="2" t="s">
        <v>41</v>
      </c>
      <c r="H1608" s="2"/>
      <c r="I1608" s="2"/>
      <c r="J1608" s="2" t="s">
        <v>42</v>
      </c>
      <c r="K1608" s="2"/>
      <c r="L1608" s="2" t="s">
        <v>4457</v>
      </c>
    </row>
    <row r="1609" customFormat="false" ht="11.9" hidden="false" customHeight="true" outlineLevel="0" collapsed="false">
      <c r="A1609" s="3" t="str">
        <f aca="false">HYPERLINK("https://www.fabsurplus.com/sdi_catalog/salesItemDetails.do?id=110106")</f>
        <v>https://www.fabsurplus.com/sdi_catalog/salesItemDetails.do?id=110106</v>
      </c>
      <c r="B1609" s="3" t="s">
        <v>4458</v>
      </c>
      <c r="C1609" s="3" t="s">
        <v>4399</v>
      </c>
      <c r="D1609" s="3" t="s">
        <v>4459</v>
      </c>
      <c r="E1609" s="3" t="s">
        <v>133</v>
      </c>
      <c r="F1609" s="3" t="s">
        <v>16</v>
      </c>
      <c r="G1609" s="3" t="s">
        <v>41</v>
      </c>
      <c r="H1609" s="3"/>
      <c r="I1609" s="3"/>
      <c r="J1609" s="3" t="s">
        <v>42</v>
      </c>
      <c r="K1609" s="3"/>
      <c r="L1609" s="5" t="s">
        <v>4460</v>
      </c>
    </row>
    <row r="1610" customFormat="false" ht="11.9" hidden="false" customHeight="true" outlineLevel="0" collapsed="false">
      <c r="A1610" s="2" t="str">
        <f aca="false">HYPERLINK("https://www.fabsurplus.com/sdi_catalog/salesItemDetails.do?id=110107")</f>
        <v>https://www.fabsurplus.com/sdi_catalog/salesItemDetails.do?id=110107</v>
      </c>
      <c r="B1610" s="2" t="s">
        <v>4461</v>
      </c>
      <c r="C1610" s="2" t="s">
        <v>4399</v>
      </c>
      <c r="D1610" s="2" t="s">
        <v>4462</v>
      </c>
      <c r="E1610" s="2" t="s">
        <v>133</v>
      </c>
      <c r="F1610" s="2" t="s">
        <v>16</v>
      </c>
      <c r="G1610" s="2" t="s">
        <v>41</v>
      </c>
      <c r="H1610" s="2"/>
      <c r="I1610" s="2"/>
      <c r="J1610" s="2" t="s">
        <v>42</v>
      </c>
      <c r="K1610" s="2"/>
      <c r="L1610" s="6" t="s">
        <v>4463</v>
      </c>
    </row>
    <row r="1611" customFormat="false" ht="11.9" hidden="false" customHeight="true" outlineLevel="0" collapsed="false">
      <c r="A1611" s="3" t="str">
        <f aca="false">HYPERLINK("https://www.fabsurplus.com/sdi_catalog/salesItemDetails.do?id=115391")</f>
        <v>https://www.fabsurplus.com/sdi_catalog/salesItemDetails.do?id=115391</v>
      </c>
      <c r="B1611" s="3" t="s">
        <v>4464</v>
      </c>
      <c r="C1611" s="3" t="s">
        <v>4399</v>
      </c>
      <c r="D1611" s="3" t="s">
        <v>4465</v>
      </c>
      <c r="E1611" s="3" t="s">
        <v>4466</v>
      </c>
      <c r="F1611" s="3" t="s">
        <v>16</v>
      </c>
      <c r="G1611" s="3" t="s">
        <v>26</v>
      </c>
      <c r="H1611" s="3"/>
      <c r="I1611" s="3"/>
      <c r="J1611" s="3" t="s">
        <v>19</v>
      </c>
      <c r="K1611" s="3"/>
      <c r="L1611" s="3" t="s">
        <v>63</v>
      </c>
    </row>
    <row r="1612" customFormat="false" ht="11.9" hidden="false" customHeight="true" outlineLevel="0" collapsed="false">
      <c r="A1612" s="2" t="str">
        <f aca="false">HYPERLINK("https://www.fabsurplus.com/sdi_catalog/salesItemDetails.do?id=110109")</f>
        <v>https://www.fabsurplus.com/sdi_catalog/salesItemDetails.do?id=110109</v>
      </c>
      <c r="B1612" s="2" t="s">
        <v>4467</v>
      </c>
      <c r="C1612" s="2" t="s">
        <v>4399</v>
      </c>
      <c r="D1612" s="2" t="s">
        <v>4468</v>
      </c>
      <c r="E1612" s="2" t="s">
        <v>47</v>
      </c>
      <c r="F1612" s="2" t="s">
        <v>16</v>
      </c>
      <c r="G1612" s="2" t="s">
        <v>41</v>
      </c>
      <c r="H1612" s="2"/>
      <c r="I1612" s="2"/>
      <c r="J1612" s="2" t="s">
        <v>42</v>
      </c>
      <c r="K1612" s="2"/>
      <c r="L1612" s="2" t="s">
        <v>4469</v>
      </c>
    </row>
    <row r="1613" customFormat="false" ht="11.9" hidden="false" customHeight="true" outlineLevel="0" collapsed="false">
      <c r="A1613" s="3" t="str">
        <f aca="false">HYPERLINK("https://www.fabsurplus.com/sdi_catalog/salesItemDetails.do?id=110108")</f>
        <v>https://www.fabsurplus.com/sdi_catalog/salesItemDetails.do?id=110108</v>
      </c>
      <c r="B1613" s="3" t="s">
        <v>4470</v>
      </c>
      <c r="C1613" s="3" t="s">
        <v>4399</v>
      </c>
      <c r="D1613" s="3" t="s">
        <v>4468</v>
      </c>
      <c r="E1613" s="3" t="s">
        <v>47</v>
      </c>
      <c r="F1613" s="3" t="s">
        <v>16</v>
      </c>
      <c r="G1613" s="3" t="s">
        <v>41</v>
      </c>
      <c r="H1613" s="3"/>
      <c r="I1613" s="3"/>
      <c r="J1613" s="3" t="s">
        <v>42</v>
      </c>
      <c r="K1613" s="3"/>
      <c r="L1613" s="3" t="s">
        <v>4469</v>
      </c>
    </row>
    <row r="1614" customFormat="false" ht="11.9" hidden="false" customHeight="true" outlineLevel="0" collapsed="false">
      <c r="A1614" s="3" t="str">
        <f aca="false">HYPERLINK("https://www.fabsurplus.com/sdi_catalog/salesItemDetails.do?id=110110")</f>
        <v>https://www.fabsurplus.com/sdi_catalog/salesItemDetails.do?id=110110</v>
      </c>
      <c r="B1614" s="3" t="s">
        <v>4471</v>
      </c>
      <c r="C1614" s="3" t="s">
        <v>4399</v>
      </c>
      <c r="D1614" s="3" t="s">
        <v>4472</v>
      </c>
      <c r="E1614" s="3" t="s">
        <v>40</v>
      </c>
      <c r="F1614" s="3" t="s">
        <v>16</v>
      </c>
      <c r="G1614" s="3" t="s">
        <v>41</v>
      </c>
      <c r="H1614" s="3"/>
      <c r="I1614" s="3"/>
      <c r="J1614" s="3" t="s">
        <v>42</v>
      </c>
      <c r="K1614" s="3"/>
      <c r="L1614" s="3" t="s">
        <v>4473</v>
      </c>
    </row>
    <row r="1615" customFormat="false" ht="11.9" hidden="false" customHeight="true" outlineLevel="0" collapsed="false">
      <c r="A1615" s="2" t="str">
        <f aca="false">HYPERLINK("https://www.fabsurplus.com/sdi_catalog/salesItemDetails.do?id=83625")</f>
        <v>https://www.fabsurplus.com/sdi_catalog/salesItemDetails.do?id=83625</v>
      </c>
      <c r="B1615" s="2" t="s">
        <v>4474</v>
      </c>
      <c r="C1615" s="2" t="s">
        <v>4399</v>
      </c>
      <c r="D1615" s="2" t="s">
        <v>4475</v>
      </c>
      <c r="E1615" s="2" t="s">
        <v>4476</v>
      </c>
      <c r="F1615" s="2" t="s">
        <v>16</v>
      </c>
      <c r="G1615" s="2"/>
      <c r="H1615" s="2" t="s">
        <v>35</v>
      </c>
      <c r="I1615" s="7" t="n">
        <v>34393.9583333333</v>
      </c>
      <c r="J1615" s="2" t="s">
        <v>19</v>
      </c>
      <c r="K1615" s="2" t="s">
        <v>20</v>
      </c>
      <c r="L1615" s="6" t="s">
        <v>4477</v>
      </c>
    </row>
    <row r="1616" customFormat="false" ht="11.9" hidden="false" customHeight="true" outlineLevel="0" collapsed="false">
      <c r="A1616" s="3" t="str">
        <f aca="false">HYPERLINK("https://www.fabsurplus.com/sdi_catalog/salesItemDetails.do?id=110112")</f>
        <v>https://www.fabsurplus.com/sdi_catalog/salesItemDetails.do?id=110112</v>
      </c>
      <c r="B1616" s="3" t="s">
        <v>4478</v>
      </c>
      <c r="C1616" s="3" t="s">
        <v>4399</v>
      </c>
      <c r="D1616" s="3" t="s">
        <v>4479</v>
      </c>
      <c r="E1616" s="3" t="s">
        <v>47</v>
      </c>
      <c r="F1616" s="3" t="s">
        <v>16</v>
      </c>
      <c r="G1616" s="3" t="s">
        <v>41</v>
      </c>
      <c r="H1616" s="3"/>
      <c r="I1616" s="3"/>
      <c r="J1616" s="3" t="s">
        <v>42</v>
      </c>
      <c r="K1616" s="3"/>
      <c r="L1616" s="3" t="s">
        <v>4480</v>
      </c>
    </row>
    <row r="1617" customFormat="false" ht="11.9" hidden="false" customHeight="true" outlineLevel="0" collapsed="false">
      <c r="A1617" s="2" t="str">
        <f aca="false">HYPERLINK("https://www.fabsurplus.com/sdi_catalog/salesItemDetails.do?id=110111")</f>
        <v>https://www.fabsurplus.com/sdi_catalog/salesItemDetails.do?id=110111</v>
      </c>
      <c r="B1617" s="2" t="s">
        <v>4481</v>
      </c>
      <c r="C1617" s="2" t="s">
        <v>4399</v>
      </c>
      <c r="D1617" s="2" t="s">
        <v>4479</v>
      </c>
      <c r="E1617" s="2" t="s">
        <v>47</v>
      </c>
      <c r="F1617" s="2" t="s">
        <v>16</v>
      </c>
      <c r="G1617" s="2" t="s">
        <v>41</v>
      </c>
      <c r="H1617" s="2"/>
      <c r="I1617" s="2"/>
      <c r="J1617" s="2" t="s">
        <v>42</v>
      </c>
      <c r="K1617" s="2"/>
      <c r="L1617" s="2" t="s">
        <v>4480</v>
      </c>
    </row>
    <row r="1618" customFormat="false" ht="11.9" hidden="false" customHeight="true" outlineLevel="0" collapsed="false">
      <c r="A1618" s="3" t="str">
        <f aca="false">HYPERLINK("https://www.fabsurplus.com/sdi_catalog/salesItemDetails.do?id=110122")</f>
        <v>https://www.fabsurplus.com/sdi_catalog/salesItemDetails.do?id=110122</v>
      </c>
      <c r="B1618" s="3" t="s">
        <v>4482</v>
      </c>
      <c r="C1618" s="3" t="s">
        <v>4399</v>
      </c>
      <c r="D1618" s="3" t="s">
        <v>4483</v>
      </c>
      <c r="E1618" s="3" t="s">
        <v>47</v>
      </c>
      <c r="F1618" s="3" t="s">
        <v>16</v>
      </c>
      <c r="G1618" s="3" t="s">
        <v>41</v>
      </c>
      <c r="H1618" s="3"/>
      <c r="I1618" s="3"/>
      <c r="J1618" s="3" t="s">
        <v>42</v>
      </c>
      <c r="K1618" s="3"/>
      <c r="L1618" s="3" t="s">
        <v>4484</v>
      </c>
    </row>
    <row r="1619" customFormat="false" ht="11.9" hidden="false" customHeight="true" outlineLevel="0" collapsed="false">
      <c r="A1619" s="3" t="str">
        <f aca="false">HYPERLINK("https://www.fabsurplus.com/sdi_catalog/salesItemDetails.do?id=110124")</f>
        <v>https://www.fabsurplus.com/sdi_catalog/salesItemDetails.do?id=110124</v>
      </c>
      <c r="B1619" s="3" t="s">
        <v>4485</v>
      </c>
      <c r="C1619" s="3" t="s">
        <v>4399</v>
      </c>
      <c r="D1619" s="3" t="s">
        <v>4486</v>
      </c>
      <c r="E1619" s="3" t="s">
        <v>47</v>
      </c>
      <c r="F1619" s="3" t="s">
        <v>16</v>
      </c>
      <c r="G1619" s="3" t="s">
        <v>41</v>
      </c>
      <c r="H1619" s="3"/>
      <c r="I1619" s="3"/>
      <c r="J1619" s="3" t="s">
        <v>42</v>
      </c>
      <c r="K1619" s="3"/>
      <c r="L1619" s="3" t="s">
        <v>349</v>
      </c>
    </row>
    <row r="1620" customFormat="false" ht="11.9" hidden="false" customHeight="true" outlineLevel="0" collapsed="false">
      <c r="A1620" s="2" t="str">
        <f aca="false">HYPERLINK("https://www.fabsurplus.com/sdi_catalog/salesItemDetails.do?id=110123")</f>
        <v>https://www.fabsurplus.com/sdi_catalog/salesItemDetails.do?id=110123</v>
      </c>
      <c r="B1620" s="2" t="s">
        <v>4487</v>
      </c>
      <c r="C1620" s="2" t="s">
        <v>4399</v>
      </c>
      <c r="D1620" s="2" t="s">
        <v>4486</v>
      </c>
      <c r="E1620" s="2" t="s">
        <v>47</v>
      </c>
      <c r="F1620" s="2" t="s">
        <v>16</v>
      </c>
      <c r="G1620" s="2" t="s">
        <v>41</v>
      </c>
      <c r="H1620" s="2"/>
      <c r="I1620" s="2"/>
      <c r="J1620" s="2" t="s">
        <v>42</v>
      </c>
      <c r="K1620" s="2"/>
      <c r="L1620" s="2" t="s">
        <v>349</v>
      </c>
    </row>
    <row r="1621" customFormat="false" ht="11.9" hidden="false" customHeight="true" outlineLevel="0" collapsed="false">
      <c r="A1621" s="2" t="str">
        <f aca="false">HYPERLINK("https://www.fabsurplus.com/sdi_catalog/salesItemDetails.do?id=110119")</f>
        <v>https://www.fabsurplus.com/sdi_catalog/salesItemDetails.do?id=110119</v>
      </c>
      <c r="B1621" s="2" t="s">
        <v>4488</v>
      </c>
      <c r="C1621" s="2" t="s">
        <v>4399</v>
      </c>
      <c r="D1621" s="2" t="s">
        <v>4489</v>
      </c>
      <c r="E1621" s="2" t="s">
        <v>47</v>
      </c>
      <c r="F1621" s="2" t="s">
        <v>16</v>
      </c>
      <c r="G1621" s="2" t="s">
        <v>41</v>
      </c>
      <c r="H1621" s="2"/>
      <c r="I1621" s="2"/>
      <c r="J1621" s="2" t="s">
        <v>42</v>
      </c>
      <c r="K1621" s="2"/>
      <c r="L1621" s="2" t="s">
        <v>4490</v>
      </c>
    </row>
    <row r="1622" customFormat="false" ht="11.9" hidden="false" customHeight="true" outlineLevel="0" collapsed="false">
      <c r="A1622" s="3" t="str">
        <f aca="false">HYPERLINK("https://www.fabsurplus.com/sdi_catalog/salesItemDetails.do?id=110118")</f>
        <v>https://www.fabsurplus.com/sdi_catalog/salesItemDetails.do?id=110118</v>
      </c>
      <c r="B1622" s="3" t="s">
        <v>4491</v>
      </c>
      <c r="C1622" s="3" t="s">
        <v>4399</v>
      </c>
      <c r="D1622" s="3" t="s">
        <v>4489</v>
      </c>
      <c r="E1622" s="3" t="s">
        <v>47</v>
      </c>
      <c r="F1622" s="3" t="s">
        <v>16</v>
      </c>
      <c r="G1622" s="3" t="s">
        <v>41</v>
      </c>
      <c r="H1622" s="3"/>
      <c r="I1622" s="3"/>
      <c r="J1622" s="3" t="s">
        <v>42</v>
      </c>
      <c r="K1622" s="3"/>
      <c r="L1622" s="3" t="s">
        <v>4490</v>
      </c>
    </row>
    <row r="1623" customFormat="false" ht="11.9" hidden="false" customHeight="true" outlineLevel="0" collapsed="false">
      <c r="A1623" s="2" t="str">
        <f aca="false">HYPERLINK("https://www.fabsurplus.com/sdi_catalog/salesItemDetails.do?id=110117")</f>
        <v>https://www.fabsurplus.com/sdi_catalog/salesItemDetails.do?id=110117</v>
      </c>
      <c r="B1623" s="2" t="s">
        <v>4492</v>
      </c>
      <c r="C1623" s="2" t="s">
        <v>4399</v>
      </c>
      <c r="D1623" s="2" t="s">
        <v>4489</v>
      </c>
      <c r="E1623" s="2" t="s">
        <v>47</v>
      </c>
      <c r="F1623" s="2" t="s">
        <v>16</v>
      </c>
      <c r="G1623" s="2" t="s">
        <v>41</v>
      </c>
      <c r="H1623" s="2"/>
      <c r="I1623" s="2"/>
      <c r="J1623" s="2" t="s">
        <v>42</v>
      </c>
      <c r="K1623" s="2"/>
      <c r="L1623" s="2" t="s">
        <v>4493</v>
      </c>
    </row>
    <row r="1624" customFormat="false" ht="11.9" hidden="false" customHeight="true" outlineLevel="0" collapsed="false">
      <c r="A1624" s="3" t="str">
        <f aca="false">HYPERLINK("https://www.fabsurplus.com/sdi_catalog/salesItemDetails.do?id=110116")</f>
        <v>https://www.fabsurplus.com/sdi_catalog/salesItemDetails.do?id=110116</v>
      </c>
      <c r="B1624" s="3" t="s">
        <v>4494</v>
      </c>
      <c r="C1624" s="3" t="s">
        <v>4399</v>
      </c>
      <c r="D1624" s="3" t="s">
        <v>4489</v>
      </c>
      <c r="E1624" s="3" t="s">
        <v>47</v>
      </c>
      <c r="F1624" s="3" t="s">
        <v>16</v>
      </c>
      <c r="G1624" s="3" t="s">
        <v>41</v>
      </c>
      <c r="H1624" s="3"/>
      <c r="I1624" s="3"/>
      <c r="J1624" s="3" t="s">
        <v>42</v>
      </c>
      <c r="K1624" s="3"/>
      <c r="L1624" s="3" t="s">
        <v>4495</v>
      </c>
    </row>
    <row r="1625" customFormat="false" ht="11.9" hidden="false" customHeight="true" outlineLevel="0" collapsed="false">
      <c r="A1625" s="2" t="str">
        <f aca="false">HYPERLINK("https://www.fabsurplus.com/sdi_catalog/salesItemDetails.do?id=110115")</f>
        <v>https://www.fabsurplus.com/sdi_catalog/salesItemDetails.do?id=110115</v>
      </c>
      <c r="B1625" s="2" t="s">
        <v>4496</v>
      </c>
      <c r="C1625" s="2" t="s">
        <v>4399</v>
      </c>
      <c r="D1625" s="2" t="s">
        <v>4489</v>
      </c>
      <c r="E1625" s="2" t="s">
        <v>47</v>
      </c>
      <c r="F1625" s="2" t="s">
        <v>16</v>
      </c>
      <c r="G1625" s="2" t="s">
        <v>41</v>
      </c>
      <c r="H1625" s="2"/>
      <c r="I1625" s="2"/>
      <c r="J1625" s="2" t="s">
        <v>42</v>
      </c>
      <c r="K1625" s="2"/>
      <c r="L1625" s="2" t="s">
        <v>4497</v>
      </c>
    </row>
    <row r="1626" customFormat="false" ht="11.9" hidden="false" customHeight="true" outlineLevel="0" collapsed="false">
      <c r="A1626" s="3" t="str">
        <f aca="false">HYPERLINK("https://www.fabsurplus.com/sdi_catalog/salesItemDetails.do?id=110114")</f>
        <v>https://www.fabsurplus.com/sdi_catalog/salesItemDetails.do?id=110114</v>
      </c>
      <c r="B1626" s="3" t="s">
        <v>4498</v>
      </c>
      <c r="C1626" s="3" t="s">
        <v>4399</v>
      </c>
      <c r="D1626" s="3" t="s">
        <v>4489</v>
      </c>
      <c r="E1626" s="3" t="s">
        <v>47</v>
      </c>
      <c r="F1626" s="3" t="s">
        <v>16</v>
      </c>
      <c r="G1626" s="3" t="s">
        <v>41</v>
      </c>
      <c r="H1626" s="3"/>
      <c r="I1626" s="3"/>
      <c r="J1626" s="3" t="s">
        <v>42</v>
      </c>
      <c r="K1626" s="3"/>
      <c r="L1626" s="3" t="s">
        <v>4497</v>
      </c>
    </row>
    <row r="1627" customFormat="false" ht="11.9" hidden="false" customHeight="true" outlineLevel="0" collapsed="false">
      <c r="A1627" s="2" t="str">
        <f aca="false">HYPERLINK("https://www.fabsurplus.com/sdi_catalog/salesItemDetails.do?id=110113")</f>
        <v>https://www.fabsurplus.com/sdi_catalog/salesItemDetails.do?id=110113</v>
      </c>
      <c r="B1627" s="2" t="s">
        <v>4499</v>
      </c>
      <c r="C1627" s="2" t="s">
        <v>4399</v>
      </c>
      <c r="D1627" s="2" t="s">
        <v>4489</v>
      </c>
      <c r="E1627" s="2" t="s">
        <v>47</v>
      </c>
      <c r="F1627" s="2" t="s">
        <v>16</v>
      </c>
      <c r="G1627" s="2" t="s">
        <v>41</v>
      </c>
      <c r="H1627" s="2"/>
      <c r="I1627" s="2"/>
      <c r="J1627" s="2" t="s">
        <v>42</v>
      </c>
      <c r="K1627" s="2"/>
      <c r="L1627" s="2" t="s">
        <v>4500</v>
      </c>
    </row>
    <row r="1628" customFormat="false" ht="11.9" hidden="false" customHeight="true" outlineLevel="0" collapsed="false">
      <c r="A1628" s="3" t="str">
        <f aca="false">HYPERLINK("https://www.fabsurplus.com/sdi_catalog/salesItemDetails.do?id=110134")</f>
        <v>https://www.fabsurplus.com/sdi_catalog/salesItemDetails.do?id=110134</v>
      </c>
      <c r="B1628" s="3" t="s">
        <v>4501</v>
      </c>
      <c r="C1628" s="3" t="s">
        <v>4399</v>
      </c>
      <c r="D1628" s="3" t="s">
        <v>4502</v>
      </c>
      <c r="E1628" s="3" t="s">
        <v>40</v>
      </c>
      <c r="F1628" s="3" t="s">
        <v>16</v>
      </c>
      <c r="G1628" s="3" t="s">
        <v>41</v>
      </c>
      <c r="H1628" s="3"/>
      <c r="I1628" s="3"/>
      <c r="J1628" s="3" t="s">
        <v>42</v>
      </c>
      <c r="K1628" s="3"/>
      <c r="L1628" s="3" t="s">
        <v>4503</v>
      </c>
    </row>
    <row r="1629" customFormat="false" ht="11.9" hidden="false" customHeight="true" outlineLevel="0" collapsed="false">
      <c r="A1629" s="2" t="str">
        <f aca="false">HYPERLINK("https://www.fabsurplus.com/sdi_catalog/salesItemDetails.do?id=110133")</f>
        <v>https://www.fabsurplus.com/sdi_catalog/salesItemDetails.do?id=110133</v>
      </c>
      <c r="B1629" s="2" t="s">
        <v>4504</v>
      </c>
      <c r="C1629" s="2" t="s">
        <v>4399</v>
      </c>
      <c r="D1629" s="2" t="s">
        <v>4502</v>
      </c>
      <c r="E1629" s="2" t="s">
        <v>40</v>
      </c>
      <c r="F1629" s="2" t="s">
        <v>16</v>
      </c>
      <c r="G1629" s="2" t="s">
        <v>41</v>
      </c>
      <c r="H1629" s="2"/>
      <c r="I1629" s="2"/>
      <c r="J1629" s="2" t="s">
        <v>42</v>
      </c>
      <c r="K1629" s="2"/>
      <c r="L1629" s="2" t="s">
        <v>4503</v>
      </c>
    </row>
    <row r="1630" customFormat="false" ht="11.9" hidden="false" customHeight="true" outlineLevel="0" collapsed="false">
      <c r="A1630" s="3" t="str">
        <f aca="false">HYPERLINK("https://www.fabsurplus.com/sdi_catalog/salesItemDetails.do?id=110132")</f>
        <v>https://www.fabsurplus.com/sdi_catalog/salesItemDetails.do?id=110132</v>
      </c>
      <c r="B1630" s="3" t="s">
        <v>4505</v>
      </c>
      <c r="C1630" s="3" t="s">
        <v>4399</v>
      </c>
      <c r="D1630" s="3" t="s">
        <v>4502</v>
      </c>
      <c r="E1630" s="3" t="s">
        <v>40</v>
      </c>
      <c r="F1630" s="3" t="s">
        <v>16</v>
      </c>
      <c r="G1630" s="3" t="s">
        <v>41</v>
      </c>
      <c r="H1630" s="3"/>
      <c r="I1630" s="3"/>
      <c r="J1630" s="3" t="s">
        <v>42</v>
      </c>
      <c r="K1630" s="3"/>
      <c r="L1630" s="3" t="s">
        <v>4503</v>
      </c>
    </row>
    <row r="1631" customFormat="false" ht="11.9" hidden="false" customHeight="true" outlineLevel="0" collapsed="false">
      <c r="A1631" s="2" t="str">
        <f aca="false">HYPERLINK("https://www.fabsurplus.com/sdi_catalog/salesItemDetails.do?id=110131")</f>
        <v>https://www.fabsurplus.com/sdi_catalog/salesItemDetails.do?id=110131</v>
      </c>
      <c r="B1631" s="2" t="s">
        <v>4506</v>
      </c>
      <c r="C1631" s="2" t="s">
        <v>4399</v>
      </c>
      <c r="D1631" s="2" t="s">
        <v>4502</v>
      </c>
      <c r="E1631" s="2" t="s">
        <v>40</v>
      </c>
      <c r="F1631" s="2" t="s">
        <v>16</v>
      </c>
      <c r="G1631" s="2" t="s">
        <v>41</v>
      </c>
      <c r="H1631" s="2"/>
      <c r="I1631" s="2"/>
      <c r="J1631" s="2" t="s">
        <v>42</v>
      </c>
      <c r="K1631" s="2"/>
      <c r="L1631" s="2" t="s">
        <v>4503</v>
      </c>
    </row>
    <row r="1632" customFormat="false" ht="11.9" hidden="false" customHeight="true" outlineLevel="0" collapsed="false">
      <c r="A1632" s="3" t="str">
        <f aca="false">HYPERLINK("https://www.fabsurplus.com/sdi_catalog/salesItemDetails.do?id=110130")</f>
        <v>https://www.fabsurplus.com/sdi_catalog/salesItemDetails.do?id=110130</v>
      </c>
      <c r="B1632" s="3" t="s">
        <v>4507</v>
      </c>
      <c r="C1632" s="3" t="s">
        <v>4399</v>
      </c>
      <c r="D1632" s="3" t="s">
        <v>4502</v>
      </c>
      <c r="E1632" s="3" t="s">
        <v>40</v>
      </c>
      <c r="F1632" s="3" t="s">
        <v>16</v>
      </c>
      <c r="G1632" s="3" t="s">
        <v>41</v>
      </c>
      <c r="H1632" s="3"/>
      <c r="I1632" s="3"/>
      <c r="J1632" s="3" t="s">
        <v>42</v>
      </c>
      <c r="K1632" s="3"/>
      <c r="L1632" s="3" t="s">
        <v>4503</v>
      </c>
    </row>
    <row r="1633" customFormat="false" ht="11.9" hidden="false" customHeight="true" outlineLevel="0" collapsed="false">
      <c r="A1633" s="2" t="str">
        <f aca="false">HYPERLINK("https://www.fabsurplus.com/sdi_catalog/salesItemDetails.do?id=110129")</f>
        <v>https://www.fabsurplus.com/sdi_catalog/salesItemDetails.do?id=110129</v>
      </c>
      <c r="B1633" s="2" t="s">
        <v>4508</v>
      </c>
      <c r="C1633" s="2" t="s">
        <v>4399</v>
      </c>
      <c r="D1633" s="2" t="s">
        <v>4502</v>
      </c>
      <c r="E1633" s="2" t="s">
        <v>40</v>
      </c>
      <c r="F1633" s="2" t="s">
        <v>16</v>
      </c>
      <c r="G1633" s="2" t="s">
        <v>41</v>
      </c>
      <c r="H1633" s="2"/>
      <c r="I1633" s="2"/>
      <c r="J1633" s="2" t="s">
        <v>42</v>
      </c>
      <c r="K1633" s="2"/>
      <c r="L1633" s="2" t="s">
        <v>4503</v>
      </c>
    </row>
    <row r="1634" customFormat="false" ht="11.9" hidden="false" customHeight="true" outlineLevel="0" collapsed="false">
      <c r="A1634" s="3" t="str">
        <f aca="false">HYPERLINK("https://www.fabsurplus.com/sdi_catalog/salesItemDetails.do?id=110128")</f>
        <v>https://www.fabsurplus.com/sdi_catalog/salesItemDetails.do?id=110128</v>
      </c>
      <c r="B1634" s="3" t="s">
        <v>4509</v>
      </c>
      <c r="C1634" s="3" t="s">
        <v>4399</v>
      </c>
      <c r="D1634" s="3" t="s">
        <v>4502</v>
      </c>
      <c r="E1634" s="3" t="s">
        <v>40</v>
      </c>
      <c r="F1634" s="3" t="s">
        <v>16</v>
      </c>
      <c r="G1634" s="3" t="s">
        <v>41</v>
      </c>
      <c r="H1634" s="3"/>
      <c r="I1634" s="3"/>
      <c r="J1634" s="3" t="s">
        <v>42</v>
      </c>
      <c r="K1634" s="3"/>
      <c r="L1634" s="3" t="s">
        <v>4503</v>
      </c>
    </row>
    <row r="1635" customFormat="false" ht="11.9" hidden="false" customHeight="true" outlineLevel="0" collapsed="false">
      <c r="A1635" s="2" t="str">
        <f aca="false">HYPERLINK("https://www.fabsurplus.com/sdi_catalog/salesItemDetails.do?id=110127")</f>
        <v>https://www.fabsurplus.com/sdi_catalog/salesItemDetails.do?id=110127</v>
      </c>
      <c r="B1635" s="2" t="s">
        <v>4510</v>
      </c>
      <c r="C1635" s="2" t="s">
        <v>4399</v>
      </c>
      <c r="D1635" s="2" t="s">
        <v>4502</v>
      </c>
      <c r="E1635" s="2" t="s">
        <v>40</v>
      </c>
      <c r="F1635" s="2" t="s">
        <v>16</v>
      </c>
      <c r="G1635" s="2" t="s">
        <v>41</v>
      </c>
      <c r="H1635" s="2"/>
      <c r="I1635" s="2"/>
      <c r="J1635" s="2" t="s">
        <v>42</v>
      </c>
      <c r="K1635" s="2"/>
      <c r="L1635" s="2" t="s">
        <v>4511</v>
      </c>
    </row>
    <row r="1636" customFormat="false" ht="11.9" hidden="false" customHeight="true" outlineLevel="0" collapsed="false">
      <c r="A1636" s="2" t="str">
        <f aca="false">HYPERLINK("https://www.fabsurplus.com/sdi_catalog/salesItemDetails.do?id=110153")</f>
        <v>https://www.fabsurplus.com/sdi_catalog/salesItemDetails.do?id=110153</v>
      </c>
      <c r="B1636" s="2" t="s">
        <v>4512</v>
      </c>
      <c r="C1636" s="2" t="s">
        <v>4399</v>
      </c>
      <c r="D1636" s="2" t="s">
        <v>4513</v>
      </c>
      <c r="E1636" s="2" t="s">
        <v>133</v>
      </c>
      <c r="F1636" s="2" t="s">
        <v>16</v>
      </c>
      <c r="G1636" s="2" t="s">
        <v>41</v>
      </c>
      <c r="H1636" s="2"/>
      <c r="I1636" s="2"/>
      <c r="J1636" s="2" t="s">
        <v>42</v>
      </c>
      <c r="K1636" s="2"/>
      <c r="L1636" s="2" t="s">
        <v>4514</v>
      </c>
    </row>
    <row r="1637" customFormat="false" ht="11.9" hidden="false" customHeight="true" outlineLevel="0" collapsed="false">
      <c r="A1637" s="2" t="str">
        <f aca="false">HYPERLINK("https://www.fabsurplus.com/sdi_catalog/salesItemDetails.do?id=110152")</f>
        <v>https://www.fabsurplus.com/sdi_catalog/salesItemDetails.do?id=110152</v>
      </c>
      <c r="B1637" s="2" t="s">
        <v>4515</v>
      </c>
      <c r="C1637" s="2" t="s">
        <v>4399</v>
      </c>
      <c r="D1637" s="2" t="s">
        <v>4513</v>
      </c>
      <c r="E1637" s="2" t="s">
        <v>133</v>
      </c>
      <c r="F1637" s="2" t="s">
        <v>16</v>
      </c>
      <c r="G1637" s="2" t="s">
        <v>41</v>
      </c>
      <c r="H1637" s="2"/>
      <c r="I1637" s="2"/>
      <c r="J1637" s="2" t="s">
        <v>42</v>
      </c>
      <c r="K1637" s="2"/>
      <c r="L1637" s="2" t="s">
        <v>4516</v>
      </c>
    </row>
    <row r="1638" customFormat="false" ht="11.9" hidden="false" customHeight="true" outlineLevel="0" collapsed="false">
      <c r="A1638" s="3" t="str">
        <f aca="false">HYPERLINK("https://www.fabsurplus.com/sdi_catalog/salesItemDetails.do?id=110158")</f>
        <v>https://www.fabsurplus.com/sdi_catalog/salesItemDetails.do?id=110158</v>
      </c>
      <c r="B1638" s="3" t="s">
        <v>4517</v>
      </c>
      <c r="C1638" s="3" t="s">
        <v>4399</v>
      </c>
      <c r="D1638" s="3" t="s">
        <v>4518</v>
      </c>
      <c r="E1638" s="3" t="s">
        <v>40</v>
      </c>
      <c r="F1638" s="3" t="s">
        <v>16</v>
      </c>
      <c r="G1638" s="3" t="s">
        <v>41</v>
      </c>
      <c r="H1638" s="3"/>
      <c r="I1638" s="3"/>
      <c r="J1638" s="3" t="s">
        <v>42</v>
      </c>
      <c r="K1638" s="3"/>
      <c r="L1638" s="3" t="s">
        <v>4519</v>
      </c>
    </row>
    <row r="1639" customFormat="false" ht="11.9" hidden="false" customHeight="true" outlineLevel="0" collapsed="false">
      <c r="A1639" s="2" t="str">
        <f aca="false">HYPERLINK("https://www.fabsurplus.com/sdi_catalog/salesItemDetails.do?id=110157")</f>
        <v>https://www.fabsurplus.com/sdi_catalog/salesItemDetails.do?id=110157</v>
      </c>
      <c r="B1639" s="2" t="s">
        <v>4520</v>
      </c>
      <c r="C1639" s="2" t="s">
        <v>4399</v>
      </c>
      <c r="D1639" s="2" t="s">
        <v>4518</v>
      </c>
      <c r="E1639" s="2" t="s">
        <v>40</v>
      </c>
      <c r="F1639" s="2" t="s">
        <v>16</v>
      </c>
      <c r="G1639" s="2" t="s">
        <v>41</v>
      </c>
      <c r="H1639" s="2"/>
      <c r="I1639" s="2"/>
      <c r="J1639" s="2" t="s">
        <v>42</v>
      </c>
      <c r="K1639" s="2"/>
      <c r="L1639" s="2" t="s">
        <v>4519</v>
      </c>
    </row>
    <row r="1640" customFormat="false" ht="11.9" hidden="false" customHeight="true" outlineLevel="0" collapsed="false">
      <c r="A1640" s="3" t="str">
        <f aca="false">HYPERLINK("https://www.fabsurplus.com/sdi_catalog/salesItemDetails.do?id=110156")</f>
        <v>https://www.fabsurplus.com/sdi_catalog/salesItemDetails.do?id=110156</v>
      </c>
      <c r="B1640" s="3" t="s">
        <v>4521</v>
      </c>
      <c r="C1640" s="3" t="s">
        <v>4399</v>
      </c>
      <c r="D1640" s="3" t="s">
        <v>4518</v>
      </c>
      <c r="E1640" s="3" t="s">
        <v>40</v>
      </c>
      <c r="F1640" s="3" t="s">
        <v>16</v>
      </c>
      <c r="G1640" s="3" t="s">
        <v>41</v>
      </c>
      <c r="H1640" s="3"/>
      <c r="I1640" s="3"/>
      <c r="J1640" s="3" t="s">
        <v>42</v>
      </c>
      <c r="K1640" s="3"/>
      <c r="L1640" s="3" t="s">
        <v>4519</v>
      </c>
    </row>
    <row r="1641" customFormat="false" ht="11.9" hidden="false" customHeight="true" outlineLevel="0" collapsed="false">
      <c r="A1641" s="2" t="str">
        <f aca="false">HYPERLINK("https://www.fabsurplus.com/sdi_catalog/salesItemDetails.do?id=110159")</f>
        <v>https://www.fabsurplus.com/sdi_catalog/salesItemDetails.do?id=110159</v>
      </c>
      <c r="B1641" s="2" t="s">
        <v>4522</v>
      </c>
      <c r="C1641" s="2" t="s">
        <v>4399</v>
      </c>
      <c r="D1641" s="2" t="s">
        <v>4523</v>
      </c>
      <c r="E1641" s="2" t="s">
        <v>40</v>
      </c>
      <c r="F1641" s="2" t="s">
        <v>16</v>
      </c>
      <c r="G1641" s="2" t="s">
        <v>41</v>
      </c>
      <c r="H1641" s="2"/>
      <c r="I1641" s="2"/>
      <c r="J1641" s="2" t="s">
        <v>42</v>
      </c>
      <c r="K1641" s="2"/>
      <c r="L1641" s="2" t="s">
        <v>4524</v>
      </c>
    </row>
    <row r="1642" customFormat="false" ht="11.9" hidden="false" customHeight="true" outlineLevel="0" collapsed="false">
      <c r="A1642" s="2" t="str">
        <f aca="false">HYPERLINK("https://www.fabsurplus.com/sdi_catalog/salesItemDetails.do?id=110155")</f>
        <v>https://www.fabsurplus.com/sdi_catalog/salesItemDetails.do?id=110155</v>
      </c>
      <c r="B1642" s="2" t="s">
        <v>4525</v>
      </c>
      <c r="C1642" s="2" t="s">
        <v>4399</v>
      </c>
      <c r="D1642" s="2" t="s">
        <v>4523</v>
      </c>
      <c r="E1642" s="2" t="s">
        <v>40</v>
      </c>
      <c r="F1642" s="2" t="s">
        <v>16</v>
      </c>
      <c r="G1642" s="2" t="s">
        <v>41</v>
      </c>
      <c r="H1642" s="2"/>
      <c r="I1642" s="2"/>
      <c r="J1642" s="2" t="s">
        <v>42</v>
      </c>
      <c r="K1642" s="2"/>
      <c r="L1642" s="2" t="s">
        <v>349</v>
      </c>
    </row>
    <row r="1643" customFormat="false" ht="11.9" hidden="false" customHeight="true" outlineLevel="0" collapsed="false">
      <c r="A1643" s="2" t="str">
        <f aca="false">HYPERLINK("https://www.fabsurplus.com/sdi_catalog/salesItemDetails.do?id=110154")</f>
        <v>https://www.fabsurplus.com/sdi_catalog/salesItemDetails.do?id=110154</v>
      </c>
      <c r="B1643" s="2" t="s">
        <v>4526</v>
      </c>
      <c r="C1643" s="2" t="s">
        <v>4399</v>
      </c>
      <c r="D1643" s="2" t="s">
        <v>4523</v>
      </c>
      <c r="E1643" s="2" t="s">
        <v>40</v>
      </c>
      <c r="F1643" s="2" t="s">
        <v>16</v>
      </c>
      <c r="G1643" s="2" t="s">
        <v>41</v>
      </c>
      <c r="H1643" s="2"/>
      <c r="I1643" s="2"/>
      <c r="J1643" s="2" t="s">
        <v>42</v>
      </c>
      <c r="K1643" s="2"/>
      <c r="L1643" s="2" t="s">
        <v>349</v>
      </c>
    </row>
    <row r="1644" customFormat="false" ht="11.9" hidden="false" customHeight="true" outlineLevel="0" collapsed="false">
      <c r="A1644" s="2" t="str">
        <f aca="false">HYPERLINK("https://www.fabsurplus.com/sdi_catalog/salesItemDetails.do?id=110171")</f>
        <v>https://www.fabsurplus.com/sdi_catalog/salesItemDetails.do?id=110171</v>
      </c>
      <c r="B1644" s="2" t="s">
        <v>4527</v>
      </c>
      <c r="C1644" s="2" t="s">
        <v>4399</v>
      </c>
      <c r="D1644" s="2" t="s">
        <v>4528</v>
      </c>
      <c r="E1644" s="2" t="s">
        <v>133</v>
      </c>
      <c r="F1644" s="2" t="s">
        <v>16</v>
      </c>
      <c r="G1644" s="2" t="s">
        <v>41</v>
      </c>
      <c r="H1644" s="2"/>
      <c r="I1644" s="2"/>
      <c r="J1644" s="2" t="s">
        <v>42</v>
      </c>
      <c r="K1644" s="2"/>
      <c r="L1644" s="2" t="s">
        <v>4529</v>
      </c>
    </row>
    <row r="1645" customFormat="false" ht="11.9" hidden="false" customHeight="true" outlineLevel="0" collapsed="false">
      <c r="A1645" s="3" t="str">
        <f aca="false">HYPERLINK("https://www.fabsurplus.com/sdi_catalog/salesItemDetails.do?id=110170")</f>
        <v>https://www.fabsurplus.com/sdi_catalog/salesItemDetails.do?id=110170</v>
      </c>
      <c r="B1645" s="3" t="s">
        <v>4530</v>
      </c>
      <c r="C1645" s="3" t="s">
        <v>4399</v>
      </c>
      <c r="D1645" s="3" t="s">
        <v>4528</v>
      </c>
      <c r="E1645" s="3" t="s">
        <v>133</v>
      </c>
      <c r="F1645" s="3" t="s">
        <v>16</v>
      </c>
      <c r="G1645" s="3" t="s">
        <v>41</v>
      </c>
      <c r="H1645" s="3"/>
      <c r="I1645" s="3"/>
      <c r="J1645" s="3" t="s">
        <v>42</v>
      </c>
      <c r="K1645" s="3"/>
      <c r="L1645" s="3" t="s">
        <v>4531</v>
      </c>
    </row>
    <row r="1646" customFormat="false" ht="11.9" hidden="false" customHeight="true" outlineLevel="0" collapsed="false">
      <c r="A1646" s="2" t="str">
        <f aca="false">HYPERLINK("https://www.fabsurplus.com/sdi_catalog/salesItemDetails.do?id=110169")</f>
        <v>https://www.fabsurplus.com/sdi_catalog/salesItemDetails.do?id=110169</v>
      </c>
      <c r="B1646" s="2" t="s">
        <v>4532</v>
      </c>
      <c r="C1646" s="2" t="s">
        <v>4399</v>
      </c>
      <c r="D1646" s="2" t="s">
        <v>4528</v>
      </c>
      <c r="E1646" s="2" t="s">
        <v>133</v>
      </c>
      <c r="F1646" s="2" t="s">
        <v>16</v>
      </c>
      <c r="G1646" s="2" t="s">
        <v>41</v>
      </c>
      <c r="H1646" s="2"/>
      <c r="I1646" s="2"/>
      <c r="J1646" s="2" t="s">
        <v>42</v>
      </c>
      <c r="K1646" s="2"/>
      <c r="L1646" s="2" t="s">
        <v>4531</v>
      </c>
    </row>
    <row r="1647" customFormat="false" ht="11.9" hidden="false" customHeight="true" outlineLevel="0" collapsed="false">
      <c r="A1647" s="3" t="str">
        <f aca="false">HYPERLINK("https://www.fabsurplus.com/sdi_catalog/salesItemDetails.do?id=110168")</f>
        <v>https://www.fabsurplus.com/sdi_catalog/salesItemDetails.do?id=110168</v>
      </c>
      <c r="B1647" s="3" t="s">
        <v>4533</v>
      </c>
      <c r="C1647" s="3" t="s">
        <v>4399</v>
      </c>
      <c r="D1647" s="3" t="s">
        <v>4528</v>
      </c>
      <c r="E1647" s="3" t="s">
        <v>133</v>
      </c>
      <c r="F1647" s="3" t="s">
        <v>16</v>
      </c>
      <c r="G1647" s="3" t="s">
        <v>41</v>
      </c>
      <c r="H1647" s="3"/>
      <c r="I1647" s="3"/>
      <c r="J1647" s="3" t="s">
        <v>42</v>
      </c>
      <c r="K1647" s="3"/>
      <c r="L1647" s="3" t="s">
        <v>4531</v>
      </c>
    </row>
    <row r="1648" customFormat="false" ht="11.9" hidden="false" customHeight="true" outlineLevel="0" collapsed="false">
      <c r="A1648" s="2" t="str">
        <f aca="false">HYPERLINK("https://www.fabsurplus.com/sdi_catalog/salesItemDetails.do?id=110167")</f>
        <v>https://www.fabsurplus.com/sdi_catalog/salesItemDetails.do?id=110167</v>
      </c>
      <c r="B1648" s="2" t="s">
        <v>4534</v>
      </c>
      <c r="C1648" s="2" t="s">
        <v>4399</v>
      </c>
      <c r="D1648" s="2" t="s">
        <v>4528</v>
      </c>
      <c r="E1648" s="2" t="s">
        <v>133</v>
      </c>
      <c r="F1648" s="2" t="s">
        <v>16</v>
      </c>
      <c r="G1648" s="2" t="s">
        <v>41</v>
      </c>
      <c r="H1648" s="2"/>
      <c r="I1648" s="2"/>
      <c r="J1648" s="2" t="s">
        <v>42</v>
      </c>
      <c r="K1648" s="2"/>
      <c r="L1648" s="2" t="s">
        <v>4531</v>
      </c>
    </row>
    <row r="1649" customFormat="false" ht="11.9" hidden="false" customHeight="true" outlineLevel="0" collapsed="false">
      <c r="A1649" s="3" t="str">
        <f aca="false">HYPERLINK("https://www.fabsurplus.com/sdi_catalog/salesItemDetails.do?id=110166")</f>
        <v>https://www.fabsurplus.com/sdi_catalog/salesItemDetails.do?id=110166</v>
      </c>
      <c r="B1649" s="3" t="s">
        <v>4535</v>
      </c>
      <c r="C1649" s="3" t="s">
        <v>4399</v>
      </c>
      <c r="D1649" s="3" t="s">
        <v>4528</v>
      </c>
      <c r="E1649" s="3" t="s">
        <v>133</v>
      </c>
      <c r="F1649" s="3" t="s">
        <v>16</v>
      </c>
      <c r="G1649" s="3" t="s">
        <v>41</v>
      </c>
      <c r="H1649" s="3"/>
      <c r="I1649" s="3"/>
      <c r="J1649" s="3" t="s">
        <v>42</v>
      </c>
      <c r="K1649" s="3"/>
      <c r="L1649" s="3" t="s">
        <v>4531</v>
      </c>
    </row>
    <row r="1650" customFormat="false" ht="11.9" hidden="false" customHeight="true" outlineLevel="0" collapsed="false">
      <c r="A1650" s="2" t="str">
        <f aca="false">HYPERLINK("https://www.fabsurplus.com/sdi_catalog/salesItemDetails.do?id=110165")</f>
        <v>https://www.fabsurplus.com/sdi_catalog/salesItemDetails.do?id=110165</v>
      </c>
      <c r="B1650" s="2" t="s">
        <v>4536</v>
      </c>
      <c r="C1650" s="2" t="s">
        <v>4399</v>
      </c>
      <c r="D1650" s="2" t="s">
        <v>4528</v>
      </c>
      <c r="E1650" s="2" t="s">
        <v>133</v>
      </c>
      <c r="F1650" s="2" t="s">
        <v>16</v>
      </c>
      <c r="G1650" s="2" t="s">
        <v>41</v>
      </c>
      <c r="H1650" s="2"/>
      <c r="I1650" s="2"/>
      <c r="J1650" s="2" t="s">
        <v>42</v>
      </c>
      <c r="K1650" s="2"/>
      <c r="L1650" s="2" t="s">
        <v>4531</v>
      </c>
    </row>
    <row r="1651" customFormat="false" ht="11.9" hidden="false" customHeight="true" outlineLevel="0" collapsed="false">
      <c r="A1651" s="3" t="str">
        <f aca="false">HYPERLINK("https://www.fabsurplus.com/sdi_catalog/salesItemDetails.do?id=110164")</f>
        <v>https://www.fabsurplus.com/sdi_catalog/salesItemDetails.do?id=110164</v>
      </c>
      <c r="B1651" s="3" t="s">
        <v>4537</v>
      </c>
      <c r="C1651" s="3" t="s">
        <v>4399</v>
      </c>
      <c r="D1651" s="3" t="s">
        <v>4528</v>
      </c>
      <c r="E1651" s="3" t="s">
        <v>133</v>
      </c>
      <c r="F1651" s="3" t="s">
        <v>16</v>
      </c>
      <c r="G1651" s="3" t="s">
        <v>41</v>
      </c>
      <c r="H1651" s="3"/>
      <c r="I1651" s="3"/>
      <c r="J1651" s="3" t="s">
        <v>42</v>
      </c>
      <c r="K1651" s="3"/>
      <c r="L1651" s="3" t="s">
        <v>4538</v>
      </c>
    </row>
    <row r="1652" customFormat="false" ht="11.9" hidden="false" customHeight="true" outlineLevel="0" collapsed="false">
      <c r="A1652" s="2" t="str">
        <f aca="false">HYPERLINK("https://www.fabsurplus.com/sdi_catalog/salesItemDetails.do?id=110163")</f>
        <v>https://www.fabsurplus.com/sdi_catalog/salesItemDetails.do?id=110163</v>
      </c>
      <c r="B1652" s="2" t="s">
        <v>4539</v>
      </c>
      <c r="C1652" s="2" t="s">
        <v>4399</v>
      </c>
      <c r="D1652" s="2" t="s">
        <v>4528</v>
      </c>
      <c r="E1652" s="2" t="s">
        <v>133</v>
      </c>
      <c r="F1652" s="2" t="s">
        <v>16</v>
      </c>
      <c r="G1652" s="2" t="s">
        <v>41</v>
      </c>
      <c r="H1652" s="2"/>
      <c r="I1652" s="2"/>
      <c r="J1652" s="2" t="s">
        <v>42</v>
      </c>
      <c r="K1652" s="2"/>
      <c r="L1652" s="2" t="s">
        <v>4540</v>
      </c>
    </row>
    <row r="1653" customFormat="false" ht="11.9" hidden="false" customHeight="true" outlineLevel="0" collapsed="false">
      <c r="A1653" s="3" t="str">
        <f aca="false">HYPERLINK("https://www.fabsurplus.com/sdi_catalog/salesItemDetails.do?id=110162")</f>
        <v>https://www.fabsurplus.com/sdi_catalog/salesItemDetails.do?id=110162</v>
      </c>
      <c r="B1653" s="3" t="s">
        <v>4541</v>
      </c>
      <c r="C1653" s="3" t="s">
        <v>4399</v>
      </c>
      <c r="D1653" s="3" t="s">
        <v>4528</v>
      </c>
      <c r="E1653" s="3" t="s">
        <v>133</v>
      </c>
      <c r="F1653" s="3" t="s">
        <v>16</v>
      </c>
      <c r="G1653" s="3" t="s">
        <v>41</v>
      </c>
      <c r="H1653" s="3"/>
      <c r="I1653" s="3"/>
      <c r="J1653" s="3" t="s">
        <v>42</v>
      </c>
      <c r="K1653" s="3"/>
      <c r="L1653" s="3" t="s">
        <v>4540</v>
      </c>
    </row>
    <row r="1654" customFormat="false" ht="11.9" hidden="false" customHeight="true" outlineLevel="0" collapsed="false">
      <c r="A1654" s="2" t="str">
        <f aca="false">HYPERLINK("https://www.fabsurplus.com/sdi_catalog/salesItemDetails.do?id=110161")</f>
        <v>https://www.fabsurplus.com/sdi_catalog/salesItemDetails.do?id=110161</v>
      </c>
      <c r="B1654" s="2" t="s">
        <v>4542</v>
      </c>
      <c r="C1654" s="2" t="s">
        <v>4399</v>
      </c>
      <c r="D1654" s="2" t="s">
        <v>4528</v>
      </c>
      <c r="E1654" s="2" t="s">
        <v>133</v>
      </c>
      <c r="F1654" s="2" t="s">
        <v>16</v>
      </c>
      <c r="G1654" s="2" t="s">
        <v>41</v>
      </c>
      <c r="H1654" s="2"/>
      <c r="I1654" s="2"/>
      <c r="J1654" s="2" t="s">
        <v>42</v>
      </c>
      <c r="K1654" s="2"/>
      <c r="L1654" s="2" t="s">
        <v>349</v>
      </c>
    </row>
    <row r="1655" customFormat="false" ht="11.9" hidden="false" customHeight="true" outlineLevel="0" collapsed="false">
      <c r="A1655" s="2" t="str">
        <f aca="false">HYPERLINK("https://www.fabsurplus.com/sdi_catalog/salesItemDetails.do?id=110177")</f>
        <v>https://www.fabsurplus.com/sdi_catalog/salesItemDetails.do?id=110177</v>
      </c>
      <c r="B1655" s="2" t="s">
        <v>4543</v>
      </c>
      <c r="C1655" s="2" t="s">
        <v>4399</v>
      </c>
      <c r="D1655" s="2" t="s">
        <v>4544</v>
      </c>
      <c r="E1655" s="2" t="s">
        <v>40</v>
      </c>
      <c r="F1655" s="2" t="s">
        <v>16</v>
      </c>
      <c r="G1655" s="2" t="s">
        <v>41</v>
      </c>
      <c r="H1655" s="2"/>
      <c r="I1655" s="2"/>
      <c r="J1655" s="2" t="s">
        <v>42</v>
      </c>
      <c r="K1655" s="2"/>
      <c r="L1655" s="2" t="s">
        <v>4545</v>
      </c>
    </row>
    <row r="1656" customFormat="false" ht="11.9" hidden="false" customHeight="true" outlineLevel="0" collapsed="false">
      <c r="A1656" s="3" t="str">
        <f aca="false">HYPERLINK("https://www.fabsurplus.com/sdi_catalog/salesItemDetails.do?id=110176")</f>
        <v>https://www.fabsurplus.com/sdi_catalog/salesItemDetails.do?id=110176</v>
      </c>
      <c r="B1656" s="3" t="s">
        <v>4546</v>
      </c>
      <c r="C1656" s="3" t="s">
        <v>4399</v>
      </c>
      <c r="D1656" s="3" t="s">
        <v>4544</v>
      </c>
      <c r="E1656" s="3" t="s">
        <v>40</v>
      </c>
      <c r="F1656" s="3" t="s">
        <v>16</v>
      </c>
      <c r="G1656" s="3" t="s">
        <v>41</v>
      </c>
      <c r="H1656" s="3"/>
      <c r="I1656" s="3"/>
      <c r="J1656" s="3" t="s">
        <v>42</v>
      </c>
      <c r="K1656" s="3"/>
      <c r="L1656" s="3" t="s">
        <v>4519</v>
      </c>
    </row>
    <row r="1657" customFormat="false" ht="11.9" hidden="false" customHeight="true" outlineLevel="0" collapsed="false">
      <c r="A1657" s="2" t="str">
        <f aca="false">HYPERLINK("https://www.fabsurplus.com/sdi_catalog/salesItemDetails.do?id=110175")</f>
        <v>https://www.fabsurplus.com/sdi_catalog/salesItemDetails.do?id=110175</v>
      </c>
      <c r="B1657" s="2" t="s">
        <v>4547</v>
      </c>
      <c r="C1657" s="2" t="s">
        <v>4399</v>
      </c>
      <c r="D1657" s="2" t="s">
        <v>4544</v>
      </c>
      <c r="E1657" s="2" t="s">
        <v>40</v>
      </c>
      <c r="F1657" s="2" t="s">
        <v>16</v>
      </c>
      <c r="G1657" s="2" t="s">
        <v>41</v>
      </c>
      <c r="H1657" s="2"/>
      <c r="I1657" s="2"/>
      <c r="J1657" s="2" t="s">
        <v>42</v>
      </c>
      <c r="K1657" s="2"/>
      <c r="L1657" s="2" t="s">
        <v>4519</v>
      </c>
    </row>
    <row r="1658" customFormat="false" ht="11.9" hidden="false" customHeight="true" outlineLevel="0" collapsed="false">
      <c r="A1658" s="3" t="str">
        <f aca="false">HYPERLINK("https://www.fabsurplus.com/sdi_catalog/salesItemDetails.do?id=110174")</f>
        <v>https://www.fabsurplus.com/sdi_catalog/salesItemDetails.do?id=110174</v>
      </c>
      <c r="B1658" s="3" t="s">
        <v>4548</v>
      </c>
      <c r="C1658" s="3" t="s">
        <v>4399</v>
      </c>
      <c r="D1658" s="3" t="s">
        <v>4544</v>
      </c>
      <c r="E1658" s="3" t="s">
        <v>40</v>
      </c>
      <c r="F1658" s="3" t="s">
        <v>16</v>
      </c>
      <c r="G1658" s="3" t="s">
        <v>41</v>
      </c>
      <c r="H1658" s="3"/>
      <c r="I1658" s="3"/>
      <c r="J1658" s="3" t="s">
        <v>42</v>
      </c>
      <c r="K1658" s="3"/>
      <c r="L1658" s="3" t="s">
        <v>4519</v>
      </c>
    </row>
    <row r="1659" customFormat="false" ht="11.9" hidden="false" customHeight="true" outlineLevel="0" collapsed="false">
      <c r="A1659" s="2" t="str">
        <f aca="false">HYPERLINK("https://www.fabsurplus.com/sdi_catalog/salesItemDetails.do?id=110173")</f>
        <v>https://www.fabsurplus.com/sdi_catalog/salesItemDetails.do?id=110173</v>
      </c>
      <c r="B1659" s="2" t="s">
        <v>4549</v>
      </c>
      <c r="C1659" s="2" t="s">
        <v>4399</v>
      </c>
      <c r="D1659" s="2" t="s">
        <v>4544</v>
      </c>
      <c r="E1659" s="2" t="s">
        <v>40</v>
      </c>
      <c r="F1659" s="2" t="s">
        <v>16</v>
      </c>
      <c r="G1659" s="2" t="s">
        <v>41</v>
      </c>
      <c r="H1659" s="2"/>
      <c r="I1659" s="2"/>
      <c r="J1659" s="2" t="s">
        <v>42</v>
      </c>
      <c r="K1659" s="2"/>
      <c r="L1659" s="2" t="s">
        <v>4540</v>
      </c>
    </row>
    <row r="1660" customFormat="false" ht="11.9" hidden="false" customHeight="true" outlineLevel="0" collapsed="false">
      <c r="A1660" s="3" t="str">
        <f aca="false">HYPERLINK("https://www.fabsurplus.com/sdi_catalog/salesItemDetails.do?id=110172")</f>
        <v>https://www.fabsurplus.com/sdi_catalog/salesItemDetails.do?id=110172</v>
      </c>
      <c r="B1660" s="3" t="s">
        <v>4550</v>
      </c>
      <c r="C1660" s="3" t="s">
        <v>4399</v>
      </c>
      <c r="D1660" s="3" t="s">
        <v>4544</v>
      </c>
      <c r="E1660" s="3" t="s">
        <v>40</v>
      </c>
      <c r="F1660" s="3" t="s">
        <v>16</v>
      </c>
      <c r="G1660" s="3" t="s">
        <v>41</v>
      </c>
      <c r="H1660" s="3"/>
      <c r="I1660" s="3"/>
      <c r="J1660" s="3" t="s">
        <v>42</v>
      </c>
      <c r="K1660" s="3"/>
      <c r="L1660" s="3" t="s">
        <v>4540</v>
      </c>
    </row>
    <row r="1661" customFormat="false" ht="11.9" hidden="false" customHeight="true" outlineLevel="0" collapsed="false">
      <c r="A1661" s="2" t="str">
        <f aca="false">HYPERLINK("https://www.fabsurplus.com/sdi_catalog/salesItemDetails.do?id=110137")</f>
        <v>https://www.fabsurplus.com/sdi_catalog/salesItemDetails.do?id=110137</v>
      </c>
      <c r="B1661" s="2" t="s">
        <v>4551</v>
      </c>
      <c r="C1661" s="2" t="s">
        <v>4399</v>
      </c>
      <c r="D1661" s="2" t="s">
        <v>4552</v>
      </c>
      <c r="E1661" s="2" t="s">
        <v>133</v>
      </c>
      <c r="F1661" s="2" t="s">
        <v>16</v>
      </c>
      <c r="G1661" s="2" t="s">
        <v>41</v>
      </c>
      <c r="H1661" s="2"/>
      <c r="I1661" s="2"/>
      <c r="J1661" s="2" t="s">
        <v>42</v>
      </c>
      <c r="K1661" s="2"/>
      <c r="L1661" s="2" t="s">
        <v>4553</v>
      </c>
    </row>
    <row r="1662" customFormat="false" ht="11.9" hidden="false" customHeight="true" outlineLevel="0" collapsed="false">
      <c r="A1662" s="3" t="str">
        <f aca="false">HYPERLINK("https://www.fabsurplus.com/sdi_catalog/salesItemDetails.do?id=110136")</f>
        <v>https://www.fabsurplus.com/sdi_catalog/salesItemDetails.do?id=110136</v>
      </c>
      <c r="B1662" s="3" t="s">
        <v>4554</v>
      </c>
      <c r="C1662" s="3" t="s">
        <v>4399</v>
      </c>
      <c r="D1662" s="3" t="s">
        <v>4552</v>
      </c>
      <c r="E1662" s="3" t="s">
        <v>133</v>
      </c>
      <c r="F1662" s="3" t="s">
        <v>16</v>
      </c>
      <c r="G1662" s="3" t="s">
        <v>41</v>
      </c>
      <c r="H1662" s="3"/>
      <c r="I1662" s="3"/>
      <c r="J1662" s="3" t="s">
        <v>42</v>
      </c>
      <c r="K1662" s="3"/>
      <c r="L1662" s="3" t="s">
        <v>4553</v>
      </c>
    </row>
    <row r="1663" customFormat="false" ht="11.9" hidden="false" customHeight="true" outlineLevel="0" collapsed="false">
      <c r="A1663" s="2" t="str">
        <f aca="false">HYPERLINK("https://www.fabsurplus.com/sdi_catalog/salesItemDetails.do?id=110135")</f>
        <v>https://www.fabsurplus.com/sdi_catalog/salesItemDetails.do?id=110135</v>
      </c>
      <c r="B1663" s="2" t="s">
        <v>4555</v>
      </c>
      <c r="C1663" s="2" t="s">
        <v>4399</v>
      </c>
      <c r="D1663" s="2" t="s">
        <v>4552</v>
      </c>
      <c r="E1663" s="2" t="s">
        <v>133</v>
      </c>
      <c r="F1663" s="2" t="s">
        <v>16</v>
      </c>
      <c r="G1663" s="2" t="s">
        <v>41</v>
      </c>
      <c r="H1663" s="2"/>
      <c r="I1663" s="2"/>
      <c r="J1663" s="2" t="s">
        <v>42</v>
      </c>
      <c r="K1663" s="2"/>
      <c r="L1663" s="2" t="s">
        <v>4556</v>
      </c>
    </row>
    <row r="1664" customFormat="false" ht="11.9" hidden="false" customHeight="true" outlineLevel="0" collapsed="false">
      <c r="A1664" s="2" t="str">
        <f aca="false">HYPERLINK("https://www.fabsurplus.com/sdi_catalog/salesItemDetails.do?id=110146")</f>
        <v>https://www.fabsurplus.com/sdi_catalog/salesItemDetails.do?id=110146</v>
      </c>
      <c r="B1664" s="2" t="s">
        <v>4557</v>
      </c>
      <c r="C1664" s="2" t="s">
        <v>4399</v>
      </c>
      <c r="D1664" s="2" t="s">
        <v>4558</v>
      </c>
      <c r="E1664" s="2" t="s">
        <v>40</v>
      </c>
      <c r="F1664" s="2" t="s">
        <v>16</v>
      </c>
      <c r="G1664" s="2" t="s">
        <v>41</v>
      </c>
      <c r="H1664" s="2"/>
      <c r="I1664" s="2"/>
      <c r="J1664" s="2" t="s">
        <v>42</v>
      </c>
      <c r="K1664" s="2"/>
      <c r="L1664" s="2" t="s">
        <v>4553</v>
      </c>
    </row>
    <row r="1665" customFormat="false" ht="11.9" hidden="false" customHeight="true" outlineLevel="0" collapsed="false">
      <c r="A1665" s="3" t="str">
        <f aca="false">HYPERLINK("https://www.fabsurplus.com/sdi_catalog/salesItemDetails.do?id=110145")</f>
        <v>https://www.fabsurplus.com/sdi_catalog/salesItemDetails.do?id=110145</v>
      </c>
      <c r="B1665" s="3" t="s">
        <v>4559</v>
      </c>
      <c r="C1665" s="3" t="s">
        <v>4399</v>
      </c>
      <c r="D1665" s="3" t="s">
        <v>4558</v>
      </c>
      <c r="E1665" s="3" t="s">
        <v>40</v>
      </c>
      <c r="F1665" s="3" t="s">
        <v>16</v>
      </c>
      <c r="G1665" s="3" t="s">
        <v>41</v>
      </c>
      <c r="H1665" s="3"/>
      <c r="I1665" s="3"/>
      <c r="J1665" s="3" t="s">
        <v>42</v>
      </c>
      <c r="K1665" s="3"/>
      <c r="L1665" s="3" t="s">
        <v>4553</v>
      </c>
    </row>
    <row r="1666" customFormat="false" ht="11.9" hidden="false" customHeight="true" outlineLevel="0" collapsed="false">
      <c r="A1666" s="2" t="str">
        <f aca="false">HYPERLINK("https://www.fabsurplus.com/sdi_catalog/salesItemDetails.do?id=110144")</f>
        <v>https://www.fabsurplus.com/sdi_catalog/salesItemDetails.do?id=110144</v>
      </c>
      <c r="B1666" s="2" t="s">
        <v>4560</v>
      </c>
      <c r="C1666" s="2" t="s">
        <v>4399</v>
      </c>
      <c r="D1666" s="2" t="s">
        <v>4558</v>
      </c>
      <c r="E1666" s="2" t="s">
        <v>40</v>
      </c>
      <c r="F1666" s="2" t="s">
        <v>16</v>
      </c>
      <c r="G1666" s="2" t="s">
        <v>41</v>
      </c>
      <c r="H1666" s="2"/>
      <c r="I1666" s="2"/>
      <c r="J1666" s="2" t="s">
        <v>42</v>
      </c>
      <c r="K1666" s="2"/>
      <c r="L1666" s="2" t="s">
        <v>4553</v>
      </c>
    </row>
    <row r="1667" customFormat="false" ht="11.9" hidden="false" customHeight="true" outlineLevel="0" collapsed="false">
      <c r="A1667" s="3" t="str">
        <f aca="false">HYPERLINK("https://www.fabsurplus.com/sdi_catalog/salesItemDetails.do?id=110143")</f>
        <v>https://www.fabsurplus.com/sdi_catalog/salesItemDetails.do?id=110143</v>
      </c>
      <c r="B1667" s="3" t="s">
        <v>4561</v>
      </c>
      <c r="C1667" s="3" t="s">
        <v>4399</v>
      </c>
      <c r="D1667" s="3" t="s">
        <v>4558</v>
      </c>
      <c r="E1667" s="3" t="s">
        <v>40</v>
      </c>
      <c r="F1667" s="3" t="s">
        <v>16</v>
      </c>
      <c r="G1667" s="3" t="s">
        <v>41</v>
      </c>
      <c r="H1667" s="3"/>
      <c r="I1667" s="3"/>
      <c r="J1667" s="3" t="s">
        <v>42</v>
      </c>
      <c r="K1667" s="3"/>
      <c r="L1667" s="3" t="s">
        <v>4553</v>
      </c>
    </row>
    <row r="1668" customFormat="false" ht="11.9" hidden="false" customHeight="true" outlineLevel="0" collapsed="false">
      <c r="A1668" s="2" t="str">
        <f aca="false">HYPERLINK("https://www.fabsurplus.com/sdi_catalog/salesItemDetails.do?id=110142")</f>
        <v>https://www.fabsurplus.com/sdi_catalog/salesItemDetails.do?id=110142</v>
      </c>
      <c r="B1668" s="2" t="s">
        <v>4562</v>
      </c>
      <c r="C1668" s="2" t="s">
        <v>4399</v>
      </c>
      <c r="D1668" s="2" t="s">
        <v>4558</v>
      </c>
      <c r="E1668" s="2" t="s">
        <v>40</v>
      </c>
      <c r="F1668" s="2" t="s">
        <v>16</v>
      </c>
      <c r="G1668" s="2" t="s">
        <v>41</v>
      </c>
      <c r="H1668" s="2"/>
      <c r="I1668" s="2"/>
      <c r="J1668" s="2" t="s">
        <v>42</v>
      </c>
      <c r="K1668" s="2"/>
      <c r="L1668" s="2" t="s">
        <v>4553</v>
      </c>
    </row>
    <row r="1669" customFormat="false" ht="11.9" hidden="false" customHeight="true" outlineLevel="0" collapsed="false">
      <c r="A1669" s="3" t="str">
        <f aca="false">HYPERLINK("https://www.fabsurplus.com/sdi_catalog/salesItemDetails.do?id=110141")</f>
        <v>https://www.fabsurplus.com/sdi_catalog/salesItemDetails.do?id=110141</v>
      </c>
      <c r="B1669" s="3" t="s">
        <v>4563</v>
      </c>
      <c r="C1669" s="3" t="s">
        <v>4399</v>
      </c>
      <c r="D1669" s="3" t="s">
        <v>4564</v>
      </c>
      <c r="E1669" s="3" t="s">
        <v>40</v>
      </c>
      <c r="F1669" s="3" t="s">
        <v>16</v>
      </c>
      <c r="G1669" s="3" t="s">
        <v>41</v>
      </c>
      <c r="H1669" s="3"/>
      <c r="I1669" s="3"/>
      <c r="J1669" s="3" t="s">
        <v>42</v>
      </c>
      <c r="K1669" s="3"/>
      <c r="L1669" s="3" t="s">
        <v>4565</v>
      </c>
    </row>
    <row r="1670" customFormat="false" ht="11.9" hidden="false" customHeight="true" outlineLevel="0" collapsed="false">
      <c r="A1670" s="2" t="str">
        <f aca="false">HYPERLINK("https://www.fabsurplus.com/sdi_catalog/salesItemDetails.do?id=110140")</f>
        <v>https://www.fabsurplus.com/sdi_catalog/salesItemDetails.do?id=110140</v>
      </c>
      <c r="B1670" s="2" t="s">
        <v>4566</v>
      </c>
      <c r="C1670" s="2" t="s">
        <v>4399</v>
      </c>
      <c r="D1670" s="2" t="s">
        <v>4564</v>
      </c>
      <c r="E1670" s="2" t="s">
        <v>40</v>
      </c>
      <c r="F1670" s="2" t="s">
        <v>16</v>
      </c>
      <c r="G1670" s="2" t="s">
        <v>41</v>
      </c>
      <c r="H1670" s="2"/>
      <c r="I1670" s="2"/>
      <c r="J1670" s="2" t="s">
        <v>42</v>
      </c>
      <c r="K1670" s="2"/>
      <c r="L1670" s="2" t="s">
        <v>4565</v>
      </c>
    </row>
    <row r="1671" customFormat="false" ht="11.9" hidden="false" customHeight="true" outlineLevel="0" collapsed="false">
      <c r="A1671" s="2" t="str">
        <f aca="false">HYPERLINK("https://www.fabsurplus.com/sdi_catalog/salesItemDetails.do?id=110139")</f>
        <v>https://www.fabsurplus.com/sdi_catalog/salesItemDetails.do?id=110139</v>
      </c>
      <c r="B1671" s="2" t="s">
        <v>4567</v>
      </c>
      <c r="C1671" s="2" t="s">
        <v>4399</v>
      </c>
      <c r="D1671" s="2" t="s">
        <v>4564</v>
      </c>
      <c r="E1671" s="2" t="s">
        <v>40</v>
      </c>
      <c r="F1671" s="2" t="s">
        <v>16</v>
      </c>
      <c r="G1671" s="2" t="s">
        <v>41</v>
      </c>
      <c r="H1671" s="2"/>
      <c r="I1671" s="2"/>
      <c r="J1671" s="2" t="s">
        <v>42</v>
      </c>
      <c r="K1671" s="2"/>
      <c r="L1671" s="2" t="s">
        <v>4568</v>
      </c>
    </row>
    <row r="1672" customFormat="false" ht="11.9" hidden="false" customHeight="true" outlineLevel="0" collapsed="false">
      <c r="A1672" s="3" t="str">
        <f aca="false">HYPERLINK("https://www.fabsurplus.com/sdi_catalog/salesItemDetails.do?id=110138")</f>
        <v>https://www.fabsurplus.com/sdi_catalog/salesItemDetails.do?id=110138</v>
      </c>
      <c r="B1672" s="3" t="s">
        <v>4569</v>
      </c>
      <c r="C1672" s="3" t="s">
        <v>4399</v>
      </c>
      <c r="D1672" s="3" t="s">
        <v>4564</v>
      </c>
      <c r="E1672" s="3" t="s">
        <v>40</v>
      </c>
      <c r="F1672" s="3" t="s">
        <v>16</v>
      </c>
      <c r="G1672" s="3" t="s">
        <v>41</v>
      </c>
      <c r="H1672" s="3"/>
      <c r="I1672" s="3"/>
      <c r="J1672" s="3" t="s">
        <v>42</v>
      </c>
      <c r="K1672" s="3"/>
      <c r="L1672" s="3" t="s">
        <v>4568</v>
      </c>
    </row>
    <row r="1673" customFormat="false" ht="11.9" hidden="false" customHeight="true" outlineLevel="0" collapsed="false">
      <c r="A1673" s="2" t="str">
        <f aca="false">HYPERLINK("https://www.fabsurplus.com/sdi_catalog/salesItemDetails.do?id=110148")</f>
        <v>https://www.fabsurplus.com/sdi_catalog/salesItemDetails.do?id=110148</v>
      </c>
      <c r="B1673" s="2" t="s">
        <v>4570</v>
      </c>
      <c r="C1673" s="2" t="s">
        <v>4399</v>
      </c>
      <c r="D1673" s="2" t="s">
        <v>4571</v>
      </c>
      <c r="E1673" s="2" t="s">
        <v>133</v>
      </c>
      <c r="F1673" s="2" t="s">
        <v>16</v>
      </c>
      <c r="G1673" s="2" t="s">
        <v>41</v>
      </c>
      <c r="H1673" s="2"/>
      <c r="I1673" s="2"/>
      <c r="J1673" s="2" t="s">
        <v>42</v>
      </c>
      <c r="K1673" s="2"/>
      <c r="L1673" s="2" t="s">
        <v>4572</v>
      </c>
    </row>
    <row r="1674" customFormat="false" ht="11.9" hidden="false" customHeight="true" outlineLevel="0" collapsed="false">
      <c r="A1674" s="3" t="str">
        <f aca="false">HYPERLINK("https://www.fabsurplus.com/sdi_catalog/salesItemDetails.do?id=110147")</f>
        <v>https://www.fabsurplus.com/sdi_catalog/salesItemDetails.do?id=110147</v>
      </c>
      <c r="B1674" s="3" t="s">
        <v>4573</v>
      </c>
      <c r="C1674" s="3" t="s">
        <v>4399</v>
      </c>
      <c r="D1674" s="3" t="s">
        <v>4571</v>
      </c>
      <c r="E1674" s="3" t="s">
        <v>133</v>
      </c>
      <c r="F1674" s="3" t="s">
        <v>16</v>
      </c>
      <c r="G1674" s="3" t="s">
        <v>41</v>
      </c>
      <c r="H1674" s="3"/>
      <c r="I1674" s="3"/>
      <c r="J1674" s="3" t="s">
        <v>42</v>
      </c>
      <c r="K1674" s="3"/>
      <c r="L1674" s="3" t="s">
        <v>4574</v>
      </c>
    </row>
    <row r="1675" customFormat="false" ht="11.9" hidden="false" customHeight="true" outlineLevel="0" collapsed="false">
      <c r="A1675" s="2" t="str">
        <f aca="false">HYPERLINK("https://www.fabsurplus.com/sdi_catalog/salesItemDetails.do?id=110150")</f>
        <v>https://www.fabsurplus.com/sdi_catalog/salesItemDetails.do?id=110150</v>
      </c>
      <c r="B1675" s="2" t="s">
        <v>4575</v>
      </c>
      <c r="C1675" s="2" t="s">
        <v>4399</v>
      </c>
      <c r="D1675" s="2" t="s">
        <v>4576</v>
      </c>
      <c r="E1675" s="2" t="s">
        <v>40</v>
      </c>
      <c r="F1675" s="2" t="s">
        <v>16</v>
      </c>
      <c r="G1675" s="2" t="s">
        <v>41</v>
      </c>
      <c r="H1675" s="2"/>
      <c r="I1675" s="2"/>
      <c r="J1675" s="2" t="s">
        <v>42</v>
      </c>
      <c r="K1675" s="2"/>
      <c r="L1675" s="2" t="s">
        <v>4572</v>
      </c>
    </row>
    <row r="1676" customFormat="false" ht="11.9" hidden="false" customHeight="true" outlineLevel="0" collapsed="false">
      <c r="A1676" s="3" t="str">
        <f aca="false">HYPERLINK("https://www.fabsurplus.com/sdi_catalog/salesItemDetails.do?id=110149")</f>
        <v>https://www.fabsurplus.com/sdi_catalog/salesItemDetails.do?id=110149</v>
      </c>
      <c r="B1676" s="3" t="s">
        <v>4577</v>
      </c>
      <c r="C1676" s="3" t="s">
        <v>4399</v>
      </c>
      <c r="D1676" s="3" t="s">
        <v>4576</v>
      </c>
      <c r="E1676" s="3" t="s">
        <v>40</v>
      </c>
      <c r="F1676" s="3" t="s">
        <v>16</v>
      </c>
      <c r="G1676" s="3" t="s">
        <v>41</v>
      </c>
      <c r="H1676" s="3"/>
      <c r="I1676" s="3"/>
      <c r="J1676" s="3" t="s">
        <v>42</v>
      </c>
      <c r="K1676" s="3"/>
      <c r="L1676" s="3" t="s">
        <v>4574</v>
      </c>
    </row>
    <row r="1677" customFormat="false" ht="11.9" hidden="false" customHeight="true" outlineLevel="0" collapsed="false">
      <c r="A1677" s="3" t="str">
        <f aca="false">HYPERLINK("https://www.fabsurplus.com/sdi_catalog/salesItemDetails.do?id=110160")</f>
        <v>https://www.fabsurplus.com/sdi_catalog/salesItemDetails.do?id=110160</v>
      </c>
      <c r="B1677" s="3" t="s">
        <v>4578</v>
      </c>
      <c r="C1677" s="3" t="s">
        <v>4399</v>
      </c>
      <c r="D1677" s="3" t="s">
        <v>4579</v>
      </c>
      <c r="E1677" s="3" t="s">
        <v>133</v>
      </c>
      <c r="F1677" s="3" t="s">
        <v>16</v>
      </c>
      <c r="G1677" s="3" t="s">
        <v>41</v>
      </c>
      <c r="H1677" s="3"/>
      <c r="I1677" s="3"/>
      <c r="J1677" s="3" t="s">
        <v>42</v>
      </c>
      <c r="K1677" s="3"/>
      <c r="L1677" s="3" t="s">
        <v>349</v>
      </c>
    </row>
    <row r="1678" customFormat="false" ht="11.9" hidden="false" customHeight="true" outlineLevel="0" collapsed="false">
      <c r="A1678" s="3" t="str">
        <f aca="false">HYPERLINK("https://www.fabsurplus.com/sdi_catalog/salesItemDetails.do?id=110178")</f>
        <v>https://www.fabsurplus.com/sdi_catalog/salesItemDetails.do?id=110178</v>
      </c>
      <c r="B1678" s="3" t="s">
        <v>4580</v>
      </c>
      <c r="C1678" s="3" t="s">
        <v>4399</v>
      </c>
      <c r="D1678" s="3" t="s">
        <v>4581</v>
      </c>
      <c r="E1678" s="3" t="s">
        <v>133</v>
      </c>
      <c r="F1678" s="3" t="s">
        <v>16</v>
      </c>
      <c r="G1678" s="3" t="s">
        <v>41</v>
      </c>
      <c r="H1678" s="3"/>
      <c r="I1678" s="3"/>
      <c r="J1678" s="3" t="s">
        <v>42</v>
      </c>
      <c r="K1678" s="3"/>
      <c r="L1678" s="3" t="s">
        <v>4582</v>
      </c>
    </row>
    <row r="1679" customFormat="false" ht="11.9" hidden="false" customHeight="true" outlineLevel="0" collapsed="false">
      <c r="A1679" s="3" t="str">
        <f aca="false">HYPERLINK("https://www.fabsurplus.com/sdi_catalog/salesItemDetails.do?id=110180")</f>
        <v>https://www.fabsurplus.com/sdi_catalog/salesItemDetails.do?id=110180</v>
      </c>
      <c r="B1679" s="3" t="s">
        <v>4583</v>
      </c>
      <c r="C1679" s="3" t="s">
        <v>4399</v>
      </c>
      <c r="D1679" s="3" t="s">
        <v>4584</v>
      </c>
      <c r="E1679" s="3" t="s">
        <v>133</v>
      </c>
      <c r="F1679" s="3" t="s">
        <v>16</v>
      </c>
      <c r="G1679" s="3" t="s">
        <v>41</v>
      </c>
      <c r="H1679" s="3"/>
      <c r="I1679" s="3"/>
      <c r="J1679" s="3" t="s">
        <v>42</v>
      </c>
      <c r="K1679" s="3"/>
      <c r="L1679" s="3" t="s">
        <v>4585</v>
      </c>
    </row>
    <row r="1680" customFormat="false" ht="11.9" hidden="false" customHeight="true" outlineLevel="0" collapsed="false">
      <c r="A1680" s="2" t="str">
        <f aca="false">HYPERLINK("https://www.fabsurplus.com/sdi_catalog/salesItemDetails.do?id=110179")</f>
        <v>https://www.fabsurplus.com/sdi_catalog/salesItemDetails.do?id=110179</v>
      </c>
      <c r="B1680" s="2" t="s">
        <v>4586</v>
      </c>
      <c r="C1680" s="2" t="s">
        <v>4399</v>
      </c>
      <c r="D1680" s="2" t="s">
        <v>4584</v>
      </c>
      <c r="E1680" s="2" t="s">
        <v>133</v>
      </c>
      <c r="F1680" s="2" t="s">
        <v>16</v>
      </c>
      <c r="G1680" s="2" t="s">
        <v>41</v>
      </c>
      <c r="H1680" s="2"/>
      <c r="I1680" s="2"/>
      <c r="J1680" s="2" t="s">
        <v>42</v>
      </c>
      <c r="K1680" s="2"/>
      <c r="L1680" s="2" t="s">
        <v>4585</v>
      </c>
    </row>
    <row r="1681" customFormat="false" ht="11.9" hidden="false" customHeight="true" outlineLevel="0" collapsed="false">
      <c r="A1681" s="3" t="str">
        <f aca="false">HYPERLINK("https://www.fabsurplus.com/sdi_catalog/salesItemDetails.do?id=110190")</f>
        <v>https://www.fabsurplus.com/sdi_catalog/salesItemDetails.do?id=110190</v>
      </c>
      <c r="B1681" s="3" t="s">
        <v>4587</v>
      </c>
      <c r="C1681" s="3" t="s">
        <v>4399</v>
      </c>
      <c r="D1681" s="3" t="s">
        <v>4588</v>
      </c>
      <c r="E1681" s="3" t="s">
        <v>133</v>
      </c>
      <c r="F1681" s="3" t="s">
        <v>16</v>
      </c>
      <c r="G1681" s="3" t="s">
        <v>41</v>
      </c>
      <c r="H1681" s="3"/>
      <c r="I1681" s="3"/>
      <c r="J1681" s="3" t="s">
        <v>42</v>
      </c>
      <c r="K1681" s="3"/>
      <c r="L1681" s="3" t="s">
        <v>4589</v>
      </c>
    </row>
    <row r="1682" customFormat="false" ht="11.9" hidden="false" customHeight="true" outlineLevel="0" collapsed="false">
      <c r="A1682" s="3" t="str">
        <f aca="false">HYPERLINK("https://www.fabsurplus.com/sdi_catalog/salesItemDetails.do?id=110192")</f>
        <v>https://www.fabsurplus.com/sdi_catalog/salesItemDetails.do?id=110192</v>
      </c>
      <c r="B1682" s="3" t="s">
        <v>4590</v>
      </c>
      <c r="C1682" s="3" t="s">
        <v>4399</v>
      </c>
      <c r="D1682" s="3" t="s">
        <v>4591</v>
      </c>
      <c r="E1682" s="3" t="s">
        <v>40</v>
      </c>
      <c r="F1682" s="3" t="s">
        <v>16</v>
      </c>
      <c r="G1682" s="3" t="s">
        <v>41</v>
      </c>
      <c r="H1682" s="3"/>
      <c r="I1682" s="3"/>
      <c r="J1682" s="3" t="s">
        <v>42</v>
      </c>
      <c r="K1682" s="3"/>
      <c r="L1682" s="3" t="s">
        <v>4592</v>
      </c>
    </row>
    <row r="1683" customFormat="false" ht="11.9" hidden="false" customHeight="true" outlineLevel="0" collapsed="false">
      <c r="A1683" s="3" t="str">
        <f aca="false">HYPERLINK("https://www.fabsurplus.com/sdi_catalog/salesItemDetails.do?id=110191")</f>
        <v>https://www.fabsurplus.com/sdi_catalog/salesItemDetails.do?id=110191</v>
      </c>
      <c r="B1683" s="3" t="s">
        <v>4593</v>
      </c>
      <c r="C1683" s="3" t="s">
        <v>4399</v>
      </c>
      <c r="D1683" s="3" t="s">
        <v>4591</v>
      </c>
      <c r="E1683" s="3" t="s">
        <v>40</v>
      </c>
      <c r="F1683" s="3" t="s">
        <v>16</v>
      </c>
      <c r="G1683" s="3" t="s">
        <v>41</v>
      </c>
      <c r="H1683" s="3"/>
      <c r="I1683" s="3"/>
      <c r="J1683" s="3" t="s">
        <v>42</v>
      </c>
      <c r="K1683" s="3"/>
      <c r="L1683" s="3" t="s">
        <v>4589</v>
      </c>
    </row>
    <row r="1684" customFormat="false" ht="11.9" hidden="false" customHeight="true" outlineLevel="0" collapsed="false">
      <c r="A1684" s="3" t="str">
        <f aca="false">HYPERLINK("https://www.fabsurplus.com/sdi_catalog/salesItemDetails.do?id=110189")</f>
        <v>https://www.fabsurplus.com/sdi_catalog/salesItemDetails.do?id=110189</v>
      </c>
      <c r="B1684" s="3" t="s">
        <v>4594</v>
      </c>
      <c r="C1684" s="3" t="s">
        <v>4399</v>
      </c>
      <c r="D1684" s="3" t="s">
        <v>4595</v>
      </c>
      <c r="E1684" s="3" t="s">
        <v>133</v>
      </c>
      <c r="F1684" s="3" t="s">
        <v>16</v>
      </c>
      <c r="G1684" s="3" t="s">
        <v>41</v>
      </c>
      <c r="H1684" s="3"/>
      <c r="I1684" s="3"/>
      <c r="J1684" s="3" t="s">
        <v>42</v>
      </c>
      <c r="K1684" s="3"/>
      <c r="L1684" s="5" t="s">
        <v>4596</v>
      </c>
    </row>
    <row r="1685" customFormat="false" ht="11.9" hidden="false" customHeight="true" outlineLevel="0" collapsed="false">
      <c r="A1685" s="3" t="str">
        <f aca="false">HYPERLINK("https://www.fabsurplus.com/sdi_catalog/salesItemDetails.do?id=110188")</f>
        <v>https://www.fabsurplus.com/sdi_catalog/salesItemDetails.do?id=110188</v>
      </c>
      <c r="B1685" s="3" t="s">
        <v>4597</v>
      </c>
      <c r="C1685" s="3" t="s">
        <v>4399</v>
      </c>
      <c r="D1685" s="3" t="s">
        <v>4595</v>
      </c>
      <c r="E1685" s="3" t="s">
        <v>133</v>
      </c>
      <c r="F1685" s="3" t="s">
        <v>16</v>
      </c>
      <c r="G1685" s="3" t="s">
        <v>41</v>
      </c>
      <c r="H1685" s="3"/>
      <c r="I1685" s="3"/>
      <c r="J1685" s="3" t="s">
        <v>42</v>
      </c>
      <c r="K1685" s="3"/>
      <c r="L1685" s="5" t="s">
        <v>4598</v>
      </c>
    </row>
    <row r="1686" customFormat="false" ht="11.9" hidden="false" customHeight="true" outlineLevel="0" collapsed="false">
      <c r="A1686" s="3" t="str">
        <f aca="false">HYPERLINK("https://www.fabsurplus.com/sdi_catalog/salesItemDetails.do?id=110187")</f>
        <v>https://www.fabsurplus.com/sdi_catalog/salesItemDetails.do?id=110187</v>
      </c>
      <c r="B1686" s="3" t="s">
        <v>4599</v>
      </c>
      <c r="C1686" s="3" t="s">
        <v>4399</v>
      </c>
      <c r="D1686" s="3" t="s">
        <v>4595</v>
      </c>
      <c r="E1686" s="3" t="s">
        <v>133</v>
      </c>
      <c r="F1686" s="3" t="s">
        <v>16</v>
      </c>
      <c r="G1686" s="3" t="s">
        <v>41</v>
      </c>
      <c r="H1686" s="3"/>
      <c r="I1686" s="3"/>
      <c r="J1686" s="3" t="s">
        <v>42</v>
      </c>
      <c r="K1686" s="3"/>
      <c r="L1686" s="5" t="s">
        <v>4600</v>
      </c>
    </row>
    <row r="1687" customFormat="false" ht="11.9" hidden="false" customHeight="true" outlineLevel="0" collapsed="false">
      <c r="A1687" s="3" t="str">
        <f aca="false">HYPERLINK("https://www.fabsurplus.com/sdi_catalog/salesItemDetails.do?id=110186")</f>
        <v>https://www.fabsurplus.com/sdi_catalog/salesItemDetails.do?id=110186</v>
      </c>
      <c r="B1687" s="3" t="s">
        <v>4601</v>
      </c>
      <c r="C1687" s="3" t="s">
        <v>4399</v>
      </c>
      <c r="D1687" s="3" t="s">
        <v>4602</v>
      </c>
      <c r="E1687" s="3" t="s">
        <v>133</v>
      </c>
      <c r="F1687" s="3" t="s">
        <v>16</v>
      </c>
      <c r="G1687" s="3" t="s">
        <v>41</v>
      </c>
      <c r="H1687" s="3"/>
      <c r="I1687" s="3"/>
      <c r="J1687" s="3" t="s">
        <v>42</v>
      </c>
      <c r="K1687" s="3"/>
      <c r="L1687" s="5" t="s">
        <v>4603</v>
      </c>
    </row>
    <row r="1688" customFormat="false" ht="11.9" hidden="false" customHeight="true" outlineLevel="0" collapsed="false">
      <c r="A1688" s="3" t="str">
        <f aca="false">HYPERLINK("https://www.fabsurplus.com/sdi_catalog/salesItemDetails.do?id=110185")</f>
        <v>https://www.fabsurplus.com/sdi_catalog/salesItemDetails.do?id=110185</v>
      </c>
      <c r="B1688" s="3" t="s">
        <v>4604</v>
      </c>
      <c r="C1688" s="3" t="s">
        <v>4399</v>
      </c>
      <c r="D1688" s="3" t="s">
        <v>4602</v>
      </c>
      <c r="E1688" s="3" t="s">
        <v>133</v>
      </c>
      <c r="F1688" s="3" t="s">
        <v>16</v>
      </c>
      <c r="G1688" s="3" t="s">
        <v>41</v>
      </c>
      <c r="H1688" s="3"/>
      <c r="I1688" s="3"/>
      <c r="J1688" s="3" t="s">
        <v>42</v>
      </c>
      <c r="K1688" s="3"/>
      <c r="L1688" s="5" t="s">
        <v>4603</v>
      </c>
    </row>
    <row r="1689" customFormat="false" ht="11.9" hidden="false" customHeight="true" outlineLevel="0" collapsed="false">
      <c r="A1689" s="3" t="str">
        <f aca="false">HYPERLINK("https://www.fabsurplus.com/sdi_catalog/salesItemDetails.do?id=110184")</f>
        <v>https://www.fabsurplus.com/sdi_catalog/salesItemDetails.do?id=110184</v>
      </c>
      <c r="B1689" s="3" t="s">
        <v>4605</v>
      </c>
      <c r="C1689" s="3" t="s">
        <v>4399</v>
      </c>
      <c r="D1689" s="3" t="s">
        <v>4602</v>
      </c>
      <c r="E1689" s="3" t="s">
        <v>133</v>
      </c>
      <c r="F1689" s="3" t="s">
        <v>16</v>
      </c>
      <c r="G1689" s="3" t="s">
        <v>41</v>
      </c>
      <c r="H1689" s="3"/>
      <c r="I1689" s="3"/>
      <c r="J1689" s="3" t="s">
        <v>42</v>
      </c>
      <c r="K1689" s="3"/>
      <c r="L1689" s="5" t="s">
        <v>4603</v>
      </c>
    </row>
    <row r="1690" customFormat="false" ht="11.9" hidden="false" customHeight="true" outlineLevel="0" collapsed="false">
      <c r="A1690" s="2" t="str">
        <f aca="false">HYPERLINK("https://www.fabsurplus.com/sdi_catalog/salesItemDetails.do?id=110183")</f>
        <v>https://www.fabsurplus.com/sdi_catalog/salesItemDetails.do?id=110183</v>
      </c>
      <c r="B1690" s="2" t="s">
        <v>4606</v>
      </c>
      <c r="C1690" s="2" t="s">
        <v>4399</v>
      </c>
      <c r="D1690" s="2" t="s">
        <v>4602</v>
      </c>
      <c r="E1690" s="2" t="s">
        <v>133</v>
      </c>
      <c r="F1690" s="2" t="s">
        <v>16</v>
      </c>
      <c r="G1690" s="2" t="s">
        <v>41</v>
      </c>
      <c r="H1690" s="2"/>
      <c r="I1690" s="2"/>
      <c r="J1690" s="2" t="s">
        <v>42</v>
      </c>
      <c r="K1690" s="2"/>
      <c r="L1690" s="6" t="s">
        <v>4607</v>
      </c>
    </row>
    <row r="1691" customFormat="false" ht="11.9" hidden="false" customHeight="true" outlineLevel="0" collapsed="false">
      <c r="A1691" s="3" t="str">
        <f aca="false">HYPERLINK("https://www.fabsurplus.com/sdi_catalog/salesItemDetails.do?id=110182")</f>
        <v>https://www.fabsurplus.com/sdi_catalog/salesItemDetails.do?id=110182</v>
      </c>
      <c r="B1691" s="3" t="s">
        <v>4608</v>
      </c>
      <c r="C1691" s="3" t="s">
        <v>4399</v>
      </c>
      <c r="D1691" s="3" t="s">
        <v>4602</v>
      </c>
      <c r="E1691" s="3" t="s">
        <v>133</v>
      </c>
      <c r="F1691" s="3" t="s">
        <v>16</v>
      </c>
      <c r="G1691" s="3" t="s">
        <v>41</v>
      </c>
      <c r="H1691" s="3" t="s">
        <v>35</v>
      </c>
      <c r="I1691" s="3"/>
      <c r="J1691" s="3" t="s">
        <v>19</v>
      </c>
      <c r="K1691" s="3"/>
      <c r="L1691" s="5" t="s">
        <v>4603</v>
      </c>
    </row>
    <row r="1692" customFormat="false" ht="11.9" hidden="false" customHeight="true" outlineLevel="0" collapsed="false">
      <c r="A1692" s="2" t="str">
        <f aca="false">HYPERLINK("https://www.fabsurplus.com/sdi_catalog/salesItemDetails.do?id=110181")</f>
        <v>https://www.fabsurplus.com/sdi_catalog/salesItemDetails.do?id=110181</v>
      </c>
      <c r="B1692" s="2" t="s">
        <v>4609</v>
      </c>
      <c r="C1692" s="2" t="s">
        <v>4399</v>
      </c>
      <c r="D1692" s="2" t="s">
        <v>4602</v>
      </c>
      <c r="E1692" s="2" t="s">
        <v>133</v>
      </c>
      <c r="F1692" s="2" t="s">
        <v>16</v>
      </c>
      <c r="G1692" s="2" t="s">
        <v>41</v>
      </c>
      <c r="H1692" s="2" t="s">
        <v>35</v>
      </c>
      <c r="I1692" s="2"/>
      <c r="J1692" s="2" t="s">
        <v>19</v>
      </c>
      <c r="K1692" s="2" t="s">
        <v>20</v>
      </c>
      <c r="L1692" s="6" t="s">
        <v>4603</v>
      </c>
    </row>
    <row r="1693" customFormat="false" ht="11.9" hidden="false" customHeight="true" outlineLevel="0" collapsed="false">
      <c r="A1693" s="3" t="str">
        <f aca="false">HYPERLINK("https://www.fabsurplus.com/sdi_catalog/salesItemDetails.do?id=110195")</f>
        <v>https://www.fabsurplus.com/sdi_catalog/salesItemDetails.do?id=110195</v>
      </c>
      <c r="B1693" s="3" t="s">
        <v>4610</v>
      </c>
      <c r="C1693" s="3" t="s">
        <v>4399</v>
      </c>
      <c r="D1693" s="3" t="s">
        <v>4611</v>
      </c>
      <c r="E1693" s="3" t="s">
        <v>133</v>
      </c>
      <c r="F1693" s="3" t="s">
        <v>16</v>
      </c>
      <c r="G1693" s="3" t="s">
        <v>41</v>
      </c>
      <c r="H1693" s="3"/>
      <c r="I1693" s="3"/>
      <c r="J1693" s="3" t="s">
        <v>42</v>
      </c>
      <c r="K1693" s="3"/>
      <c r="L1693" s="5" t="s">
        <v>4612</v>
      </c>
    </row>
    <row r="1694" customFormat="false" ht="11.9" hidden="false" customHeight="true" outlineLevel="0" collapsed="false">
      <c r="A1694" s="3" t="str">
        <f aca="false">HYPERLINK("https://www.fabsurplus.com/sdi_catalog/salesItemDetails.do?id=110194")</f>
        <v>https://www.fabsurplus.com/sdi_catalog/salesItemDetails.do?id=110194</v>
      </c>
      <c r="B1694" s="3" t="s">
        <v>4613</v>
      </c>
      <c r="C1694" s="3" t="s">
        <v>4399</v>
      </c>
      <c r="D1694" s="3" t="s">
        <v>4611</v>
      </c>
      <c r="E1694" s="3" t="s">
        <v>133</v>
      </c>
      <c r="F1694" s="3" t="s">
        <v>16</v>
      </c>
      <c r="G1694" s="3" t="s">
        <v>41</v>
      </c>
      <c r="H1694" s="3"/>
      <c r="I1694" s="3"/>
      <c r="J1694" s="3" t="s">
        <v>42</v>
      </c>
      <c r="K1694" s="3"/>
      <c r="L1694" s="5" t="s">
        <v>4612</v>
      </c>
    </row>
    <row r="1695" customFormat="false" ht="11.9" hidden="false" customHeight="true" outlineLevel="0" collapsed="false">
      <c r="A1695" s="3" t="str">
        <f aca="false">HYPERLINK("https://www.fabsurplus.com/sdi_catalog/salesItemDetails.do?id=110193")</f>
        <v>https://www.fabsurplus.com/sdi_catalog/salesItemDetails.do?id=110193</v>
      </c>
      <c r="B1695" s="3" t="s">
        <v>4614</v>
      </c>
      <c r="C1695" s="3" t="s">
        <v>4399</v>
      </c>
      <c r="D1695" s="3" t="s">
        <v>4611</v>
      </c>
      <c r="E1695" s="3" t="s">
        <v>133</v>
      </c>
      <c r="F1695" s="3" t="s">
        <v>16</v>
      </c>
      <c r="G1695" s="3" t="s">
        <v>41</v>
      </c>
      <c r="H1695" s="3"/>
      <c r="I1695" s="3"/>
      <c r="J1695" s="3" t="s">
        <v>42</v>
      </c>
      <c r="K1695" s="3"/>
      <c r="L1695" s="5" t="s">
        <v>4612</v>
      </c>
    </row>
    <row r="1696" customFormat="false" ht="11.9" hidden="false" customHeight="true" outlineLevel="0" collapsed="false">
      <c r="A1696" s="2" t="str">
        <f aca="false">HYPERLINK("https://www.fabsurplus.com/sdi_catalog/salesItemDetails.do?id=110233")</f>
        <v>https://www.fabsurplus.com/sdi_catalog/salesItemDetails.do?id=110233</v>
      </c>
      <c r="B1696" s="2" t="s">
        <v>4615</v>
      </c>
      <c r="C1696" s="2" t="s">
        <v>4399</v>
      </c>
      <c r="D1696" s="2" t="s">
        <v>4616</v>
      </c>
      <c r="E1696" s="2" t="s">
        <v>47</v>
      </c>
      <c r="F1696" s="2" t="s">
        <v>16</v>
      </c>
      <c r="G1696" s="2" t="s">
        <v>41</v>
      </c>
      <c r="H1696" s="2"/>
      <c r="I1696" s="2"/>
      <c r="J1696" s="2" t="s">
        <v>42</v>
      </c>
      <c r="K1696" s="2"/>
      <c r="L1696" s="2" t="s">
        <v>4617</v>
      </c>
    </row>
    <row r="1697" customFormat="false" ht="11.9" hidden="false" customHeight="true" outlineLevel="0" collapsed="false">
      <c r="A1697" s="3" t="str">
        <f aca="false">HYPERLINK("https://www.fabsurplus.com/sdi_catalog/salesItemDetails.do?id=110232")</f>
        <v>https://www.fabsurplus.com/sdi_catalog/salesItemDetails.do?id=110232</v>
      </c>
      <c r="B1697" s="3" t="s">
        <v>4618</v>
      </c>
      <c r="C1697" s="3" t="s">
        <v>4399</v>
      </c>
      <c r="D1697" s="3" t="s">
        <v>4616</v>
      </c>
      <c r="E1697" s="3" t="s">
        <v>47</v>
      </c>
      <c r="F1697" s="3" t="s">
        <v>16</v>
      </c>
      <c r="G1697" s="3" t="s">
        <v>41</v>
      </c>
      <c r="H1697" s="3"/>
      <c r="I1697" s="3"/>
      <c r="J1697" s="3" t="s">
        <v>42</v>
      </c>
      <c r="K1697" s="3"/>
      <c r="L1697" s="3" t="s">
        <v>4619</v>
      </c>
    </row>
    <row r="1698" customFormat="false" ht="11.9" hidden="false" customHeight="true" outlineLevel="0" collapsed="false">
      <c r="A1698" s="2" t="str">
        <f aca="false">HYPERLINK("https://www.fabsurplus.com/sdi_catalog/salesItemDetails.do?id=110231")</f>
        <v>https://www.fabsurplus.com/sdi_catalog/salesItemDetails.do?id=110231</v>
      </c>
      <c r="B1698" s="2" t="s">
        <v>4620</v>
      </c>
      <c r="C1698" s="2" t="s">
        <v>4399</v>
      </c>
      <c r="D1698" s="2" t="s">
        <v>4616</v>
      </c>
      <c r="E1698" s="2" t="s">
        <v>47</v>
      </c>
      <c r="F1698" s="2" t="s">
        <v>16</v>
      </c>
      <c r="G1698" s="2" t="s">
        <v>41</v>
      </c>
      <c r="H1698" s="2"/>
      <c r="I1698" s="2"/>
      <c r="J1698" s="2" t="s">
        <v>42</v>
      </c>
      <c r="K1698" s="2"/>
      <c r="L1698" s="2" t="s">
        <v>4621</v>
      </c>
    </row>
    <row r="1699" customFormat="false" ht="11.9" hidden="false" customHeight="true" outlineLevel="0" collapsed="false">
      <c r="A1699" s="3" t="str">
        <f aca="false">HYPERLINK("https://www.fabsurplus.com/sdi_catalog/salesItemDetails.do?id=110230")</f>
        <v>https://www.fabsurplus.com/sdi_catalog/salesItemDetails.do?id=110230</v>
      </c>
      <c r="B1699" s="3" t="s">
        <v>4622</v>
      </c>
      <c r="C1699" s="3" t="s">
        <v>4399</v>
      </c>
      <c r="D1699" s="3" t="s">
        <v>4616</v>
      </c>
      <c r="E1699" s="3" t="s">
        <v>47</v>
      </c>
      <c r="F1699" s="3" t="s">
        <v>16</v>
      </c>
      <c r="G1699" s="3" t="s">
        <v>41</v>
      </c>
      <c r="H1699" s="3"/>
      <c r="I1699" s="3"/>
      <c r="J1699" s="3" t="s">
        <v>42</v>
      </c>
      <c r="K1699" s="3"/>
      <c r="L1699" s="3" t="s">
        <v>4621</v>
      </c>
    </row>
    <row r="1700" customFormat="false" ht="11.9" hidden="false" customHeight="true" outlineLevel="0" collapsed="false">
      <c r="A1700" s="2" t="str">
        <f aca="false">HYPERLINK("https://www.fabsurplus.com/sdi_catalog/salesItemDetails.do?id=110229")</f>
        <v>https://www.fabsurplus.com/sdi_catalog/salesItemDetails.do?id=110229</v>
      </c>
      <c r="B1700" s="2" t="s">
        <v>4623</v>
      </c>
      <c r="C1700" s="2" t="s">
        <v>4399</v>
      </c>
      <c r="D1700" s="2" t="s">
        <v>4616</v>
      </c>
      <c r="E1700" s="2" t="s">
        <v>47</v>
      </c>
      <c r="F1700" s="2" t="s">
        <v>16</v>
      </c>
      <c r="G1700" s="2" t="s">
        <v>41</v>
      </c>
      <c r="H1700" s="2"/>
      <c r="I1700" s="2"/>
      <c r="J1700" s="2" t="s">
        <v>42</v>
      </c>
      <c r="K1700" s="2"/>
      <c r="L1700" s="2" t="s">
        <v>4621</v>
      </c>
    </row>
    <row r="1701" customFormat="false" ht="11.9" hidden="false" customHeight="true" outlineLevel="0" collapsed="false">
      <c r="A1701" s="3" t="str">
        <f aca="false">HYPERLINK("https://www.fabsurplus.com/sdi_catalog/salesItemDetails.do?id=110228")</f>
        <v>https://www.fabsurplus.com/sdi_catalog/salesItemDetails.do?id=110228</v>
      </c>
      <c r="B1701" s="3" t="s">
        <v>4624</v>
      </c>
      <c r="C1701" s="3" t="s">
        <v>4399</v>
      </c>
      <c r="D1701" s="3" t="s">
        <v>4616</v>
      </c>
      <c r="E1701" s="3" t="s">
        <v>47</v>
      </c>
      <c r="F1701" s="3" t="s">
        <v>16</v>
      </c>
      <c r="G1701" s="3" t="s">
        <v>41</v>
      </c>
      <c r="H1701" s="3"/>
      <c r="I1701" s="3"/>
      <c r="J1701" s="3" t="s">
        <v>42</v>
      </c>
      <c r="K1701" s="3"/>
      <c r="L1701" s="3" t="s">
        <v>4621</v>
      </c>
    </row>
    <row r="1702" customFormat="false" ht="11.9" hidden="false" customHeight="true" outlineLevel="0" collapsed="false">
      <c r="A1702" s="2" t="str">
        <f aca="false">HYPERLINK("https://www.fabsurplus.com/sdi_catalog/salesItemDetails.do?id=110227")</f>
        <v>https://www.fabsurplus.com/sdi_catalog/salesItemDetails.do?id=110227</v>
      </c>
      <c r="B1702" s="2" t="s">
        <v>4625</v>
      </c>
      <c r="C1702" s="2" t="s">
        <v>4399</v>
      </c>
      <c r="D1702" s="2" t="s">
        <v>4616</v>
      </c>
      <c r="E1702" s="2" t="s">
        <v>47</v>
      </c>
      <c r="F1702" s="2" t="s">
        <v>16</v>
      </c>
      <c r="G1702" s="2" t="s">
        <v>41</v>
      </c>
      <c r="H1702" s="2"/>
      <c r="I1702" s="2"/>
      <c r="J1702" s="2" t="s">
        <v>42</v>
      </c>
      <c r="K1702" s="2"/>
      <c r="L1702" s="2" t="s">
        <v>4626</v>
      </c>
    </row>
    <row r="1703" customFormat="false" ht="11.9" hidden="false" customHeight="true" outlineLevel="0" collapsed="false">
      <c r="A1703" s="3" t="str">
        <f aca="false">HYPERLINK("https://www.fabsurplus.com/sdi_catalog/salesItemDetails.do?id=110226")</f>
        <v>https://www.fabsurplus.com/sdi_catalog/salesItemDetails.do?id=110226</v>
      </c>
      <c r="B1703" s="3" t="s">
        <v>4627</v>
      </c>
      <c r="C1703" s="3" t="s">
        <v>4399</v>
      </c>
      <c r="D1703" s="3" t="s">
        <v>4628</v>
      </c>
      <c r="E1703" s="3" t="s">
        <v>47</v>
      </c>
      <c r="F1703" s="3" t="s">
        <v>16</v>
      </c>
      <c r="G1703" s="3" t="s">
        <v>41</v>
      </c>
      <c r="H1703" s="3"/>
      <c r="I1703" s="3"/>
      <c r="J1703" s="3" t="s">
        <v>42</v>
      </c>
      <c r="K1703" s="3"/>
      <c r="L1703" s="3" t="s">
        <v>349</v>
      </c>
    </row>
    <row r="1704" customFormat="false" ht="11.9" hidden="false" customHeight="true" outlineLevel="0" collapsed="false">
      <c r="A1704" s="2" t="str">
        <f aca="false">HYPERLINK("https://www.fabsurplus.com/sdi_catalog/salesItemDetails.do?id=110225")</f>
        <v>https://www.fabsurplus.com/sdi_catalog/salesItemDetails.do?id=110225</v>
      </c>
      <c r="B1704" s="2" t="s">
        <v>4629</v>
      </c>
      <c r="C1704" s="2" t="s">
        <v>4399</v>
      </c>
      <c r="D1704" s="2" t="s">
        <v>4628</v>
      </c>
      <c r="E1704" s="2" t="s">
        <v>47</v>
      </c>
      <c r="F1704" s="2" t="s">
        <v>16</v>
      </c>
      <c r="G1704" s="2" t="s">
        <v>41</v>
      </c>
      <c r="H1704" s="2"/>
      <c r="I1704" s="2"/>
      <c r="J1704" s="2" t="s">
        <v>42</v>
      </c>
      <c r="K1704" s="2"/>
      <c r="L1704" s="2" t="s">
        <v>349</v>
      </c>
    </row>
    <row r="1705" customFormat="false" ht="11.9" hidden="false" customHeight="true" outlineLevel="0" collapsed="false">
      <c r="A1705" s="3" t="str">
        <f aca="false">HYPERLINK("https://www.fabsurplus.com/sdi_catalog/salesItemDetails.do?id=110224")</f>
        <v>https://www.fabsurplus.com/sdi_catalog/salesItemDetails.do?id=110224</v>
      </c>
      <c r="B1705" s="3" t="s">
        <v>4630</v>
      </c>
      <c r="C1705" s="3" t="s">
        <v>4399</v>
      </c>
      <c r="D1705" s="3" t="s">
        <v>4628</v>
      </c>
      <c r="E1705" s="3" t="s">
        <v>47</v>
      </c>
      <c r="F1705" s="3" t="s">
        <v>16</v>
      </c>
      <c r="G1705" s="3" t="s">
        <v>41</v>
      </c>
      <c r="H1705" s="3"/>
      <c r="I1705" s="3"/>
      <c r="J1705" s="3" t="s">
        <v>42</v>
      </c>
      <c r="K1705" s="3"/>
      <c r="L1705" s="3" t="s">
        <v>349</v>
      </c>
    </row>
    <row r="1706" customFormat="false" ht="11.9" hidden="false" customHeight="true" outlineLevel="0" collapsed="false">
      <c r="A1706" s="2" t="str">
        <f aca="false">HYPERLINK("https://www.fabsurplus.com/sdi_catalog/salesItemDetails.do?id=110223")</f>
        <v>https://www.fabsurplus.com/sdi_catalog/salesItemDetails.do?id=110223</v>
      </c>
      <c r="B1706" s="2" t="s">
        <v>4631</v>
      </c>
      <c r="C1706" s="2" t="s">
        <v>4399</v>
      </c>
      <c r="D1706" s="2" t="s">
        <v>4628</v>
      </c>
      <c r="E1706" s="2" t="s">
        <v>47</v>
      </c>
      <c r="F1706" s="2" t="s">
        <v>16</v>
      </c>
      <c r="G1706" s="2" t="s">
        <v>41</v>
      </c>
      <c r="H1706" s="2"/>
      <c r="I1706" s="2"/>
      <c r="J1706" s="2" t="s">
        <v>42</v>
      </c>
      <c r="K1706" s="2"/>
      <c r="L1706" s="2" t="s">
        <v>349</v>
      </c>
    </row>
    <row r="1707" customFormat="false" ht="11.9" hidden="false" customHeight="true" outlineLevel="0" collapsed="false">
      <c r="A1707" s="3" t="str">
        <f aca="false">HYPERLINK("https://www.fabsurplus.com/sdi_catalog/salesItemDetails.do?id=110222")</f>
        <v>https://www.fabsurplus.com/sdi_catalog/salesItemDetails.do?id=110222</v>
      </c>
      <c r="B1707" s="3" t="s">
        <v>4632</v>
      </c>
      <c r="C1707" s="3" t="s">
        <v>4399</v>
      </c>
      <c r="D1707" s="3" t="s">
        <v>4628</v>
      </c>
      <c r="E1707" s="3" t="s">
        <v>47</v>
      </c>
      <c r="F1707" s="3" t="s">
        <v>16</v>
      </c>
      <c r="G1707" s="3" t="s">
        <v>41</v>
      </c>
      <c r="H1707" s="3"/>
      <c r="I1707" s="3"/>
      <c r="J1707" s="3" t="s">
        <v>42</v>
      </c>
      <c r="K1707" s="3"/>
      <c r="L1707" s="3" t="s">
        <v>349</v>
      </c>
    </row>
    <row r="1708" customFormat="false" ht="11.9" hidden="false" customHeight="true" outlineLevel="0" collapsed="false">
      <c r="A1708" s="2" t="str">
        <f aca="false">HYPERLINK("https://www.fabsurplus.com/sdi_catalog/salesItemDetails.do?id=110221")</f>
        <v>https://www.fabsurplus.com/sdi_catalog/salesItemDetails.do?id=110221</v>
      </c>
      <c r="B1708" s="2" t="s">
        <v>4633</v>
      </c>
      <c r="C1708" s="2" t="s">
        <v>4399</v>
      </c>
      <c r="D1708" s="2" t="s">
        <v>4628</v>
      </c>
      <c r="E1708" s="2" t="s">
        <v>47</v>
      </c>
      <c r="F1708" s="2" t="s">
        <v>16</v>
      </c>
      <c r="G1708" s="2" t="s">
        <v>41</v>
      </c>
      <c r="H1708" s="2"/>
      <c r="I1708" s="2"/>
      <c r="J1708" s="2" t="s">
        <v>42</v>
      </c>
      <c r="K1708" s="2"/>
      <c r="L1708" s="2" t="s">
        <v>349</v>
      </c>
    </row>
    <row r="1709" customFormat="false" ht="11.9" hidden="false" customHeight="true" outlineLevel="0" collapsed="false">
      <c r="A1709" s="3" t="str">
        <f aca="false">HYPERLINK("https://www.fabsurplus.com/sdi_catalog/salesItemDetails.do?id=110257")</f>
        <v>https://www.fabsurplus.com/sdi_catalog/salesItemDetails.do?id=110257</v>
      </c>
      <c r="B1709" s="3" t="s">
        <v>4634</v>
      </c>
      <c r="C1709" s="3" t="s">
        <v>4399</v>
      </c>
      <c r="D1709" s="3" t="s">
        <v>4635</v>
      </c>
      <c r="E1709" s="3" t="s">
        <v>47</v>
      </c>
      <c r="F1709" s="3" t="s">
        <v>16</v>
      </c>
      <c r="G1709" s="3" t="s">
        <v>41</v>
      </c>
      <c r="H1709" s="3"/>
      <c r="I1709" s="3"/>
      <c r="J1709" s="3" t="s">
        <v>42</v>
      </c>
      <c r="K1709" s="3"/>
      <c r="L1709" s="3" t="s">
        <v>4636</v>
      </c>
    </row>
    <row r="1710" customFormat="false" ht="11.9" hidden="false" customHeight="true" outlineLevel="0" collapsed="false">
      <c r="A1710" s="2" t="str">
        <f aca="false">HYPERLINK("https://www.fabsurplus.com/sdi_catalog/salesItemDetails.do?id=110256")</f>
        <v>https://www.fabsurplus.com/sdi_catalog/salesItemDetails.do?id=110256</v>
      </c>
      <c r="B1710" s="2" t="s">
        <v>4637</v>
      </c>
      <c r="C1710" s="2" t="s">
        <v>4399</v>
      </c>
      <c r="D1710" s="2" t="s">
        <v>4635</v>
      </c>
      <c r="E1710" s="2" t="s">
        <v>47</v>
      </c>
      <c r="F1710" s="2" t="s">
        <v>16</v>
      </c>
      <c r="G1710" s="2" t="s">
        <v>41</v>
      </c>
      <c r="H1710" s="2"/>
      <c r="I1710" s="2"/>
      <c r="J1710" s="2" t="s">
        <v>42</v>
      </c>
      <c r="K1710" s="2"/>
      <c r="L1710" s="2" t="s">
        <v>4638</v>
      </c>
    </row>
    <row r="1711" customFormat="false" ht="11.9" hidden="false" customHeight="true" outlineLevel="0" collapsed="false">
      <c r="A1711" s="3" t="str">
        <f aca="false">HYPERLINK("https://www.fabsurplus.com/sdi_catalog/salesItemDetails.do?id=80368")</f>
        <v>https://www.fabsurplus.com/sdi_catalog/salesItemDetails.do?id=80368</v>
      </c>
      <c r="B1711" s="3" t="s">
        <v>4639</v>
      </c>
      <c r="C1711" s="3" t="s">
        <v>4399</v>
      </c>
      <c r="D1711" s="3" t="s">
        <v>4640</v>
      </c>
      <c r="E1711" s="3" t="s">
        <v>4641</v>
      </c>
      <c r="F1711" s="3" t="s">
        <v>16</v>
      </c>
      <c r="G1711" s="3" t="s">
        <v>41</v>
      </c>
      <c r="H1711" s="3" t="s">
        <v>27</v>
      </c>
      <c r="I1711" s="4" t="n">
        <v>34850.9166666667</v>
      </c>
      <c r="J1711" s="3" t="s">
        <v>19</v>
      </c>
      <c r="K1711" s="3" t="s">
        <v>20</v>
      </c>
      <c r="L1711" s="5" t="s">
        <v>4642</v>
      </c>
    </row>
    <row r="1712" customFormat="false" ht="11.9" hidden="false" customHeight="true" outlineLevel="0" collapsed="false">
      <c r="A1712" s="2" t="str">
        <f aca="false">HYPERLINK("https://www.fabsurplus.com/sdi_catalog/salesItemDetails.do?id=110258")</f>
        <v>https://www.fabsurplus.com/sdi_catalog/salesItemDetails.do?id=110258</v>
      </c>
      <c r="B1712" s="2" t="s">
        <v>4643</v>
      </c>
      <c r="C1712" s="2" t="s">
        <v>4399</v>
      </c>
      <c r="D1712" s="2" t="s">
        <v>4644</v>
      </c>
      <c r="E1712" s="2" t="s">
        <v>47</v>
      </c>
      <c r="F1712" s="2" t="s">
        <v>16</v>
      </c>
      <c r="G1712" s="2" t="s">
        <v>41</v>
      </c>
      <c r="H1712" s="2"/>
      <c r="I1712" s="2"/>
      <c r="J1712" s="2" t="s">
        <v>42</v>
      </c>
      <c r="K1712" s="2"/>
      <c r="L1712" s="2" t="s">
        <v>4645</v>
      </c>
    </row>
    <row r="1713" customFormat="false" ht="11.9" hidden="false" customHeight="true" outlineLevel="0" collapsed="false">
      <c r="A1713" s="3" t="str">
        <f aca="false">HYPERLINK("https://www.fabsurplus.com/sdi_catalog/salesItemDetails.do?id=110259")</f>
        <v>https://www.fabsurplus.com/sdi_catalog/salesItemDetails.do?id=110259</v>
      </c>
      <c r="B1713" s="3" t="s">
        <v>4646</v>
      </c>
      <c r="C1713" s="3" t="s">
        <v>4399</v>
      </c>
      <c r="D1713" s="3" t="s">
        <v>4647</v>
      </c>
      <c r="E1713" s="3" t="s">
        <v>47</v>
      </c>
      <c r="F1713" s="3" t="s">
        <v>16</v>
      </c>
      <c r="G1713" s="3" t="s">
        <v>41</v>
      </c>
      <c r="H1713" s="3"/>
      <c r="I1713" s="3"/>
      <c r="J1713" s="3" t="s">
        <v>42</v>
      </c>
      <c r="K1713" s="3"/>
      <c r="L1713" s="3" t="s">
        <v>4617</v>
      </c>
    </row>
    <row r="1714" customFormat="false" ht="11.9" hidden="false" customHeight="true" outlineLevel="0" collapsed="false">
      <c r="A1714" s="3" t="str">
        <f aca="false">HYPERLINK("https://www.fabsurplus.com/sdi_catalog/salesItemDetails.do?id=110196")</f>
        <v>https://www.fabsurplus.com/sdi_catalog/salesItemDetails.do?id=110196</v>
      </c>
      <c r="B1714" s="3" t="s">
        <v>4648</v>
      </c>
      <c r="C1714" s="3" t="s">
        <v>4399</v>
      </c>
      <c r="D1714" s="3" t="s">
        <v>4649</v>
      </c>
      <c r="E1714" s="3" t="s">
        <v>47</v>
      </c>
      <c r="F1714" s="3" t="s">
        <v>16</v>
      </c>
      <c r="G1714" s="3" t="s">
        <v>41</v>
      </c>
      <c r="H1714" s="3"/>
      <c r="I1714" s="3"/>
      <c r="J1714" s="3" t="s">
        <v>42</v>
      </c>
      <c r="K1714" s="3"/>
      <c r="L1714" s="3" t="s">
        <v>4650</v>
      </c>
    </row>
    <row r="1715" customFormat="false" ht="11.9" hidden="false" customHeight="true" outlineLevel="0" collapsed="false">
      <c r="A1715" s="3" t="str">
        <f aca="false">HYPERLINK("https://www.fabsurplus.com/sdi_catalog/salesItemDetails.do?id=110200")</f>
        <v>https://www.fabsurplus.com/sdi_catalog/salesItemDetails.do?id=110200</v>
      </c>
      <c r="B1715" s="3" t="s">
        <v>4651</v>
      </c>
      <c r="C1715" s="3" t="s">
        <v>4399</v>
      </c>
      <c r="D1715" s="3" t="s">
        <v>4652</v>
      </c>
      <c r="E1715" s="3" t="s">
        <v>47</v>
      </c>
      <c r="F1715" s="3" t="s">
        <v>16</v>
      </c>
      <c r="G1715" s="3" t="s">
        <v>41</v>
      </c>
      <c r="H1715" s="3"/>
      <c r="I1715" s="3"/>
      <c r="J1715" s="3" t="s">
        <v>42</v>
      </c>
      <c r="K1715" s="3"/>
      <c r="L1715" s="3" t="s">
        <v>4653</v>
      </c>
    </row>
    <row r="1716" customFormat="false" ht="11.9" hidden="false" customHeight="true" outlineLevel="0" collapsed="false">
      <c r="A1716" s="2" t="str">
        <f aca="false">HYPERLINK("https://www.fabsurplus.com/sdi_catalog/salesItemDetails.do?id=110199")</f>
        <v>https://www.fabsurplus.com/sdi_catalog/salesItemDetails.do?id=110199</v>
      </c>
      <c r="B1716" s="2" t="s">
        <v>4654</v>
      </c>
      <c r="C1716" s="2" t="s">
        <v>4399</v>
      </c>
      <c r="D1716" s="2" t="s">
        <v>4655</v>
      </c>
      <c r="E1716" s="2" t="s">
        <v>47</v>
      </c>
      <c r="F1716" s="2" t="s">
        <v>16</v>
      </c>
      <c r="G1716" s="2" t="s">
        <v>41</v>
      </c>
      <c r="H1716" s="2"/>
      <c r="I1716" s="2"/>
      <c r="J1716" s="2" t="s">
        <v>42</v>
      </c>
      <c r="K1716" s="2"/>
      <c r="L1716" s="2" t="s">
        <v>349</v>
      </c>
    </row>
    <row r="1717" customFormat="false" ht="11.9" hidden="false" customHeight="true" outlineLevel="0" collapsed="false">
      <c r="A1717" s="3" t="str">
        <f aca="false">HYPERLINK("https://www.fabsurplus.com/sdi_catalog/salesItemDetails.do?id=110198")</f>
        <v>https://www.fabsurplus.com/sdi_catalog/salesItemDetails.do?id=110198</v>
      </c>
      <c r="B1717" s="3" t="s">
        <v>4656</v>
      </c>
      <c r="C1717" s="3" t="s">
        <v>4399</v>
      </c>
      <c r="D1717" s="3" t="s">
        <v>4655</v>
      </c>
      <c r="E1717" s="3" t="s">
        <v>47</v>
      </c>
      <c r="F1717" s="3" t="s">
        <v>16</v>
      </c>
      <c r="G1717" s="3" t="s">
        <v>41</v>
      </c>
      <c r="H1717" s="3"/>
      <c r="I1717" s="3"/>
      <c r="J1717" s="3" t="s">
        <v>42</v>
      </c>
      <c r="K1717" s="3"/>
      <c r="L1717" s="3" t="s">
        <v>349</v>
      </c>
    </row>
    <row r="1718" customFormat="false" ht="11.9" hidden="false" customHeight="true" outlineLevel="0" collapsed="false">
      <c r="A1718" s="2" t="str">
        <f aca="false">HYPERLINK("https://www.fabsurplus.com/sdi_catalog/salesItemDetails.do?id=110197")</f>
        <v>https://www.fabsurplus.com/sdi_catalog/salesItemDetails.do?id=110197</v>
      </c>
      <c r="B1718" s="2" t="s">
        <v>4657</v>
      </c>
      <c r="C1718" s="2" t="s">
        <v>4399</v>
      </c>
      <c r="D1718" s="2" t="s">
        <v>4655</v>
      </c>
      <c r="E1718" s="2" t="s">
        <v>47</v>
      </c>
      <c r="F1718" s="2" t="s">
        <v>16</v>
      </c>
      <c r="G1718" s="2" t="s">
        <v>41</v>
      </c>
      <c r="H1718" s="2"/>
      <c r="I1718" s="2"/>
      <c r="J1718" s="2" t="s">
        <v>42</v>
      </c>
      <c r="K1718" s="2"/>
      <c r="L1718" s="2" t="s">
        <v>349</v>
      </c>
    </row>
    <row r="1719" customFormat="false" ht="11.9" hidden="false" customHeight="true" outlineLevel="0" collapsed="false">
      <c r="A1719" s="2" t="str">
        <f aca="false">HYPERLINK("https://www.fabsurplus.com/sdi_catalog/salesItemDetails.do?id=110217")</f>
        <v>https://www.fabsurplus.com/sdi_catalog/salesItemDetails.do?id=110217</v>
      </c>
      <c r="B1719" s="2" t="s">
        <v>4658</v>
      </c>
      <c r="C1719" s="2" t="s">
        <v>4399</v>
      </c>
      <c r="D1719" s="2" t="s">
        <v>4659</v>
      </c>
      <c r="E1719" s="2" t="s">
        <v>47</v>
      </c>
      <c r="F1719" s="2" t="s">
        <v>16</v>
      </c>
      <c r="G1719" s="2" t="s">
        <v>41</v>
      </c>
      <c r="H1719" s="2"/>
      <c r="I1719" s="2"/>
      <c r="J1719" s="2" t="s">
        <v>42</v>
      </c>
      <c r="K1719" s="2"/>
      <c r="L1719" s="2" t="s">
        <v>4660</v>
      </c>
    </row>
    <row r="1720" customFormat="false" ht="11.9" hidden="false" customHeight="true" outlineLevel="0" collapsed="false">
      <c r="A1720" s="3" t="str">
        <f aca="false">HYPERLINK("https://www.fabsurplus.com/sdi_catalog/salesItemDetails.do?id=110216")</f>
        <v>https://www.fabsurplus.com/sdi_catalog/salesItemDetails.do?id=110216</v>
      </c>
      <c r="B1720" s="3" t="s">
        <v>4661</v>
      </c>
      <c r="C1720" s="3" t="s">
        <v>4399</v>
      </c>
      <c r="D1720" s="3" t="s">
        <v>4659</v>
      </c>
      <c r="E1720" s="3" t="s">
        <v>47</v>
      </c>
      <c r="F1720" s="3" t="s">
        <v>16</v>
      </c>
      <c r="G1720" s="3" t="s">
        <v>41</v>
      </c>
      <c r="H1720" s="3"/>
      <c r="I1720" s="3"/>
      <c r="J1720" s="3" t="s">
        <v>42</v>
      </c>
      <c r="K1720" s="3"/>
      <c r="L1720" s="3" t="s">
        <v>4662</v>
      </c>
    </row>
    <row r="1721" customFormat="false" ht="11.9" hidden="false" customHeight="true" outlineLevel="0" collapsed="false">
      <c r="A1721" s="2" t="str">
        <f aca="false">HYPERLINK("https://www.fabsurplus.com/sdi_catalog/salesItemDetails.do?id=110215")</f>
        <v>https://www.fabsurplus.com/sdi_catalog/salesItemDetails.do?id=110215</v>
      </c>
      <c r="B1721" s="2" t="s">
        <v>4663</v>
      </c>
      <c r="C1721" s="2" t="s">
        <v>4399</v>
      </c>
      <c r="D1721" s="2" t="s">
        <v>4659</v>
      </c>
      <c r="E1721" s="2" t="s">
        <v>47</v>
      </c>
      <c r="F1721" s="2" t="s">
        <v>16</v>
      </c>
      <c r="G1721" s="2" t="s">
        <v>41</v>
      </c>
      <c r="H1721" s="2"/>
      <c r="I1721" s="2"/>
      <c r="J1721" s="2" t="s">
        <v>42</v>
      </c>
      <c r="K1721" s="2"/>
      <c r="L1721" s="2" t="s">
        <v>4664</v>
      </c>
    </row>
    <row r="1722" customFormat="false" ht="11.9" hidden="false" customHeight="true" outlineLevel="0" collapsed="false">
      <c r="A1722" s="3" t="str">
        <f aca="false">HYPERLINK("https://www.fabsurplus.com/sdi_catalog/salesItemDetails.do?id=110214")</f>
        <v>https://www.fabsurplus.com/sdi_catalog/salesItemDetails.do?id=110214</v>
      </c>
      <c r="B1722" s="3" t="s">
        <v>4665</v>
      </c>
      <c r="C1722" s="3" t="s">
        <v>4399</v>
      </c>
      <c r="D1722" s="3" t="s">
        <v>4659</v>
      </c>
      <c r="E1722" s="3" t="s">
        <v>47</v>
      </c>
      <c r="F1722" s="3" t="s">
        <v>16</v>
      </c>
      <c r="G1722" s="3" t="s">
        <v>41</v>
      </c>
      <c r="H1722" s="3"/>
      <c r="I1722" s="3"/>
      <c r="J1722" s="3" t="s">
        <v>42</v>
      </c>
      <c r="K1722" s="3"/>
      <c r="L1722" s="3" t="s">
        <v>4664</v>
      </c>
    </row>
    <row r="1723" customFormat="false" ht="11.9" hidden="false" customHeight="true" outlineLevel="0" collapsed="false">
      <c r="A1723" s="2" t="str">
        <f aca="false">HYPERLINK("https://www.fabsurplus.com/sdi_catalog/salesItemDetails.do?id=110213")</f>
        <v>https://www.fabsurplus.com/sdi_catalog/salesItemDetails.do?id=110213</v>
      </c>
      <c r="B1723" s="2" t="s">
        <v>4666</v>
      </c>
      <c r="C1723" s="2" t="s">
        <v>4399</v>
      </c>
      <c r="D1723" s="2" t="s">
        <v>4659</v>
      </c>
      <c r="E1723" s="2" t="s">
        <v>47</v>
      </c>
      <c r="F1723" s="2" t="s">
        <v>16</v>
      </c>
      <c r="G1723" s="2" t="s">
        <v>41</v>
      </c>
      <c r="H1723" s="2"/>
      <c r="I1723" s="2"/>
      <c r="J1723" s="2" t="s">
        <v>42</v>
      </c>
      <c r="K1723" s="2"/>
      <c r="L1723" s="2" t="s">
        <v>4667</v>
      </c>
    </row>
    <row r="1724" customFormat="false" ht="11.9" hidden="false" customHeight="true" outlineLevel="0" collapsed="false">
      <c r="A1724" s="3" t="str">
        <f aca="false">HYPERLINK("https://www.fabsurplus.com/sdi_catalog/salesItemDetails.do?id=110212")</f>
        <v>https://www.fabsurplus.com/sdi_catalog/salesItemDetails.do?id=110212</v>
      </c>
      <c r="B1724" s="3" t="s">
        <v>4668</v>
      </c>
      <c r="C1724" s="3" t="s">
        <v>4399</v>
      </c>
      <c r="D1724" s="3" t="s">
        <v>4659</v>
      </c>
      <c r="E1724" s="3" t="s">
        <v>47</v>
      </c>
      <c r="F1724" s="3" t="s">
        <v>16</v>
      </c>
      <c r="G1724" s="3" t="s">
        <v>41</v>
      </c>
      <c r="H1724" s="3"/>
      <c r="I1724" s="3"/>
      <c r="J1724" s="3" t="s">
        <v>42</v>
      </c>
      <c r="K1724" s="3"/>
      <c r="L1724" s="3" t="s">
        <v>4667</v>
      </c>
    </row>
    <row r="1725" customFormat="false" ht="11.9" hidden="false" customHeight="true" outlineLevel="0" collapsed="false">
      <c r="A1725" s="2" t="str">
        <f aca="false">HYPERLINK("https://www.fabsurplus.com/sdi_catalog/salesItemDetails.do?id=110211")</f>
        <v>https://www.fabsurplus.com/sdi_catalog/salesItemDetails.do?id=110211</v>
      </c>
      <c r="B1725" s="2" t="s">
        <v>4669</v>
      </c>
      <c r="C1725" s="2" t="s">
        <v>4399</v>
      </c>
      <c r="D1725" s="2" t="s">
        <v>4659</v>
      </c>
      <c r="E1725" s="2" t="s">
        <v>47</v>
      </c>
      <c r="F1725" s="2" t="s">
        <v>16</v>
      </c>
      <c r="G1725" s="2" t="s">
        <v>41</v>
      </c>
      <c r="H1725" s="2"/>
      <c r="I1725" s="2"/>
      <c r="J1725" s="2" t="s">
        <v>42</v>
      </c>
      <c r="K1725" s="2"/>
      <c r="L1725" s="2" t="s">
        <v>4667</v>
      </c>
    </row>
    <row r="1726" customFormat="false" ht="11.9" hidden="false" customHeight="true" outlineLevel="0" collapsed="false">
      <c r="A1726" s="3" t="str">
        <f aca="false">HYPERLINK("https://www.fabsurplus.com/sdi_catalog/salesItemDetails.do?id=110210")</f>
        <v>https://www.fabsurplus.com/sdi_catalog/salesItemDetails.do?id=110210</v>
      </c>
      <c r="B1726" s="3" t="s">
        <v>4670</v>
      </c>
      <c r="C1726" s="3" t="s">
        <v>4399</v>
      </c>
      <c r="D1726" s="3" t="s">
        <v>4659</v>
      </c>
      <c r="E1726" s="3" t="s">
        <v>47</v>
      </c>
      <c r="F1726" s="3" t="s">
        <v>16</v>
      </c>
      <c r="G1726" s="3" t="s">
        <v>41</v>
      </c>
      <c r="H1726" s="3"/>
      <c r="I1726" s="3"/>
      <c r="J1726" s="3" t="s">
        <v>42</v>
      </c>
      <c r="K1726" s="3"/>
      <c r="L1726" s="3" t="s">
        <v>4667</v>
      </c>
    </row>
    <row r="1727" customFormat="false" ht="11.9" hidden="false" customHeight="true" outlineLevel="0" collapsed="false">
      <c r="A1727" s="2" t="str">
        <f aca="false">HYPERLINK("https://www.fabsurplus.com/sdi_catalog/salesItemDetails.do?id=110209")</f>
        <v>https://www.fabsurplus.com/sdi_catalog/salesItemDetails.do?id=110209</v>
      </c>
      <c r="B1727" s="2" t="s">
        <v>4671</v>
      </c>
      <c r="C1727" s="2" t="s">
        <v>4399</v>
      </c>
      <c r="D1727" s="2" t="s">
        <v>4659</v>
      </c>
      <c r="E1727" s="2" t="s">
        <v>47</v>
      </c>
      <c r="F1727" s="2" t="s">
        <v>16</v>
      </c>
      <c r="G1727" s="2" t="s">
        <v>41</v>
      </c>
      <c r="H1727" s="2"/>
      <c r="I1727" s="2"/>
      <c r="J1727" s="2" t="s">
        <v>42</v>
      </c>
      <c r="K1727" s="2"/>
      <c r="L1727" s="2" t="s">
        <v>4667</v>
      </c>
    </row>
    <row r="1728" customFormat="false" ht="11.9" hidden="false" customHeight="true" outlineLevel="0" collapsed="false">
      <c r="A1728" s="3" t="str">
        <f aca="false">HYPERLINK("https://www.fabsurplus.com/sdi_catalog/salesItemDetails.do?id=110208")</f>
        <v>https://www.fabsurplus.com/sdi_catalog/salesItemDetails.do?id=110208</v>
      </c>
      <c r="B1728" s="3" t="s">
        <v>4672</v>
      </c>
      <c r="C1728" s="3" t="s">
        <v>4399</v>
      </c>
      <c r="D1728" s="3" t="s">
        <v>4659</v>
      </c>
      <c r="E1728" s="3" t="s">
        <v>47</v>
      </c>
      <c r="F1728" s="3" t="s">
        <v>16</v>
      </c>
      <c r="G1728" s="3" t="s">
        <v>41</v>
      </c>
      <c r="H1728" s="3"/>
      <c r="I1728" s="3"/>
      <c r="J1728" s="3" t="s">
        <v>42</v>
      </c>
      <c r="K1728" s="3"/>
      <c r="L1728" s="3" t="s">
        <v>4673</v>
      </c>
    </row>
    <row r="1729" customFormat="false" ht="11.9" hidden="false" customHeight="true" outlineLevel="0" collapsed="false">
      <c r="A1729" s="2" t="str">
        <f aca="false">HYPERLINK("https://www.fabsurplus.com/sdi_catalog/salesItemDetails.do?id=110207")</f>
        <v>https://www.fabsurplus.com/sdi_catalog/salesItemDetails.do?id=110207</v>
      </c>
      <c r="B1729" s="2" t="s">
        <v>4674</v>
      </c>
      <c r="C1729" s="2" t="s">
        <v>4399</v>
      </c>
      <c r="D1729" s="2" t="s">
        <v>4659</v>
      </c>
      <c r="E1729" s="2" t="s">
        <v>47</v>
      </c>
      <c r="F1729" s="2" t="s">
        <v>16</v>
      </c>
      <c r="G1729" s="2" t="s">
        <v>41</v>
      </c>
      <c r="H1729" s="2"/>
      <c r="I1729" s="2"/>
      <c r="J1729" s="2" t="s">
        <v>42</v>
      </c>
      <c r="K1729" s="2"/>
      <c r="L1729" s="2" t="s">
        <v>4675</v>
      </c>
    </row>
    <row r="1730" customFormat="false" ht="11.9" hidden="false" customHeight="true" outlineLevel="0" collapsed="false">
      <c r="A1730" s="2" t="str">
        <f aca="false">HYPERLINK("https://www.fabsurplus.com/sdi_catalog/salesItemDetails.do?id=110219")</f>
        <v>https://www.fabsurplus.com/sdi_catalog/salesItemDetails.do?id=110219</v>
      </c>
      <c r="B1730" s="2" t="s">
        <v>4676</v>
      </c>
      <c r="C1730" s="2" t="s">
        <v>4399</v>
      </c>
      <c r="D1730" s="2" t="s">
        <v>4677</v>
      </c>
      <c r="E1730" s="2" t="s">
        <v>47</v>
      </c>
      <c r="F1730" s="2" t="s">
        <v>16</v>
      </c>
      <c r="G1730" s="2" t="s">
        <v>41</v>
      </c>
      <c r="H1730" s="2"/>
      <c r="I1730" s="2"/>
      <c r="J1730" s="2" t="s">
        <v>42</v>
      </c>
      <c r="K1730" s="2"/>
      <c r="L1730" s="2" t="s">
        <v>4678</v>
      </c>
    </row>
    <row r="1731" customFormat="false" ht="11.9" hidden="false" customHeight="true" outlineLevel="0" collapsed="false">
      <c r="A1731" s="3" t="str">
        <f aca="false">HYPERLINK("https://www.fabsurplus.com/sdi_catalog/salesItemDetails.do?id=110218")</f>
        <v>https://www.fabsurplus.com/sdi_catalog/salesItemDetails.do?id=110218</v>
      </c>
      <c r="B1731" s="3" t="s">
        <v>4679</v>
      </c>
      <c r="C1731" s="3" t="s">
        <v>4399</v>
      </c>
      <c r="D1731" s="3" t="s">
        <v>4677</v>
      </c>
      <c r="E1731" s="3" t="s">
        <v>47</v>
      </c>
      <c r="F1731" s="3" t="s">
        <v>16</v>
      </c>
      <c r="G1731" s="3" t="s">
        <v>41</v>
      </c>
      <c r="H1731" s="3"/>
      <c r="I1731" s="3"/>
      <c r="J1731" s="3" t="s">
        <v>42</v>
      </c>
      <c r="K1731" s="3"/>
      <c r="L1731" s="3" t="s">
        <v>4678</v>
      </c>
    </row>
    <row r="1732" customFormat="false" ht="11.9" hidden="false" customHeight="true" outlineLevel="0" collapsed="false">
      <c r="A1732" s="3" t="str">
        <f aca="false">HYPERLINK("https://www.fabsurplus.com/sdi_catalog/salesItemDetails.do?id=110249")</f>
        <v>https://www.fabsurplus.com/sdi_catalog/salesItemDetails.do?id=110249</v>
      </c>
      <c r="B1732" s="3" t="s">
        <v>4680</v>
      </c>
      <c r="C1732" s="3" t="s">
        <v>4399</v>
      </c>
      <c r="D1732" s="3" t="s">
        <v>4681</v>
      </c>
      <c r="E1732" s="3" t="s">
        <v>47</v>
      </c>
      <c r="F1732" s="3" t="s">
        <v>16</v>
      </c>
      <c r="G1732" s="3" t="s">
        <v>41</v>
      </c>
      <c r="H1732" s="3"/>
      <c r="I1732" s="3"/>
      <c r="J1732" s="3" t="s">
        <v>42</v>
      </c>
      <c r="K1732" s="3"/>
      <c r="L1732" s="3" t="s">
        <v>4682</v>
      </c>
    </row>
    <row r="1733" customFormat="false" ht="11.9" hidden="false" customHeight="true" outlineLevel="0" collapsed="false">
      <c r="A1733" s="3" t="str">
        <f aca="false">HYPERLINK("https://www.fabsurplus.com/sdi_catalog/salesItemDetails.do?id=110248")</f>
        <v>https://www.fabsurplus.com/sdi_catalog/salesItemDetails.do?id=110248</v>
      </c>
      <c r="B1733" s="3" t="s">
        <v>4683</v>
      </c>
      <c r="C1733" s="3" t="s">
        <v>4399</v>
      </c>
      <c r="D1733" s="3" t="s">
        <v>4681</v>
      </c>
      <c r="E1733" s="3" t="s">
        <v>47</v>
      </c>
      <c r="F1733" s="3" t="s">
        <v>16</v>
      </c>
      <c r="G1733" s="3" t="s">
        <v>41</v>
      </c>
      <c r="H1733" s="3"/>
      <c r="I1733" s="3"/>
      <c r="J1733" s="3" t="s">
        <v>42</v>
      </c>
      <c r="K1733" s="3"/>
      <c r="L1733" s="3" t="s">
        <v>4682</v>
      </c>
    </row>
    <row r="1734" customFormat="false" ht="11.9" hidden="false" customHeight="true" outlineLevel="0" collapsed="false">
      <c r="A1734" s="2" t="str">
        <f aca="false">HYPERLINK("https://www.fabsurplus.com/sdi_catalog/salesItemDetails.do?id=110247")</f>
        <v>https://www.fabsurplus.com/sdi_catalog/salesItemDetails.do?id=110247</v>
      </c>
      <c r="B1734" s="2" t="s">
        <v>4684</v>
      </c>
      <c r="C1734" s="2" t="s">
        <v>4399</v>
      </c>
      <c r="D1734" s="2" t="s">
        <v>4681</v>
      </c>
      <c r="E1734" s="2" t="s">
        <v>47</v>
      </c>
      <c r="F1734" s="2" t="s">
        <v>16</v>
      </c>
      <c r="G1734" s="2" t="s">
        <v>41</v>
      </c>
      <c r="H1734" s="2"/>
      <c r="I1734" s="2"/>
      <c r="J1734" s="2" t="s">
        <v>42</v>
      </c>
      <c r="K1734" s="2"/>
      <c r="L1734" s="2" t="s">
        <v>4682</v>
      </c>
    </row>
    <row r="1735" customFormat="false" ht="11.9" hidden="false" customHeight="true" outlineLevel="0" collapsed="false">
      <c r="A1735" s="3" t="str">
        <f aca="false">HYPERLINK("https://www.fabsurplus.com/sdi_catalog/salesItemDetails.do?id=110246")</f>
        <v>https://www.fabsurplus.com/sdi_catalog/salesItemDetails.do?id=110246</v>
      </c>
      <c r="B1735" s="3" t="s">
        <v>4685</v>
      </c>
      <c r="C1735" s="3" t="s">
        <v>4399</v>
      </c>
      <c r="D1735" s="3" t="s">
        <v>4681</v>
      </c>
      <c r="E1735" s="3" t="s">
        <v>47</v>
      </c>
      <c r="F1735" s="3" t="s">
        <v>16</v>
      </c>
      <c r="G1735" s="3" t="s">
        <v>41</v>
      </c>
      <c r="H1735" s="3"/>
      <c r="I1735" s="3"/>
      <c r="J1735" s="3" t="s">
        <v>42</v>
      </c>
      <c r="K1735" s="3"/>
      <c r="L1735" s="3" t="s">
        <v>4682</v>
      </c>
    </row>
    <row r="1736" customFormat="false" ht="11.9" hidden="false" customHeight="true" outlineLevel="0" collapsed="false">
      <c r="A1736" s="2" t="str">
        <f aca="false">HYPERLINK("https://www.fabsurplus.com/sdi_catalog/salesItemDetails.do?id=110245")</f>
        <v>https://www.fabsurplus.com/sdi_catalog/salesItemDetails.do?id=110245</v>
      </c>
      <c r="B1736" s="2" t="s">
        <v>4686</v>
      </c>
      <c r="C1736" s="2" t="s">
        <v>4399</v>
      </c>
      <c r="D1736" s="2" t="s">
        <v>4681</v>
      </c>
      <c r="E1736" s="2" t="s">
        <v>47</v>
      </c>
      <c r="F1736" s="2" t="s">
        <v>16</v>
      </c>
      <c r="G1736" s="2" t="s">
        <v>41</v>
      </c>
      <c r="H1736" s="2"/>
      <c r="I1736" s="2"/>
      <c r="J1736" s="2" t="s">
        <v>42</v>
      </c>
      <c r="K1736" s="2"/>
      <c r="L1736" s="2" t="s">
        <v>4682</v>
      </c>
    </row>
    <row r="1737" customFormat="false" ht="11.9" hidden="false" customHeight="true" outlineLevel="0" collapsed="false">
      <c r="A1737" s="3" t="str">
        <f aca="false">HYPERLINK("https://www.fabsurplus.com/sdi_catalog/salesItemDetails.do?id=110244")</f>
        <v>https://www.fabsurplus.com/sdi_catalog/salesItemDetails.do?id=110244</v>
      </c>
      <c r="B1737" s="3" t="s">
        <v>4687</v>
      </c>
      <c r="C1737" s="3" t="s">
        <v>4399</v>
      </c>
      <c r="D1737" s="3" t="s">
        <v>4681</v>
      </c>
      <c r="E1737" s="3" t="s">
        <v>47</v>
      </c>
      <c r="F1737" s="3" t="s">
        <v>16</v>
      </c>
      <c r="G1737" s="3" t="s">
        <v>41</v>
      </c>
      <c r="H1737" s="3"/>
      <c r="I1737" s="3"/>
      <c r="J1737" s="3" t="s">
        <v>42</v>
      </c>
      <c r="K1737" s="3"/>
      <c r="L1737" s="3" t="s">
        <v>4682</v>
      </c>
    </row>
    <row r="1738" customFormat="false" ht="11.9" hidden="false" customHeight="true" outlineLevel="0" collapsed="false">
      <c r="A1738" s="2" t="str">
        <f aca="false">HYPERLINK("https://www.fabsurplus.com/sdi_catalog/salesItemDetails.do?id=110243")</f>
        <v>https://www.fabsurplus.com/sdi_catalog/salesItemDetails.do?id=110243</v>
      </c>
      <c r="B1738" s="2" t="s">
        <v>4688</v>
      </c>
      <c r="C1738" s="2" t="s">
        <v>4399</v>
      </c>
      <c r="D1738" s="2" t="s">
        <v>4681</v>
      </c>
      <c r="E1738" s="2" t="s">
        <v>47</v>
      </c>
      <c r="F1738" s="2" t="s">
        <v>16</v>
      </c>
      <c r="G1738" s="2" t="s">
        <v>41</v>
      </c>
      <c r="H1738" s="2"/>
      <c r="I1738" s="2"/>
      <c r="J1738" s="2" t="s">
        <v>42</v>
      </c>
      <c r="K1738" s="2"/>
      <c r="L1738" s="2" t="s">
        <v>4682</v>
      </c>
    </row>
    <row r="1739" customFormat="false" ht="11.9" hidden="false" customHeight="true" outlineLevel="0" collapsed="false">
      <c r="A1739" s="3" t="str">
        <f aca="false">HYPERLINK("https://www.fabsurplus.com/sdi_catalog/salesItemDetails.do?id=110242")</f>
        <v>https://www.fabsurplus.com/sdi_catalog/salesItemDetails.do?id=110242</v>
      </c>
      <c r="B1739" s="3" t="s">
        <v>4689</v>
      </c>
      <c r="C1739" s="3" t="s">
        <v>4399</v>
      </c>
      <c r="D1739" s="3" t="s">
        <v>4681</v>
      </c>
      <c r="E1739" s="3" t="s">
        <v>47</v>
      </c>
      <c r="F1739" s="3" t="s">
        <v>16</v>
      </c>
      <c r="G1739" s="3" t="s">
        <v>41</v>
      </c>
      <c r="H1739" s="3"/>
      <c r="I1739" s="3"/>
      <c r="J1739" s="3" t="s">
        <v>42</v>
      </c>
      <c r="K1739" s="3"/>
      <c r="L1739" s="3" t="s">
        <v>4690</v>
      </c>
    </row>
    <row r="1740" customFormat="false" ht="11.9" hidden="false" customHeight="true" outlineLevel="0" collapsed="false">
      <c r="A1740" s="2" t="str">
        <f aca="false">HYPERLINK("https://www.fabsurplus.com/sdi_catalog/salesItemDetails.do?id=110241")</f>
        <v>https://www.fabsurplus.com/sdi_catalog/salesItemDetails.do?id=110241</v>
      </c>
      <c r="B1740" s="2" t="s">
        <v>4691</v>
      </c>
      <c r="C1740" s="2" t="s">
        <v>4399</v>
      </c>
      <c r="D1740" s="2" t="s">
        <v>4681</v>
      </c>
      <c r="E1740" s="2" t="s">
        <v>47</v>
      </c>
      <c r="F1740" s="2" t="s">
        <v>16</v>
      </c>
      <c r="G1740" s="2" t="s">
        <v>41</v>
      </c>
      <c r="H1740" s="2"/>
      <c r="I1740" s="2"/>
      <c r="J1740" s="2" t="s">
        <v>42</v>
      </c>
      <c r="K1740" s="2"/>
      <c r="L1740" s="2" t="s">
        <v>4690</v>
      </c>
    </row>
    <row r="1741" customFormat="false" ht="11.9" hidden="false" customHeight="true" outlineLevel="0" collapsed="false">
      <c r="A1741" s="3" t="str">
        <f aca="false">HYPERLINK("https://www.fabsurplus.com/sdi_catalog/salesItemDetails.do?id=110240")</f>
        <v>https://www.fabsurplus.com/sdi_catalog/salesItemDetails.do?id=110240</v>
      </c>
      <c r="B1741" s="3" t="s">
        <v>4692</v>
      </c>
      <c r="C1741" s="3" t="s">
        <v>4399</v>
      </c>
      <c r="D1741" s="3" t="s">
        <v>4681</v>
      </c>
      <c r="E1741" s="3" t="s">
        <v>47</v>
      </c>
      <c r="F1741" s="3" t="s">
        <v>16</v>
      </c>
      <c r="G1741" s="3" t="s">
        <v>41</v>
      </c>
      <c r="H1741" s="3"/>
      <c r="I1741" s="3"/>
      <c r="J1741" s="3" t="s">
        <v>42</v>
      </c>
      <c r="K1741" s="3"/>
      <c r="L1741" s="3" t="s">
        <v>4690</v>
      </c>
    </row>
    <row r="1742" customFormat="false" ht="11.9" hidden="false" customHeight="true" outlineLevel="0" collapsed="false">
      <c r="A1742" s="2" t="str">
        <f aca="false">HYPERLINK("https://www.fabsurplus.com/sdi_catalog/salesItemDetails.do?id=110239")</f>
        <v>https://www.fabsurplus.com/sdi_catalog/salesItemDetails.do?id=110239</v>
      </c>
      <c r="B1742" s="2" t="s">
        <v>4693</v>
      </c>
      <c r="C1742" s="2" t="s">
        <v>4399</v>
      </c>
      <c r="D1742" s="2" t="s">
        <v>4681</v>
      </c>
      <c r="E1742" s="2" t="s">
        <v>47</v>
      </c>
      <c r="F1742" s="2" t="s">
        <v>16</v>
      </c>
      <c r="G1742" s="2" t="s">
        <v>41</v>
      </c>
      <c r="H1742" s="2"/>
      <c r="I1742" s="2"/>
      <c r="J1742" s="2" t="s">
        <v>42</v>
      </c>
      <c r="K1742" s="2"/>
      <c r="L1742" s="2" t="s">
        <v>4690</v>
      </c>
    </row>
    <row r="1743" customFormat="false" ht="11.9" hidden="false" customHeight="true" outlineLevel="0" collapsed="false">
      <c r="A1743" s="3" t="str">
        <f aca="false">HYPERLINK("https://www.fabsurplus.com/sdi_catalog/salesItemDetails.do?id=110238")</f>
        <v>https://www.fabsurplus.com/sdi_catalog/salesItemDetails.do?id=110238</v>
      </c>
      <c r="B1743" s="3" t="s">
        <v>4694</v>
      </c>
      <c r="C1743" s="3" t="s">
        <v>4399</v>
      </c>
      <c r="D1743" s="3" t="s">
        <v>4681</v>
      </c>
      <c r="E1743" s="3" t="s">
        <v>47</v>
      </c>
      <c r="F1743" s="3" t="s">
        <v>16</v>
      </c>
      <c r="G1743" s="3" t="s">
        <v>41</v>
      </c>
      <c r="H1743" s="3"/>
      <c r="I1743" s="3"/>
      <c r="J1743" s="3" t="s">
        <v>42</v>
      </c>
      <c r="K1743" s="3"/>
      <c r="L1743" s="3" t="s">
        <v>4690</v>
      </c>
    </row>
    <row r="1744" customFormat="false" ht="11.9" hidden="false" customHeight="true" outlineLevel="0" collapsed="false">
      <c r="A1744" s="2" t="str">
        <f aca="false">HYPERLINK("https://www.fabsurplus.com/sdi_catalog/salesItemDetails.do?id=110237")</f>
        <v>https://www.fabsurplus.com/sdi_catalog/salesItemDetails.do?id=110237</v>
      </c>
      <c r="B1744" s="2" t="s">
        <v>4695</v>
      </c>
      <c r="C1744" s="2" t="s">
        <v>4399</v>
      </c>
      <c r="D1744" s="2" t="s">
        <v>4681</v>
      </c>
      <c r="E1744" s="2" t="s">
        <v>47</v>
      </c>
      <c r="F1744" s="2" t="s">
        <v>16</v>
      </c>
      <c r="G1744" s="2" t="s">
        <v>41</v>
      </c>
      <c r="H1744" s="2"/>
      <c r="I1744" s="2"/>
      <c r="J1744" s="2" t="s">
        <v>42</v>
      </c>
      <c r="K1744" s="2"/>
      <c r="L1744" s="2" t="s">
        <v>4690</v>
      </c>
    </row>
    <row r="1745" customFormat="false" ht="11.9" hidden="false" customHeight="true" outlineLevel="0" collapsed="false">
      <c r="A1745" s="3" t="str">
        <f aca="false">HYPERLINK("https://www.fabsurplus.com/sdi_catalog/salesItemDetails.do?id=110236")</f>
        <v>https://www.fabsurplus.com/sdi_catalog/salesItemDetails.do?id=110236</v>
      </c>
      <c r="B1745" s="3" t="s">
        <v>4696</v>
      </c>
      <c r="C1745" s="3" t="s">
        <v>4399</v>
      </c>
      <c r="D1745" s="3" t="s">
        <v>4681</v>
      </c>
      <c r="E1745" s="3" t="s">
        <v>47</v>
      </c>
      <c r="F1745" s="3" t="s">
        <v>16</v>
      </c>
      <c r="G1745" s="3" t="s">
        <v>41</v>
      </c>
      <c r="H1745" s="3"/>
      <c r="I1745" s="3"/>
      <c r="J1745" s="3" t="s">
        <v>42</v>
      </c>
      <c r="K1745" s="3"/>
      <c r="L1745" s="3" t="s">
        <v>4690</v>
      </c>
    </row>
    <row r="1746" customFormat="false" ht="11.9" hidden="false" customHeight="true" outlineLevel="0" collapsed="false">
      <c r="A1746" s="2" t="str">
        <f aca="false">HYPERLINK("https://www.fabsurplus.com/sdi_catalog/salesItemDetails.do?id=110235")</f>
        <v>https://www.fabsurplus.com/sdi_catalog/salesItemDetails.do?id=110235</v>
      </c>
      <c r="B1746" s="2" t="s">
        <v>4697</v>
      </c>
      <c r="C1746" s="2" t="s">
        <v>4399</v>
      </c>
      <c r="D1746" s="2" t="s">
        <v>4681</v>
      </c>
      <c r="E1746" s="2" t="s">
        <v>47</v>
      </c>
      <c r="F1746" s="2" t="s">
        <v>16</v>
      </c>
      <c r="G1746" s="2" t="s">
        <v>41</v>
      </c>
      <c r="H1746" s="2"/>
      <c r="I1746" s="2"/>
      <c r="J1746" s="2" t="s">
        <v>42</v>
      </c>
      <c r="K1746" s="2"/>
      <c r="L1746" s="2" t="s">
        <v>4690</v>
      </c>
    </row>
    <row r="1747" customFormat="false" ht="11.9" hidden="false" customHeight="true" outlineLevel="0" collapsed="false">
      <c r="A1747" s="3" t="str">
        <f aca="false">HYPERLINK("https://www.fabsurplus.com/sdi_catalog/salesItemDetails.do?id=110234")</f>
        <v>https://www.fabsurplus.com/sdi_catalog/salesItemDetails.do?id=110234</v>
      </c>
      <c r="B1747" s="3" t="s">
        <v>4698</v>
      </c>
      <c r="C1747" s="3" t="s">
        <v>4399</v>
      </c>
      <c r="D1747" s="3" t="s">
        <v>4681</v>
      </c>
      <c r="E1747" s="3" t="s">
        <v>47</v>
      </c>
      <c r="F1747" s="3" t="s">
        <v>16</v>
      </c>
      <c r="G1747" s="3" t="s">
        <v>41</v>
      </c>
      <c r="H1747" s="3"/>
      <c r="I1747" s="3"/>
      <c r="J1747" s="3" t="s">
        <v>42</v>
      </c>
      <c r="K1747" s="3"/>
      <c r="L1747" s="3" t="s">
        <v>4699</v>
      </c>
    </row>
    <row r="1748" customFormat="false" ht="11.9" hidden="false" customHeight="true" outlineLevel="0" collapsed="false">
      <c r="A1748" s="3" t="str">
        <f aca="false">HYPERLINK("https://www.fabsurplus.com/sdi_catalog/salesItemDetails.do?id=110255")</f>
        <v>https://www.fabsurplus.com/sdi_catalog/salesItemDetails.do?id=110255</v>
      </c>
      <c r="B1748" s="3" t="s">
        <v>4700</v>
      </c>
      <c r="C1748" s="3" t="s">
        <v>4399</v>
      </c>
      <c r="D1748" s="3" t="s">
        <v>4701</v>
      </c>
      <c r="E1748" s="3" t="s">
        <v>47</v>
      </c>
      <c r="F1748" s="3" t="s">
        <v>16</v>
      </c>
      <c r="G1748" s="3" t="s">
        <v>41</v>
      </c>
      <c r="H1748" s="3"/>
      <c r="I1748" s="3"/>
      <c r="J1748" s="3" t="s">
        <v>42</v>
      </c>
      <c r="K1748" s="3"/>
      <c r="L1748" s="3" t="s">
        <v>4702</v>
      </c>
    </row>
    <row r="1749" customFormat="false" ht="11.9" hidden="false" customHeight="true" outlineLevel="0" collapsed="false">
      <c r="A1749" s="2" t="str">
        <f aca="false">HYPERLINK("https://www.fabsurplus.com/sdi_catalog/salesItemDetails.do?id=110254")</f>
        <v>https://www.fabsurplus.com/sdi_catalog/salesItemDetails.do?id=110254</v>
      </c>
      <c r="B1749" s="2" t="s">
        <v>4703</v>
      </c>
      <c r="C1749" s="2" t="s">
        <v>4399</v>
      </c>
      <c r="D1749" s="2" t="s">
        <v>4701</v>
      </c>
      <c r="E1749" s="2" t="s">
        <v>47</v>
      </c>
      <c r="F1749" s="2" t="s">
        <v>16</v>
      </c>
      <c r="G1749" s="2" t="s">
        <v>41</v>
      </c>
      <c r="H1749" s="2"/>
      <c r="I1749" s="2"/>
      <c r="J1749" s="2" t="s">
        <v>42</v>
      </c>
      <c r="K1749" s="2"/>
      <c r="L1749" s="2" t="s">
        <v>4702</v>
      </c>
    </row>
    <row r="1750" customFormat="false" ht="11.9" hidden="false" customHeight="true" outlineLevel="0" collapsed="false">
      <c r="A1750" s="3" t="str">
        <f aca="false">HYPERLINK("https://www.fabsurplus.com/sdi_catalog/salesItemDetails.do?id=110253")</f>
        <v>https://www.fabsurplus.com/sdi_catalog/salesItemDetails.do?id=110253</v>
      </c>
      <c r="B1750" s="3" t="s">
        <v>4704</v>
      </c>
      <c r="C1750" s="3" t="s">
        <v>4399</v>
      </c>
      <c r="D1750" s="3" t="s">
        <v>4701</v>
      </c>
      <c r="E1750" s="3" t="s">
        <v>47</v>
      </c>
      <c r="F1750" s="3" t="s">
        <v>16</v>
      </c>
      <c r="G1750" s="3" t="s">
        <v>41</v>
      </c>
      <c r="H1750" s="3"/>
      <c r="I1750" s="3"/>
      <c r="J1750" s="3" t="s">
        <v>42</v>
      </c>
      <c r="K1750" s="3"/>
      <c r="L1750" s="3" t="s">
        <v>4702</v>
      </c>
    </row>
    <row r="1751" customFormat="false" ht="11.9" hidden="false" customHeight="true" outlineLevel="0" collapsed="false">
      <c r="A1751" s="2" t="str">
        <f aca="false">HYPERLINK("https://www.fabsurplus.com/sdi_catalog/salesItemDetails.do?id=110252")</f>
        <v>https://www.fabsurplus.com/sdi_catalog/salesItemDetails.do?id=110252</v>
      </c>
      <c r="B1751" s="2" t="s">
        <v>4705</v>
      </c>
      <c r="C1751" s="2" t="s">
        <v>4399</v>
      </c>
      <c r="D1751" s="2" t="s">
        <v>4701</v>
      </c>
      <c r="E1751" s="2" t="s">
        <v>47</v>
      </c>
      <c r="F1751" s="2" t="s">
        <v>16</v>
      </c>
      <c r="G1751" s="2" t="s">
        <v>41</v>
      </c>
      <c r="H1751" s="2"/>
      <c r="I1751" s="2"/>
      <c r="J1751" s="2" t="s">
        <v>42</v>
      </c>
      <c r="K1751" s="2"/>
      <c r="L1751" s="2" t="s">
        <v>4702</v>
      </c>
    </row>
    <row r="1752" customFormat="false" ht="11.9" hidden="false" customHeight="true" outlineLevel="0" collapsed="false">
      <c r="A1752" s="3" t="str">
        <f aca="false">HYPERLINK("https://www.fabsurplus.com/sdi_catalog/salesItemDetails.do?id=110251")</f>
        <v>https://www.fabsurplus.com/sdi_catalog/salesItemDetails.do?id=110251</v>
      </c>
      <c r="B1752" s="3" t="s">
        <v>4706</v>
      </c>
      <c r="C1752" s="3" t="s">
        <v>4399</v>
      </c>
      <c r="D1752" s="3" t="s">
        <v>4701</v>
      </c>
      <c r="E1752" s="3" t="s">
        <v>47</v>
      </c>
      <c r="F1752" s="3" t="s">
        <v>16</v>
      </c>
      <c r="G1752" s="3" t="s">
        <v>41</v>
      </c>
      <c r="H1752" s="3"/>
      <c r="I1752" s="3"/>
      <c r="J1752" s="3" t="s">
        <v>42</v>
      </c>
      <c r="K1752" s="3"/>
      <c r="L1752" s="3" t="s">
        <v>4702</v>
      </c>
    </row>
    <row r="1753" customFormat="false" ht="11.9" hidden="false" customHeight="true" outlineLevel="0" collapsed="false">
      <c r="A1753" s="2" t="str">
        <f aca="false">HYPERLINK("https://www.fabsurplus.com/sdi_catalog/salesItemDetails.do?id=110250")</f>
        <v>https://www.fabsurplus.com/sdi_catalog/salesItemDetails.do?id=110250</v>
      </c>
      <c r="B1753" s="2" t="s">
        <v>4707</v>
      </c>
      <c r="C1753" s="2" t="s">
        <v>4399</v>
      </c>
      <c r="D1753" s="2" t="s">
        <v>4701</v>
      </c>
      <c r="E1753" s="2" t="s">
        <v>47</v>
      </c>
      <c r="F1753" s="2" t="s">
        <v>16</v>
      </c>
      <c r="G1753" s="2" t="s">
        <v>41</v>
      </c>
      <c r="H1753" s="2"/>
      <c r="I1753" s="2"/>
      <c r="J1753" s="2" t="s">
        <v>42</v>
      </c>
      <c r="K1753" s="2"/>
      <c r="L1753" s="2" t="s">
        <v>4702</v>
      </c>
    </row>
    <row r="1754" customFormat="false" ht="11.9" hidden="false" customHeight="true" outlineLevel="0" collapsed="false">
      <c r="A1754" s="2" t="str">
        <f aca="false">HYPERLINK("https://www.fabsurplus.com/sdi_catalog/salesItemDetails.do?id=110206")</f>
        <v>https://www.fabsurplus.com/sdi_catalog/salesItemDetails.do?id=110206</v>
      </c>
      <c r="B1754" s="2" t="s">
        <v>4708</v>
      </c>
      <c r="C1754" s="2" t="s">
        <v>4399</v>
      </c>
      <c r="D1754" s="2" t="s">
        <v>4709</v>
      </c>
      <c r="E1754" s="2" t="s">
        <v>47</v>
      </c>
      <c r="F1754" s="2" t="s">
        <v>16</v>
      </c>
      <c r="G1754" s="2" t="s">
        <v>41</v>
      </c>
      <c r="H1754" s="2"/>
      <c r="I1754" s="2"/>
      <c r="J1754" s="2" t="s">
        <v>42</v>
      </c>
      <c r="K1754" s="2"/>
      <c r="L1754" s="2" t="s">
        <v>4710</v>
      </c>
    </row>
    <row r="1755" customFormat="false" ht="11.9" hidden="false" customHeight="true" outlineLevel="0" collapsed="false">
      <c r="A1755" s="3" t="str">
        <f aca="false">HYPERLINK("https://www.fabsurplus.com/sdi_catalog/salesItemDetails.do?id=110205")</f>
        <v>https://www.fabsurplus.com/sdi_catalog/salesItemDetails.do?id=110205</v>
      </c>
      <c r="B1755" s="3" t="s">
        <v>4711</v>
      </c>
      <c r="C1755" s="3" t="s">
        <v>4399</v>
      </c>
      <c r="D1755" s="3" t="s">
        <v>4709</v>
      </c>
      <c r="E1755" s="3" t="s">
        <v>47</v>
      </c>
      <c r="F1755" s="3" t="s">
        <v>16</v>
      </c>
      <c r="G1755" s="3" t="s">
        <v>41</v>
      </c>
      <c r="H1755" s="3"/>
      <c r="I1755" s="3"/>
      <c r="J1755" s="3" t="s">
        <v>42</v>
      </c>
      <c r="K1755" s="3"/>
      <c r="L1755" s="3" t="s">
        <v>4710</v>
      </c>
    </row>
    <row r="1756" customFormat="false" ht="11.9" hidden="false" customHeight="true" outlineLevel="0" collapsed="false">
      <c r="A1756" s="2" t="str">
        <f aca="false">HYPERLINK("https://www.fabsurplus.com/sdi_catalog/salesItemDetails.do?id=110204")</f>
        <v>https://www.fabsurplus.com/sdi_catalog/salesItemDetails.do?id=110204</v>
      </c>
      <c r="B1756" s="2" t="s">
        <v>4712</v>
      </c>
      <c r="C1756" s="2" t="s">
        <v>4399</v>
      </c>
      <c r="D1756" s="2" t="s">
        <v>4709</v>
      </c>
      <c r="E1756" s="2" t="s">
        <v>47</v>
      </c>
      <c r="F1756" s="2" t="s">
        <v>16</v>
      </c>
      <c r="G1756" s="2" t="s">
        <v>41</v>
      </c>
      <c r="H1756" s="2"/>
      <c r="I1756" s="2"/>
      <c r="J1756" s="2" t="s">
        <v>42</v>
      </c>
      <c r="K1756" s="2"/>
      <c r="L1756" s="2" t="s">
        <v>4710</v>
      </c>
    </row>
    <row r="1757" customFormat="false" ht="11.9" hidden="false" customHeight="true" outlineLevel="0" collapsed="false">
      <c r="A1757" s="3" t="str">
        <f aca="false">HYPERLINK("https://www.fabsurplus.com/sdi_catalog/salesItemDetails.do?id=110203")</f>
        <v>https://www.fabsurplus.com/sdi_catalog/salesItemDetails.do?id=110203</v>
      </c>
      <c r="B1757" s="3" t="s">
        <v>4713</v>
      </c>
      <c r="C1757" s="3" t="s">
        <v>4399</v>
      </c>
      <c r="D1757" s="3" t="s">
        <v>4709</v>
      </c>
      <c r="E1757" s="3" t="s">
        <v>47</v>
      </c>
      <c r="F1757" s="3" t="s">
        <v>16</v>
      </c>
      <c r="G1757" s="3" t="s">
        <v>41</v>
      </c>
      <c r="H1757" s="3"/>
      <c r="I1757" s="3"/>
      <c r="J1757" s="3" t="s">
        <v>42</v>
      </c>
      <c r="K1757" s="3"/>
      <c r="L1757" s="3" t="s">
        <v>4710</v>
      </c>
    </row>
    <row r="1758" customFormat="false" ht="11.9" hidden="false" customHeight="true" outlineLevel="0" collapsed="false">
      <c r="A1758" s="2" t="str">
        <f aca="false">HYPERLINK("https://www.fabsurplus.com/sdi_catalog/salesItemDetails.do?id=110202")</f>
        <v>https://www.fabsurplus.com/sdi_catalog/salesItemDetails.do?id=110202</v>
      </c>
      <c r="B1758" s="2" t="s">
        <v>4714</v>
      </c>
      <c r="C1758" s="2" t="s">
        <v>4399</v>
      </c>
      <c r="D1758" s="2" t="s">
        <v>4709</v>
      </c>
      <c r="E1758" s="2" t="s">
        <v>47</v>
      </c>
      <c r="F1758" s="2" t="s">
        <v>16</v>
      </c>
      <c r="G1758" s="2" t="s">
        <v>41</v>
      </c>
      <c r="H1758" s="2"/>
      <c r="I1758" s="2"/>
      <c r="J1758" s="2" t="s">
        <v>42</v>
      </c>
      <c r="K1758" s="2"/>
      <c r="L1758" s="2" t="s">
        <v>349</v>
      </c>
    </row>
    <row r="1759" customFormat="false" ht="11.9" hidden="false" customHeight="true" outlineLevel="0" collapsed="false">
      <c r="A1759" s="2" t="str">
        <f aca="false">HYPERLINK("https://www.fabsurplus.com/sdi_catalog/salesItemDetails.do?id=110201")</f>
        <v>https://www.fabsurplus.com/sdi_catalog/salesItemDetails.do?id=110201</v>
      </c>
      <c r="B1759" s="2" t="s">
        <v>4715</v>
      </c>
      <c r="C1759" s="2" t="s">
        <v>4399</v>
      </c>
      <c r="D1759" s="2" t="s">
        <v>4709</v>
      </c>
      <c r="E1759" s="2" t="s">
        <v>47</v>
      </c>
      <c r="F1759" s="2" t="s">
        <v>16</v>
      </c>
      <c r="G1759" s="2" t="s">
        <v>41</v>
      </c>
      <c r="H1759" s="2"/>
      <c r="I1759" s="2"/>
      <c r="J1759" s="2" t="s">
        <v>42</v>
      </c>
      <c r="K1759" s="2"/>
      <c r="L1759" s="2" t="s">
        <v>349</v>
      </c>
    </row>
    <row r="1760" customFormat="false" ht="11.9" hidden="false" customHeight="true" outlineLevel="0" collapsed="false">
      <c r="A1760" s="3" t="str">
        <f aca="false">HYPERLINK("https://www.fabsurplus.com/sdi_catalog/salesItemDetails.do?id=115392")</f>
        <v>https://www.fabsurplus.com/sdi_catalog/salesItemDetails.do?id=115392</v>
      </c>
      <c r="B1760" s="3" t="s">
        <v>4716</v>
      </c>
      <c r="C1760" s="3" t="s">
        <v>4399</v>
      </c>
      <c r="D1760" s="3" t="s">
        <v>4709</v>
      </c>
      <c r="E1760" s="3" t="s">
        <v>4717</v>
      </c>
      <c r="F1760" s="3" t="s">
        <v>77</v>
      </c>
      <c r="G1760" s="3" t="s">
        <v>26</v>
      </c>
      <c r="H1760" s="3"/>
      <c r="I1760" s="3"/>
      <c r="J1760" s="3" t="s">
        <v>19</v>
      </c>
      <c r="K1760" s="3"/>
      <c r="L1760" s="3" t="s">
        <v>63</v>
      </c>
    </row>
    <row r="1761" customFormat="false" ht="11.9" hidden="false" customHeight="true" outlineLevel="0" collapsed="false">
      <c r="A1761" s="3" t="str">
        <f aca="false">HYPERLINK("https://www.fabsurplus.com/sdi_catalog/salesItemDetails.do?id=115393")</f>
        <v>https://www.fabsurplus.com/sdi_catalog/salesItemDetails.do?id=115393</v>
      </c>
      <c r="B1761" s="3" t="s">
        <v>4718</v>
      </c>
      <c r="C1761" s="3" t="s">
        <v>4399</v>
      </c>
      <c r="D1761" s="3" t="s">
        <v>4719</v>
      </c>
      <c r="E1761" s="3" t="s">
        <v>4717</v>
      </c>
      <c r="F1761" s="3" t="s">
        <v>16</v>
      </c>
      <c r="G1761" s="3" t="s">
        <v>26</v>
      </c>
      <c r="H1761" s="3"/>
      <c r="I1761" s="3"/>
      <c r="J1761" s="3" t="s">
        <v>19</v>
      </c>
      <c r="K1761" s="3"/>
      <c r="L1761" s="3" t="s">
        <v>63</v>
      </c>
    </row>
    <row r="1762" customFormat="false" ht="11.9" hidden="false" customHeight="true" outlineLevel="0" collapsed="false">
      <c r="A1762" s="3" t="str">
        <f aca="false">HYPERLINK("https://www.fabsurplus.com/sdi_catalog/salesItemDetails.do?id=110220")</f>
        <v>https://www.fabsurplus.com/sdi_catalog/salesItemDetails.do?id=110220</v>
      </c>
      <c r="B1762" s="3" t="s">
        <v>4720</v>
      </c>
      <c r="C1762" s="3" t="s">
        <v>4399</v>
      </c>
      <c r="D1762" s="3" t="s">
        <v>4721</v>
      </c>
      <c r="E1762" s="3" t="s">
        <v>47</v>
      </c>
      <c r="F1762" s="3" t="s">
        <v>16</v>
      </c>
      <c r="G1762" s="3" t="s">
        <v>41</v>
      </c>
      <c r="H1762" s="3"/>
      <c r="I1762" s="3"/>
      <c r="J1762" s="3" t="s">
        <v>42</v>
      </c>
      <c r="K1762" s="3"/>
      <c r="L1762" s="3" t="s">
        <v>4722</v>
      </c>
    </row>
    <row r="1763" customFormat="false" ht="11.9" hidden="false" customHeight="true" outlineLevel="0" collapsed="false">
      <c r="A1763" s="3" t="str">
        <f aca="false">HYPERLINK("https://www.fabsurplus.com/sdi_catalog/salesItemDetails.do?id=110265")</f>
        <v>https://www.fabsurplus.com/sdi_catalog/salesItemDetails.do?id=110265</v>
      </c>
      <c r="B1763" s="3" t="s">
        <v>4723</v>
      </c>
      <c r="C1763" s="3" t="s">
        <v>4399</v>
      </c>
      <c r="D1763" s="3" t="s">
        <v>4724</v>
      </c>
      <c r="E1763" s="3" t="s">
        <v>47</v>
      </c>
      <c r="F1763" s="3" t="s">
        <v>16</v>
      </c>
      <c r="G1763" s="3" t="s">
        <v>41</v>
      </c>
      <c r="H1763" s="3"/>
      <c r="I1763" s="3"/>
      <c r="J1763" s="3" t="s">
        <v>42</v>
      </c>
      <c r="K1763" s="3"/>
      <c r="L1763" s="3" t="s">
        <v>4725</v>
      </c>
    </row>
    <row r="1764" customFormat="false" ht="11.9" hidden="false" customHeight="true" outlineLevel="0" collapsed="false">
      <c r="A1764" s="2" t="str">
        <f aca="false">HYPERLINK("https://www.fabsurplus.com/sdi_catalog/salesItemDetails.do?id=110264")</f>
        <v>https://www.fabsurplus.com/sdi_catalog/salesItemDetails.do?id=110264</v>
      </c>
      <c r="B1764" s="2" t="s">
        <v>4726</v>
      </c>
      <c r="C1764" s="2" t="s">
        <v>4399</v>
      </c>
      <c r="D1764" s="2" t="s">
        <v>4724</v>
      </c>
      <c r="E1764" s="2" t="s">
        <v>47</v>
      </c>
      <c r="F1764" s="2" t="s">
        <v>16</v>
      </c>
      <c r="G1764" s="2" t="s">
        <v>41</v>
      </c>
      <c r="H1764" s="2"/>
      <c r="I1764" s="2"/>
      <c r="J1764" s="2" t="s">
        <v>42</v>
      </c>
      <c r="K1764" s="2"/>
      <c r="L1764" s="2" t="s">
        <v>4725</v>
      </c>
    </row>
    <row r="1765" customFormat="false" ht="11.9" hidden="false" customHeight="true" outlineLevel="0" collapsed="false">
      <c r="A1765" s="3" t="str">
        <f aca="false">HYPERLINK("https://www.fabsurplus.com/sdi_catalog/salesItemDetails.do?id=110263")</f>
        <v>https://www.fabsurplus.com/sdi_catalog/salesItemDetails.do?id=110263</v>
      </c>
      <c r="B1765" s="3" t="s">
        <v>4727</v>
      </c>
      <c r="C1765" s="3" t="s">
        <v>4399</v>
      </c>
      <c r="D1765" s="3" t="s">
        <v>4724</v>
      </c>
      <c r="E1765" s="3" t="s">
        <v>47</v>
      </c>
      <c r="F1765" s="3" t="s">
        <v>16</v>
      </c>
      <c r="G1765" s="3" t="s">
        <v>41</v>
      </c>
      <c r="H1765" s="3"/>
      <c r="I1765" s="3"/>
      <c r="J1765" s="3" t="s">
        <v>42</v>
      </c>
      <c r="K1765" s="3"/>
      <c r="L1765" s="3" t="s">
        <v>4728</v>
      </c>
    </row>
    <row r="1766" customFormat="false" ht="11.9" hidden="false" customHeight="true" outlineLevel="0" collapsed="false">
      <c r="A1766" s="2" t="str">
        <f aca="false">HYPERLINK("https://www.fabsurplus.com/sdi_catalog/salesItemDetails.do?id=110262")</f>
        <v>https://www.fabsurplus.com/sdi_catalog/salesItemDetails.do?id=110262</v>
      </c>
      <c r="B1766" s="2" t="s">
        <v>4729</v>
      </c>
      <c r="C1766" s="2" t="s">
        <v>4399</v>
      </c>
      <c r="D1766" s="2" t="s">
        <v>4724</v>
      </c>
      <c r="E1766" s="2" t="s">
        <v>47</v>
      </c>
      <c r="F1766" s="2" t="s">
        <v>16</v>
      </c>
      <c r="G1766" s="2" t="s">
        <v>41</v>
      </c>
      <c r="H1766" s="2"/>
      <c r="I1766" s="2"/>
      <c r="J1766" s="2" t="s">
        <v>42</v>
      </c>
      <c r="K1766" s="2"/>
      <c r="L1766" s="2" t="s">
        <v>4728</v>
      </c>
    </row>
    <row r="1767" customFormat="false" ht="11.9" hidden="false" customHeight="true" outlineLevel="0" collapsed="false">
      <c r="A1767" s="3" t="str">
        <f aca="false">HYPERLINK("https://www.fabsurplus.com/sdi_catalog/salesItemDetails.do?id=110261")</f>
        <v>https://www.fabsurplus.com/sdi_catalog/salesItemDetails.do?id=110261</v>
      </c>
      <c r="B1767" s="3" t="s">
        <v>4730</v>
      </c>
      <c r="C1767" s="3" t="s">
        <v>4399</v>
      </c>
      <c r="D1767" s="3" t="s">
        <v>4724</v>
      </c>
      <c r="E1767" s="3" t="s">
        <v>47</v>
      </c>
      <c r="F1767" s="3" t="s">
        <v>16</v>
      </c>
      <c r="G1767" s="3" t="s">
        <v>41</v>
      </c>
      <c r="H1767" s="3"/>
      <c r="I1767" s="3"/>
      <c r="J1767" s="3" t="s">
        <v>42</v>
      </c>
      <c r="K1767" s="3"/>
      <c r="L1767" s="3" t="s">
        <v>4731</v>
      </c>
    </row>
    <row r="1768" customFormat="false" ht="11.9" hidden="false" customHeight="true" outlineLevel="0" collapsed="false">
      <c r="A1768" s="2" t="str">
        <f aca="false">HYPERLINK("https://www.fabsurplus.com/sdi_catalog/salesItemDetails.do?id=110260")</f>
        <v>https://www.fabsurplus.com/sdi_catalog/salesItemDetails.do?id=110260</v>
      </c>
      <c r="B1768" s="2" t="s">
        <v>4732</v>
      </c>
      <c r="C1768" s="2" t="s">
        <v>4399</v>
      </c>
      <c r="D1768" s="2" t="s">
        <v>4724</v>
      </c>
      <c r="E1768" s="2" t="s">
        <v>47</v>
      </c>
      <c r="F1768" s="2" t="s">
        <v>16</v>
      </c>
      <c r="G1768" s="2" t="s">
        <v>41</v>
      </c>
      <c r="H1768" s="2"/>
      <c r="I1768" s="2"/>
      <c r="J1768" s="2" t="s">
        <v>42</v>
      </c>
      <c r="K1768" s="2"/>
      <c r="L1768" s="2" t="s">
        <v>4731</v>
      </c>
    </row>
    <row r="1769" customFormat="false" ht="11.9" hidden="false" customHeight="true" outlineLevel="0" collapsed="false">
      <c r="A1769" s="2" t="str">
        <f aca="false">HYPERLINK("https://www.fabsurplus.com/sdi_catalog/salesItemDetails.do?id=110279")</f>
        <v>https://www.fabsurplus.com/sdi_catalog/salesItemDetails.do?id=110279</v>
      </c>
      <c r="B1769" s="2" t="s">
        <v>4733</v>
      </c>
      <c r="C1769" s="2" t="s">
        <v>4399</v>
      </c>
      <c r="D1769" s="2" t="s">
        <v>4734</v>
      </c>
      <c r="E1769" s="2" t="s">
        <v>40</v>
      </c>
      <c r="F1769" s="2" t="s">
        <v>16</v>
      </c>
      <c r="G1769" s="2" t="s">
        <v>41</v>
      </c>
      <c r="H1769" s="2"/>
      <c r="I1769" s="2"/>
      <c r="J1769" s="2" t="s">
        <v>42</v>
      </c>
      <c r="K1769" s="2"/>
      <c r="L1769" s="2" t="s">
        <v>4735</v>
      </c>
    </row>
    <row r="1770" customFormat="false" ht="11.9" hidden="false" customHeight="true" outlineLevel="0" collapsed="false">
      <c r="A1770" s="3" t="str">
        <f aca="false">HYPERLINK("https://www.fabsurplus.com/sdi_catalog/salesItemDetails.do?id=110278")</f>
        <v>https://www.fabsurplus.com/sdi_catalog/salesItemDetails.do?id=110278</v>
      </c>
      <c r="B1770" s="3" t="s">
        <v>4736</v>
      </c>
      <c r="C1770" s="3" t="s">
        <v>4399</v>
      </c>
      <c r="D1770" s="3" t="s">
        <v>4734</v>
      </c>
      <c r="E1770" s="3" t="s">
        <v>40</v>
      </c>
      <c r="F1770" s="3" t="s">
        <v>16</v>
      </c>
      <c r="G1770" s="3" t="s">
        <v>41</v>
      </c>
      <c r="H1770" s="3"/>
      <c r="I1770" s="3"/>
      <c r="J1770" s="3" t="s">
        <v>42</v>
      </c>
      <c r="K1770" s="3"/>
      <c r="L1770" s="3" t="s">
        <v>4735</v>
      </c>
    </row>
    <row r="1771" customFormat="false" ht="11.9" hidden="false" customHeight="true" outlineLevel="0" collapsed="false">
      <c r="A1771" s="2" t="str">
        <f aca="false">HYPERLINK("https://www.fabsurplus.com/sdi_catalog/salesItemDetails.do?id=110277")</f>
        <v>https://www.fabsurplus.com/sdi_catalog/salesItemDetails.do?id=110277</v>
      </c>
      <c r="B1771" s="2" t="s">
        <v>4737</v>
      </c>
      <c r="C1771" s="2" t="s">
        <v>4399</v>
      </c>
      <c r="D1771" s="2" t="s">
        <v>4734</v>
      </c>
      <c r="E1771" s="2" t="s">
        <v>40</v>
      </c>
      <c r="F1771" s="2" t="s">
        <v>16</v>
      </c>
      <c r="G1771" s="2" t="s">
        <v>41</v>
      </c>
      <c r="H1771" s="2"/>
      <c r="I1771" s="2"/>
      <c r="J1771" s="2" t="s">
        <v>42</v>
      </c>
      <c r="K1771" s="2"/>
      <c r="L1771" s="2" t="s">
        <v>4735</v>
      </c>
    </row>
    <row r="1772" customFormat="false" ht="11.9" hidden="false" customHeight="true" outlineLevel="0" collapsed="false">
      <c r="A1772" s="2" t="str">
        <f aca="false">HYPERLINK("https://www.fabsurplus.com/sdi_catalog/salesItemDetails.do?id=110276")</f>
        <v>https://www.fabsurplus.com/sdi_catalog/salesItemDetails.do?id=110276</v>
      </c>
      <c r="B1772" s="2" t="s">
        <v>4738</v>
      </c>
      <c r="C1772" s="2" t="s">
        <v>4399</v>
      </c>
      <c r="D1772" s="2" t="s">
        <v>4734</v>
      </c>
      <c r="E1772" s="2" t="s">
        <v>40</v>
      </c>
      <c r="F1772" s="2" t="s">
        <v>16</v>
      </c>
      <c r="G1772" s="2" t="s">
        <v>41</v>
      </c>
      <c r="H1772" s="2"/>
      <c r="I1772" s="2"/>
      <c r="J1772" s="2" t="s">
        <v>42</v>
      </c>
      <c r="K1772" s="2"/>
      <c r="L1772" s="2" t="s">
        <v>4735</v>
      </c>
    </row>
    <row r="1773" customFormat="false" ht="11.9" hidden="false" customHeight="true" outlineLevel="0" collapsed="false">
      <c r="A1773" s="3" t="str">
        <f aca="false">HYPERLINK("https://www.fabsurplus.com/sdi_catalog/salesItemDetails.do?id=110275")</f>
        <v>https://www.fabsurplus.com/sdi_catalog/salesItemDetails.do?id=110275</v>
      </c>
      <c r="B1773" s="3" t="s">
        <v>4739</v>
      </c>
      <c r="C1773" s="3" t="s">
        <v>4399</v>
      </c>
      <c r="D1773" s="3" t="s">
        <v>4734</v>
      </c>
      <c r="E1773" s="3" t="s">
        <v>40</v>
      </c>
      <c r="F1773" s="3" t="s">
        <v>16</v>
      </c>
      <c r="G1773" s="3" t="s">
        <v>41</v>
      </c>
      <c r="H1773" s="3"/>
      <c r="I1773" s="3"/>
      <c r="J1773" s="3" t="s">
        <v>42</v>
      </c>
      <c r="K1773" s="3"/>
      <c r="L1773" s="3" t="s">
        <v>4735</v>
      </c>
    </row>
    <row r="1774" customFormat="false" ht="11.9" hidden="false" customHeight="true" outlineLevel="0" collapsed="false">
      <c r="A1774" s="2" t="str">
        <f aca="false">HYPERLINK("https://www.fabsurplus.com/sdi_catalog/salesItemDetails.do?id=110274")</f>
        <v>https://www.fabsurplus.com/sdi_catalog/salesItemDetails.do?id=110274</v>
      </c>
      <c r="B1774" s="2" t="s">
        <v>4740</v>
      </c>
      <c r="C1774" s="2" t="s">
        <v>4399</v>
      </c>
      <c r="D1774" s="2" t="s">
        <v>4734</v>
      </c>
      <c r="E1774" s="2" t="s">
        <v>40</v>
      </c>
      <c r="F1774" s="2" t="s">
        <v>16</v>
      </c>
      <c r="G1774" s="2" t="s">
        <v>41</v>
      </c>
      <c r="H1774" s="2"/>
      <c r="I1774" s="2"/>
      <c r="J1774" s="2" t="s">
        <v>42</v>
      </c>
      <c r="K1774" s="2"/>
      <c r="L1774" s="2" t="s">
        <v>4741</v>
      </c>
    </row>
    <row r="1775" customFormat="false" ht="11.9" hidden="false" customHeight="true" outlineLevel="0" collapsed="false">
      <c r="A1775" s="2" t="str">
        <f aca="false">HYPERLINK("https://www.fabsurplus.com/sdi_catalog/salesItemDetails.do?id=110273")</f>
        <v>https://www.fabsurplus.com/sdi_catalog/salesItemDetails.do?id=110273</v>
      </c>
      <c r="B1775" s="2" t="s">
        <v>4742</v>
      </c>
      <c r="C1775" s="2" t="s">
        <v>4399</v>
      </c>
      <c r="D1775" s="2" t="s">
        <v>4734</v>
      </c>
      <c r="E1775" s="2" t="s">
        <v>40</v>
      </c>
      <c r="F1775" s="2" t="s">
        <v>16</v>
      </c>
      <c r="G1775" s="2" t="s">
        <v>41</v>
      </c>
      <c r="H1775" s="2"/>
      <c r="I1775" s="2"/>
      <c r="J1775" s="2" t="s">
        <v>42</v>
      </c>
      <c r="K1775" s="2"/>
      <c r="L1775" s="2" t="s">
        <v>4741</v>
      </c>
    </row>
    <row r="1776" customFormat="false" ht="11.9" hidden="false" customHeight="true" outlineLevel="0" collapsed="false">
      <c r="A1776" s="2" t="str">
        <f aca="false">HYPERLINK("https://www.fabsurplus.com/sdi_catalog/salesItemDetails.do?id=110272")</f>
        <v>https://www.fabsurplus.com/sdi_catalog/salesItemDetails.do?id=110272</v>
      </c>
      <c r="B1776" s="2" t="s">
        <v>4743</v>
      </c>
      <c r="C1776" s="2" t="s">
        <v>4399</v>
      </c>
      <c r="D1776" s="2" t="s">
        <v>4734</v>
      </c>
      <c r="E1776" s="2" t="s">
        <v>40</v>
      </c>
      <c r="F1776" s="2" t="s">
        <v>16</v>
      </c>
      <c r="G1776" s="2" t="s">
        <v>41</v>
      </c>
      <c r="H1776" s="2"/>
      <c r="I1776" s="2"/>
      <c r="J1776" s="2" t="s">
        <v>42</v>
      </c>
      <c r="K1776" s="2"/>
      <c r="L1776" s="2" t="s">
        <v>4741</v>
      </c>
    </row>
    <row r="1777" customFormat="false" ht="11.9" hidden="false" customHeight="true" outlineLevel="0" collapsed="false">
      <c r="A1777" s="2" t="str">
        <f aca="false">HYPERLINK("https://www.fabsurplus.com/sdi_catalog/salesItemDetails.do?id=110271")</f>
        <v>https://www.fabsurplus.com/sdi_catalog/salesItemDetails.do?id=110271</v>
      </c>
      <c r="B1777" s="2" t="s">
        <v>4744</v>
      </c>
      <c r="C1777" s="2" t="s">
        <v>4399</v>
      </c>
      <c r="D1777" s="2" t="s">
        <v>4734</v>
      </c>
      <c r="E1777" s="2" t="s">
        <v>40</v>
      </c>
      <c r="F1777" s="2" t="s">
        <v>16</v>
      </c>
      <c r="G1777" s="2" t="s">
        <v>41</v>
      </c>
      <c r="H1777" s="2"/>
      <c r="I1777" s="2"/>
      <c r="J1777" s="2" t="s">
        <v>42</v>
      </c>
      <c r="K1777" s="2"/>
      <c r="L1777" s="2" t="s">
        <v>4741</v>
      </c>
    </row>
    <row r="1778" customFormat="false" ht="11.9" hidden="false" customHeight="true" outlineLevel="0" collapsed="false">
      <c r="A1778" s="2" t="str">
        <f aca="false">HYPERLINK("https://www.fabsurplus.com/sdi_catalog/salesItemDetails.do?id=110270")</f>
        <v>https://www.fabsurplus.com/sdi_catalog/salesItemDetails.do?id=110270</v>
      </c>
      <c r="B1778" s="2" t="s">
        <v>4745</v>
      </c>
      <c r="C1778" s="2" t="s">
        <v>4399</v>
      </c>
      <c r="D1778" s="2" t="s">
        <v>4734</v>
      </c>
      <c r="E1778" s="2" t="s">
        <v>40</v>
      </c>
      <c r="F1778" s="2" t="s">
        <v>16</v>
      </c>
      <c r="G1778" s="2" t="s">
        <v>41</v>
      </c>
      <c r="H1778" s="2"/>
      <c r="I1778" s="2"/>
      <c r="J1778" s="2" t="s">
        <v>42</v>
      </c>
      <c r="K1778" s="2"/>
      <c r="L1778" s="2" t="s">
        <v>4741</v>
      </c>
    </row>
    <row r="1779" customFormat="false" ht="11.9" hidden="false" customHeight="true" outlineLevel="0" collapsed="false">
      <c r="A1779" s="3" t="str">
        <f aca="false">HYPERLINK("https://www.fabsurplus.com/sdi_catalog/salesItemDetails.do?id=110269")</f>
        <v>https://www.fabsurplus.com/sdi_catalog/salesItemDetails.do?id=110269</v>
      </c>
      <c r="B1779" s="3" t="s">
        <v>4746</v>
      </c>
      <c r="C1779" s="3" t="s">
        <v>4399</v>
      </c>
      <c r="D1779" s="3" t="s">
        <v>4734</v>
      </c>
      <c r="E1779" s="3" t="s">
        <v>40</v>
      </c>
      <c r="F1779" s="3" t="s">
        <v>16</v>
      </c>
      <c r="G1779" s="3" t="s">
        <v>41</v>
      </c>
      <c r="H1779" s="3"/>
      <c r="I1779" s="3"/>
      <c r="J1779" s="3" t="s">
        <v>42</v>
      </c>
      <c r="K1779" s="3"/>
      <c r="L1779" s="3" t="s">
        <v>4741</v>
      </c>
    </row>
    <row r="1780" customFormat="false" ht="11.9" hidden="false" customHeight="true" outlineLevel="0" collapsed="false">
      <c r="A1780" s="2" t="str">
        <f aca="false">HYPERLINK("https://www.fabsurplus.com/sdi_catalog/salesItemDetails.do?id=110268")</f>
        <v>https://www.fabsurplus.com/sdi_catalog/salesItemDetails.do?id=110268</v>
      </c>
      <c r="B1780" s="2" t="s">
        <v>4747</v>
      </c>
      <c r="C1780" s="2" t="s">
        <v>4399</v>
      </c>
      <c r="D1780" s="2" t="s">
        <v>4734</v>
      </c>
      <c r="E1780" s="2" t="s">
        <v>40</v>
      </c>
      <c r="F1780" s="2" t="s">
        <v>16</v>
      </c>
      <c r="G1780" s="2" t="s">
        <v>41</v>
      </c>
      <c r="H1780" s="2"/>
      <c r="I1780" s="2"/>
      <c r="J1780" s="2" t="s">
        <v>42</v>
      </c>
      <c r="K1780" s="2"/>
      <c r="L1780" s="2" t="s">
        <v>4741</v>
      </c>
    </row>
    <row r="1781" customFormat="false" ht="11.9" hidden="false" customHeight="true" outlineLevel="0" collapsed="false">
      <c r="A1781" s="3" t="str">
        <f aca="false">HYPERLINK("https://www.fabsurplus.com/sdi_catalog/salesItemDetails.do?id=110267")</f>
        <v>https://www.fabsurplus.com/sdi_catalog/salesItemDetails.do?id=110267</v>
      </c>
      <c r="B1781" s="3" t="s">
        <v>4748</v>
      </c>
      <c r="C1781" s="3" t="s">
        <v>4399</v>
      </c>
      <c r="D1781" s="3" t="s">
        <v>4734</v>
      </c>
      <c r="E1781" s="3" t="s">
        <v>40</v>
      </c>
      <c r="F1781" s="3" t="s">
        <v>16</v>
      </c>
      <c r="G1781" s="3" t="s">
        <v>41</v>
      </c>
      <c r="H1781" s="3"/>
      <c r="I1781" s="3"/>
      <c r="J1781" s="3" t="s">
        <v>42</v>
      </c>
      <c r="K1781" s="3"/>
      <c r="L1781" s="3" t="s">
        <v>4741</v>
      </c>
    </row>
    <row r="1782" customFormat="false" ht="11.9" hidden="false" customHeight="true" outlineLevel="0" collapsed="false">
      <c r="A1782" s="2" t="str">
        <f aca="false">HYPERLINK("https://www.fabsurplus.com/sdi_catalog/salesItemDetails.do?id=110266")</f>
        <v>https://www.fabsurplus.com/sdi_catalog/salesItemDetails.do?id=110266</v>
      </c>
      <c r="B1782" s="2" t="s">
        <v>4749</v>
      </c>
      <c r="C1782" s="2" t="s">
        <v>4399</v>
      </c>
      <c r="D1782" s="2" t="s">
        <v>4734</v>
      </c>
      <c r="E1782" s="2" t="s">
        <v>40</v>
      </c>
      <c r="F1782" s="2" t="s">
        <v>16</v>
      </c>
      <c r="G1782" s="2" t="s">
        <v>41</v>
      </c>
      <c r="H1782" s="2"/>
      <c r="I1782" s="2"/>
      <c r="J1782" s="2" t="s">
        <v>42</v>
      </c>
      <c r="K1782" s="2"/>
      <c r="L1782" s="6" t="s">
        <v>4750</v>
      </c>
    </row>
    <row r="1783" customFormat="false" ht="11.9" hidden="false" customHeight="true" outlineLevel="0" collapsed="false">
      <c r="A1783" s="3" t="str">
        <f aca="false">HYPERLINK("https://www.fabsurplus.com/sdi_catalog/salesItemDetails.do?id=110280")</f>
        <v>https://www.fabsurplus.com/sdi_catalog/salesItemDetails.do?id=110280</v>
      </c>
      <c r="B1783" s="3" t="s">
        <v>4751</v>
      </c>
      <c r="C1783" s="3" t="s">
        <v>4399</v>
      </c>
      <c r="D1783" s="3" t="s">
        <v>4752</v>
      </c>
      <c r="E1783" s="3" t="s">
        <v>133</v>
      </c>
      <c r="F1783" s="3" t="s">
        <v>16</v>
      </c>
      <c r="G1783" s="3" t="s">
        <v>41</v>
      </c>
      <c r="H1783" s="3"/>
      <c r="I1783" s="3"/>
      <c r="J1783" s="3" t="s">
        <v>42</v>
      </c>
      <c r="K1783" s="3"/>
      <c r="L1783" s="3" t="s">
        <v>349</v>
      </c>
    </row>
    <row r="1784" customFormat="false" ht="11.9" hidden="false" customHeight="true" outlineLevel="0" collapsed="false">
      <c r="A1784" s="2" t="str">
        <f aca="false">HYPERLINK("https://www.fabsurplus.com/sdi_catalog/salesItemDetails.do?id=110281")</f>
        <v>https://www.fabsurplus.com/sdi_catalog/salesItemDetails.do?id=110281</v>
      </c>
      <c r="B1784" s="2" t="s">
        <v>4753</v>
      </c>
      <c r="C1784" s="2" t="s">
        <v>4399</v>
      </c>
      <c r="D1784" s="2" t="s">
        <v>4754</v>
      </c>
      <c r="E1784" s="2" t="s">
        <v>40</v>
      </c>
      <c r="F1784" s="2" t="s">
        <v>16</v>
      </c>
      <c r="G1784" s="2" t="s">
        <v>41</v>
      </c>
      <c r="H1784" s="2"/>
      <c r="I1784" s="2"/>
      <c r="J1784" s="2" t="s">
        <v>42</v>
      </c>
      <c r="K1784" s="2"/>
      <c r="L1784" s="2" t="s">
        <v>4755</v>
      </c>
    </row>
    <row r="1785" customFormat="false" ht="11.9" hidden="false" customHeight="true" outlineLevel="0" collapsed="false">
      <c r="A1785" s="3" t="str">
        <f aca="false">HYPERLINK("https://www.fabsurplus.com/sdi_catalog/salesItemDetails.do?id=110287")</f>
        <v>https://www.fabsurplus.com/sdi_catalog/salesItemDetails.do?id=110287</v>
      </c>
      <c r="B1785" s="3" t="s">
        <v>4756</v>
      </c>
      <c r="C1785" s="3" t="s">
        <v>4399</v>
      </c>
      <c r="D1785" s="3" t="s">
        <v>4757</v>
      </c>
      <c r="E1785" s="3" t="s">
        <v>40</v>
      </c>
      <c r="F1785" s="3" t="s">
        <v>16</v>
      </c>
      <c r="G1785" s="3" t="s">
        <v>41</v>
      </c>
      <c r="H1785" s="3"/>
      <c r="I1785" s="3"/>
      <c r="J1785" s="3" t="s">
        <v>42</v>
      </c>
      <c r="K1785" s="3"/>
      <c r="L1785" s="3" t="s">
        <v>4758</v>
      </c>
    </row>
    <row r="1786" customFormat="false" ht="11.9" hidden="false" customHeight="true" outlineLevel="0" collapsed="false">
      <c r="A1786" s="2" t="str">
        <f aca="false">HYPERLINK("https://www.fabsurplus.com/sdi_catalog/salesItemDetails.do?id=110286")</f>
        <v>https://www.fabsurplus.com/sdi_catalog/salesItemDetails.do?id=110286</v>
      </c>
      <c r="B1786" s="2" t="s">
        <v>4759</v>
      </c>
      <c r="C1786" s="2" t="s">
        <v>4399</v>
      </c>
      <c r="D1786" s="2" t="s">
        <v>4757</v>
      </c>
      <c r="E1786" s="2" t="s">
        <v>40</v>
      </c>
      <c r="F1786" s="2" t="s">
        <v>16</v>
      </c>
      <c r="G1786" s="2" t="s">
        <v>41</v>
      </c>
      <c r="H1786" s="2"/>
      <c r="I1786" s="2"/>
      <c r="J1786" s="2" t="s">
        <v>42</v>
      </c>
      <c r="K1786" s="2"/>
      <c r="L1786" s="2" t="s">
        <v>4758</v>
      </c>
    </row>
    <row r="1787" customFormat="false" ht="11.9" hidden="false" customHeight="true" outlineLevel="0" collapsed="false">
      <c r="A1787" s="3" t="str">
        <f aca="false">HYPERLINK("https://www.fabsurplus.com/sdi_catalog/salesItemDetails.do?id=110285")</f>
        <v>https://www.fabsurplus.com/sdi_catalog/salesItemDetails.do?id=110285</v>
      </c>
      <c r="B1787" s="3" t="s">
        <v>4760</v>
      </c>
      <c r="C1787" s="3" t="s">
        <v>4399</v>
      </c>
      <c r="D1787" s="3" t="s">
        <v>4757</v>
      </c>
      <c r="E1787" s="3" t="s">
        <v>40</v>
      </c>
      <c r="F1787" s="3" t="s">
        <v>16</v>
      </c>
      <c r="G1787" s="3" t="s">
        <v>41</v>
      </c>
      <c r="H1787" s="3"/>
      <c r="I1787" s="3"/>
      <c r="J1787" s="3" t="s">
        <v>42</v>
      </c>
      <c r="K1787" s="3"/>
      <c r="L1787" s="3" t="s">
        <v>4758</v>
      </c>
    </row>
    <row r="1788" customFormat="false" ht="11.9" hidden="false" customHeight="true" outlineLevel="0" collapsed="false">
      <c r="A1788" s="2" t="str">
        <f aca="false">HYPERLINK("https://www.fabsurplus.com/sdi_catalog/salesItemDetails.do?id=110284")</f>
        <v>https://www.fabsurplus.com/sdi_catalog/salesItemDetails.do?id=110284</v>
      </c>
      <c r="B1788" s="2" t="s">
        <v>4761</v>
      </c>
      <c r="C1788" s="2" t="s">
        <v>4399</v>
      </c>
      <c r="D1788" s="2" t="s">
        <v>4757</v>
      </c>
      <c r="E1788" s="2" t="s">
        <v>40</v>
      </c>
      <c r="F1788" s="2" t="s">
        <v>16</v>
      </c>
      <c r="G1788" s="2" t="s">
        <v>41</v>
      </c>
      <c r="H1788" s="2"/>
      <c r="I1788" s="2"/>
      <c r="J1788" s="2" t="s">
        <v>42</v>
      </c>
      <c r="K1788" s="2"/>
      <c r="L1788" s="2" t="s">
        <v>4758</v>
      </c>
    </row>
    <row r="1789" customFormat="false" ht="11.9" hidden="false" customHeight="true" outlineLevel="0" collapsed="false">
      <c r="A1789" s="3" t="str">
        <f aca="false">HYPERLINK("https://www.fabsurplus.com/sdi_catalog/salesItemDetails.do?id=110283")</f>
        <v>https://www.fabsurplus.com/sdi_catalog/salesItemDetails.do?id=110283</v>
      </c>
      <c r="B1789" s="3" t="s">
        <v>4762</v>
      </c>
      <c r="C1789" s="3" t="s">
        <v>4399</v>
      </c>
      <c r="D1789" s="3" t="s">
        <v>4757</v>
      </c>
      <c r="E1789" s="3" t="s">
        <v>40</v>
      </c>
      <c r="F1789" s="3" t="s">
        <v>16</v>
      </c>
      <c r="G1789" s="3" t="s">
        <v>41</v>
      </c>
      <c r="H1789" s="3"/>
      <c r="I1789" s="3"/>
      <c r="J1789" s="3" t="s">
        <v>42</v>
      </c>
      <c r="K1789" s="3"/>
      <c r="L1789" s="3" t="s">
        <v>4758</v>
      </c>
    </row>
    <row r="1790" customFormat="false" ht="11.9" hidden="false" customHeight="true" outlineLevel="0" collapsed="false">
      <c r="A1790" s="2" t="str">
        <f aca="false">HYPERLINK("https://www.fabsurplus.com/sdi_catalog/salesItemDetails.do?id=110282")</f>
        <v>https://www.fabsurplus.com/sdi_catalog/salesItemDetails.do?id=110282</v>
      </c>
      <c r="B1790" s="2" t="s">
        <v>4763</v>
      </c>
      <c r="C1790" s="2" t="s">
        <v>4399</v>
      </c>
      <c r="D1790" s="2" t="s">
        <v>4757</v>
      </c>
      <c r="E1790" s="2" t="s">
        <v>40</v>
      </c>
      <c r="F1790" s="2" t="s">
        <v>16</v>
      </c>
      <c r="G1790" s="2" t="s">
        <v>41</v>
      </c>
      <c r="H1790" s="2"/>
      <c r="I1790" s="2"/>
      <c r="J1790" s="2" t="s">
        <v>42</v>
      </c>
      <c r="K1790" s="2"/>
      <c r="L1790" s="2" t="s">
        <v>4758</v>
      </c>
    </row>
    <row r="1791" customFormat="false" ht="11.9" hidden="false" customHeight="true" outlineLevel="0" collapsed="false">
      <c r="A1791" s="3" t="str">
        <f aca="false">HYPERLINK("https://www.fabsurplus.com/sdi_catalog/salesItemDetails.do?id=110295")</f>
        <v>https://www.fabsurplus.com/sdi_catalog/salesItemDetails.do?id=110295</v>
      </c>
      <c r="B1791" s="3" t="s">
        <v>4764</v>
      </c>
      <c r="C1791" s="3" t="s">
        <v>4399</v>
      </c>
      <c r="D1791" s="3" t="s">
        <v>4765</v>
      </c>
      <c r="E1791" s="3" t="s">
        <v>40</v>
      </c>
      <c r="F1791" s="3" t="s">
        <v>16</v>
      </c>
      <c r="G1791" s="3" t="s">
        <v>41</v>
      </c>
      <c r="H1791" s="3"/>
      <c r="I1791" s="3"/>
      <c r="J1791" s="3" t="s">
        <v>42</v>
      </c>
      <c r="K1791" s="3"/>
      <c r="L1791" s="3" t="s">
        <v>4766</v>
      </c>
    </row>
    <row r="1792" customFormat="false" ht="11.9" hidden="false" customHeight="true" outlineLevel="0" collapsed="false">
      <c r="A1792" s="2" t="str">
        <f aca="false">HYPERLINK("https://www.fabsurplus.com/sdi_catalog/salesItemDetails.do?id=110294")</f>
        <v>https://www.fabsurplus.com/sdi_catalog/salesItemDetails.do?id=110294</v>
      </c>
      <c r="B1792" s="2" t="s">
        <v>4767</v>
      </c>
      <c r="C1792" s="2" t="s">
        <v>4399</v>
      </c>
      <c r="D1792" s="2" t="s">
        <v>4765</v>
      </c>
      <c r="E1792" s="2" t="s">
        <v>40</v>
      </c>
      <c r="F1792" s="2" t="s">
        <v>16</v>
      </c>
      <c r="G1792" s="2" t="s">
        <v>41</v>
      </c>
      <c r="H1792" s="2"/>
      <c r="I1792" s="2"/>
      <c r="J1792" s="2" t="s">
        <v>42</v>
      </c>
      <c r="K1792" s="2"/>
      <c r="L1792" s="2" t="s">
        <v>4768</v>
      </c>
    </row>
    <row r="1793" customFormat="false" ht="11.9" hidden="false" customHeight="true" outlineLevel="0" collapsed="false">
      <c r="A1793" s="3" t="str">
        <f aca="false">HYPERLINK("https://www.fabsurplus.com/sdi_catalog/salesItemDetails.do?id=110293")</f>
        <v>https://www.fabsurplus.com/sdi_catalog/salesItemDetails.do?id=110293</v>
      </c>
      <c r="B1793" s="3" t="s">
        <v>4769</v>
      </c>
      <c r="C1793" s="3" t="s">
        <v>4399</v>
      </c>
      <c r="D1793" s="3" t="s">
        <v>4765</v>
      </c>
      <c r="E1793" s="3" t="s">
        <v>40</v>
      </c>
      <c r="F1793" s="3" t="s">
        <v>16</v>
      </c>
      <c r="G1793" s="3" t="s">
        <v>41</v>
      </c>
      <c r="H1793" s="3"/>
      <c r="I1793" s="3"/>
      <c r="J1793" s="3" t="s">
        <v>42</v>
      </c>
      <c r="K1793" s="3"/>
      <c r="L1793" s="3" t="s">
        <v>4768</v>
      </c>
    </row>
    <row r="1794" customFormat="false" ht="11.9" hidden="false" customHeight="true" outlineLevel="0" collapsed="false">
      <c r="A1794" s="2" t="str">
        <f aca="false">HYPERLINK("https://www.fabsurplus.com/sdi_catalog/salesItemDetails.do?id=110292")</f>
        <v>https://www.fabsurplus.com/sdi_catalog/salesItemDetails.do?id=110292</v>
      </c>
      <c r="B1794" s="2" t="s">
        <v>4770</v>
      </c>
      <c r="C1794" s="2" t="s">
        <v>4399</v>
      </c>
      <c r="D1794" s="2" t="s">
        <v>4765</v>
      </c>
      <c r="E1794" s="2" t="s">
        <v>40</v>
      </c>
      <c r="F1794" s="2" t="s">
        <v>16</v>
      </c>
      <c r="G1794" s="2" t="s">
        <v>41</v>
      </c>
      <c r="H1794" s="2"/>
      <c r="I1794" s="2"/>
      <c r="J1794" s="2" t="s">
        <v>42</v>
      </c>
      <c r="K1794" s="2"/>
      <c r="L1794" s="2" t="s">
        <v>4768</v>
      </c>
    </row>
    <row r="1795" customFormat="false" ht="11.9" hidden="false" customHeight="true" outlineLevel="0" collapsed="false">
      <c r="A1795" s="3" t="str">
        <f aca="false">HYPERLINK("https://www.fabsurplus.com/sdi_catalog/salesItemDetails.do?id=110291")</f>
        <v>https://www.fabsurplus.com/sdi_catalog/salesItemDetails.do?id=110291</v>
      </c>
      <c r="B1795" s="3" t="s">
        <v>4771</v>
      </c>
      <c r="C1795" s="3" t="s">
        <v>4399</v>
      </c>
      <c r="D1795" s="3" t="s">
        <v>4765</v>
      </c>
      <c r="E1795" s="3" t="s">
        <v>40</v>
      </c>
      <c r="F1795" s="3" t="s">
        <v>16</v>
      </c>
      <c r="G1795" s="3" t="s">
        <v>41</v>
      </c>
      <c r="H1795" s="3"/>
      <c r="I1795" s="3"/>
      <c r="J1795" s="3" t="s">
        <v>42</v>
      </c>
      <c r="K1795" s="3"/>
      <c r="L1795" s="3" t="s">
        <v>4768</v>
      </c>
    </row>
    <row r="1796" customFormat="false" ht="11.9" hidden="false" customHeight="true" outlineLevel="0" collapsed="false">
      <c r="A1796" s="2" t="str">
        <f aca="false">HYPERLINK("https://www.fabsurplus.com/sdi_catalog/salesItemDetails.do?id=110290")</f>
        <v>https://www.fabsurplus.com/sdi_catalog/salesItemDetails.do?id=110290</v>
      </c>
      <c r="B1796" s="2" t="s">
        <v>4772</v>
      </c>
      <c r="C1796" s="2" t="s">
        <v>4399</v>
      </c>
      <c r="D1796" s="2" t="s">
        <v>4765</v>
      </c>
      <c r="E1796" s="2" t="s">
        <v>40</v>
      </c>
      <c r="F1796" s="2" t="s">
        <v>16</v>
      </c>
      <c r="G1796" s="2" t="s">
        <v>41</v>
      </c>
      <c r="H1796" s="2"/>
      <c r="I1796" s="2"/>
      <c r="J1796" s="2" t="s">
        <v>42</v>
      </c>
      <c r="K1796" s="2"/>
      <c r="L1796" s="2" t="s">
        <v>4768</v>
      </c>
    </row>
    <row r="1797" customFormat="false" ht="11.9" hidden="false" customHeight="true" outlineLevel="0" collapsed="false">
      <c r="A1797" s="3" t="str">
        <f aca="false">HYPERLINK("https://www.fabsurplus.com/sdi_catalog/salesItemDetails.do?id=110289")</f>
        <v>https://www.fabsurplus.com/sdi_catalog/salesItemDetails.do?id=110289</v>
      </c>
      <c r="B1797" s="3" t="s">
        <v>4773</v>
      </c>
      <c r="C1797" s="3" t="s">
        <v>4399</v>
      </c>
      <c r="D1797" s="3" t="s">
        <v>4765</v>
      </c>
      <c r="E1797" s="3" t="s">
        <v>40</v>
      </c>
      <c r="F1797" s="3" t="s">
        <v>16</v>
      </c>
      <c r="G1797" s="3" t="s">
        <v>41</v>
      </c>
      <c r="H1797" s="3"/>
      <c r="I1797" s="3"/>
      <c r="J1797" s="3" t="s">
        <v>42</v>
      </c>
      <c r="K1797" s="3"/>
      <c r="L1797" s="3" t="s">
        <v>4768</v>
      </c>
    </row>
    <row r="1798" customFormat="false" ht="11.9" hidden="false" customHeight="true" outlineLevel="0" collapsed="false">
      <c r="A1798" s="2" t="str">
        <f aca="false">HYPERLINK("https://www.fabsurplus.com/sdi_catalog/salesItemDetails.do?id=110288")</f>
        <v>https://www.fabsurplus.com/sdi_catalog/salesItemDetails.do?id=110288</v>
      </c>
      <c r="B1798" s="2" t="s">
        <v>4774</v>
      </c>
      <c r="C1798" s="2" t="s">
        <v>4399</v>
      </c>
      <c r="D1798" s="2" t="s">
        <v>4765</v>
      </c>
      <c r="E1798" s="2" t="s">
        <v>40</v>
      </c>
      <c r="F1798" s="2" t="s">
        <v>16</v>
      </c>
      <c r="G1798" s="2" t="s">
        <v>41</v>
      </c>
      <c r="H1798" s="2"/>
      <c r="I1798" s="2"/>
      <c r="J1798" s="2" t="s">
        <v>42</v>
      </c>
      <c r="K1798" s="2"/>
      <c r="L1798" s="2" t="s">
        <v>4768</v>
      </c>
    </row>
    <row r="1799" customFormat="false" ht="11.9" hidden="false" customHeight="true" outlineLevel="0" collapsed="false">
      <c r="A1799" s="2" t="str">
        <f aca="false">HYPERLINK("https://www.fabsurplus.com/sdi_catalog/salesItemDetails.do?id=110296")</f>
        <v>https://www.fabsurplus.com/sdi_catalog/salesItemDetails.do?id=110296</v>
      </c>
      <c r="B1799" s="2" t="s">
        <v>4775</v>
      </c>
      <c r="C1799" s="2" t="s">
        <v>4399</v>
      </c>
      <c r="D1799" s="2" t="s">
        <v>4776</v>
      </c>
      <c r="E1799" s="2" t="s">
        <v>47</v>
      </c>
      <c r="F1799" s="2" t="s">
        <v>16</v>
      </c>
      <c r="G1799" s="2" t="s">
        <v>41</v>
      </c>
      <c r="H1799" s="2"/>
      <c r="I1799" s="2"/>
      <c r="J1799" s="2" t="s">
        <v>42</v>
      </c>
      <c r="K1799" s="2"/>
      <c r="L1799" s="2" t="s">
        <v>4777</v>
      </c>
    </row>
    <row r="1800" customFormat="false" ht="11.9" hidden="false" customHeight="true" outlineLevel="0" collapsed="false">
      <c r="A1800" s="3" t="str">
        <f aca="false">HYPERLINK("https://www.fabsurplus.com/sdi_catalog/salesItemDetails.do?id=110297")</f>
        <v>https://www.fabsurplus.com/sdi_catalog/salesItemDetails.do?id=110297</v>
      </c>
      <c r="B1800" s="3" t="s">
        <v>4778</v>
      </c>
      <c r="C1800" s="3" t="s">
        <v>4399</v>
      </c>
      <c r="D1800" s="3" t="s">
        <v>4779</v>
      </c>
      <c r="E1800" s="3" t="s">
        <v>40</v>
      </c>
      <c r="F1800" s="3" t="s">
        <v>16</v>
      </c>
      <c r="G1800" s="3" t="s">
        <v>41</v>
      </c>
      <c r="H1800" s="3"/>
      <c r="I1800" s="3"/>
      <c r="J1800" s="3" t="s">
        <v>42</v>
      </c>
      <c r="K1800" s="3"/>
      <c r="L1800" s="3" t="s">
        <v>349</v>
      </c>
    </row>
    <row r="1801" customFormat="false" ht="11.9" hidden="false" customHeight="true" outlineLevel="0" collapsed="false">
      <c r="A1801" s="2" t="str">
        <f aca="false">HYPERLINK("https://www.fabsurplus.com/sdi_catalog/salesItemDetails.do?id=110306")</f>
        <v>https://www.fabsurplus.com/sdi_catalog/salesItemDetails.do?id=110306</v>
      </c>
      <c r="B1801" s="2" t="s">
        <v>4780</v>
      </c>
      <c r="C1801" s="2" t="s">
        <v>4399</v>
      </c>
      <c r="D1801" s="2" t="s">
        <v>4781</v>
      </c>
      <c r="E1801" s="2" t="s">
        <v>40</v>
      </c>
      <c r="F1801" s="2" t="s">
        <v>16</v>
      </c>
      <c r="G1801" s="2" t="s">
        <v>41</v>
      </c>
      <c r="H1801" s="2"/>
      <c r="I1801" s="2"/>
      <c r="J1801" s="2" t="s">
        <v>42</v>
      </c>
      <c r="K1801" s="2"/>
      <c r="L1801" s="2" t="s">
        <v>4782</v>
      </c>
    </row>
    <row r="1802" customFormat="false" ht="11.9" hidden="false" customHeight="true" outlineLevel="0" collapsed="false">
      <c r="A1802" s="3" t="str">
        <f aca="false">HYPERLINK("https://www.fabsurplus.com/sdi_catalog/salesItemDetails.do?id=110305")</f>
        <v>https://www.fabsurplus.com/sdi_catalog/salesItemDetails.do?id=110305</v>
      </c>
      <c r="B1802" s="3" t="s">
        <v>4783</v>
      </c>
      <c r="C1802" s="3" t="s">
        <v>4399</v>
      </c>
      <c r="D1802" s="3" t="s">
        <v>4781</v>
      </c>
      <c r="E1802" s="3" t="s">
        <v>40</v>
      </c>
      <c r="F1802" s="3" t="s">
        <v>16</v>
      </c>
      <c r="G1802" s="3" t="s">
        <v>41</v>
      </c>
      <c r="H1802" s="3"/>
      <c r="I1802" s="3"/>
      <c r="J1802" s="3" t="s">
        <v>42</v>
      </c>
      <c r="K1802" s="3"/>
      <c r="L1802" s="3" t="s">
        <v>4782</v>
      </c>
    </row>
    <row r="1803" customFormat="false" ht="11.9" hidden="false" customHeight="true" outlineLevel="0" collapsed="false">
      <c r="A1803" s="2" t="str">
        <f aca="false">HYPERLINK("https://www.fabsurplus.com/sdi_catalog/salesItemDetails.do?id=110304")</f>
        <v>https://www.fabsurplus.com/sdi_catalog/salesItemDetails.do?id=110304</v>
      </c>
      <c r="B1803" s="2" t="s">
        <v>4784</v>
      </c>
      <c r="C1803" s="2" t="s">
        <v>4399</v>
      </c>
      <c r="D1803" s="2" t="s">
        <v>4781</v>
      </c>
      <c r="E1803" s="2" t="s">
        <v>40</v>
      </c>
      <c r="F1803" s="2" t="s">
        <v>16</v>
      </c>
      <c r="G1803" s="2" t="s">
        <v>41</v>
      </c>
      <c r="H1803" s="2"/>
      <c r="I1803" s="2"/>
      <c r="J1803" s="2" t="s">
        <v>42</v>
      </c>
      <c r="K1803" s="2"/>
      <c r="L1803" s="2" t="s">
        <v>4782</v>
      </c>
    </row>
    <row r="1804" customFormat="false" ht="11.9" hidden="false" customHeight="true" outlineLevel="0" collapsed="false">
      <c r="A1804" s="3" t="str">
        <f aca="false">HYPERLINK("https://www.fabsurplus.com/sdi_catalog/salesItemDetails.do?id=110303")</f>
        <v>https://www.fabsurplus.com/sdi_catalog/salesItemDetails.do?id=110303</v>
      </c>
      <c r="B1804" s="3" t="s">
        <v>4785</v>
      </c>
      <c r="C1804" s="3" t="s">
        <v>4399</v>
      </c>
      <c r="D1804" s="3" t="s">
        <v>4781</v>
      </c>
      <c r="E1804" s="3" t="s">
        <v>40</v>
      </c>
      <c r="F1804" s="3" t="s">
        <v>16</v>
      </c>
      <c r="G1804" s="3" t="s">
        <v>41</v>
      </c>
      <c r="H1804" s="3"/>
      <c r="I1804" s="3"/>
      <c r="J1804" s="3" t="s">
        <v>42</v>
      </c>
      <c r="K1804" s="3"/>
      <c r="L1804" s="3" t="s">
        <v>4782</v>
      </c>
    </row>
    <row r="1805" customFormat="false" ht="11.9" hidden="false" customHeight="true" outlineLevel="0" collapsed="false">
      <c r="A1805" s="2" t="str">
        <f aca="false">HYPERLINK("https://www.fabsurplus.com/sdi_catalog/salesItemDetails.do?id=110302")</f>
        <v>https://www.fabsurplus.com/sdi_catalog/salesItemDetails.do?id=110302</v>
      </c>
      <c r="B1805" s="2" t="s">
        <v>4786</v>
      </c>
      <c r="C1805" s="2" t="s">
        <v>4399</v>
      </c>
      <c r="D1805" s="2" t="s">
        <v>4781</v>
      </c>
      <c r="E1805" s="2" t="s">
        <v>40</v>
      </c>
      <c r="F1805" s="2" t="s">
        <v>16</v>
      </c>
      <c r="G1805" s="2" t="s">
        <v>41</v>
      </c>
      <c r="H1805" s="2"/>
      <c r="I1805" s="2"/>
      <c r="J1805" s="2" t="s">
        <v>42</v>
      </c>
      <c r="K1805" s="2"/>
      <c r="L1805" s="2" t="s">
        <v>4787</v>
      </c>
    </row>
    <row r="1806" customFormat="false" ht="11.9" hidden="false" customHeight="true" outlineLevel="0" collapsed="false">
      <c r="A1806" s="3" t="str">
        <f aca="false">HYPERLINK("https://www.fabsurplus.com/sdi_catalog/salesItemDetails.do?id=110301")</f>
        <v>https://www.fabsurplus.com/sdi_catalog/salesItemDetails.do?id=110301</v>
      </c>
      <c r="B1806" s="3" t="s">
        <v>4788</v>
      </c>
      <c r="C1806" s="3" t="s">
        <v>4399</v>
      </c>
      <c r="D1806" s="3" t="s">
        <v>4781</v>
      </c>
      <c r="E1806" s="3" t="s">
        <v>40</v>
      </c>
      <c r="F1806" s="3" t="s">
        <v>16</v>
      </c>
      <c r="G1806" s="3" t="s">
        <v>41</v>
      </c>
      <c r="H1806" s="3"/>
      <c r="I1806" s="3"/>
      <c r="J1806" s="3" t="s">
        <v>42</v>
      </c>
      <c r="K1806" s="3"/>
      <c r="L1806" s="3" t="s">
        <v>4787</v>
      </c>
    </row>
    <row r="1807" customFormat="false" ht="11.9" hidden="false" customHeight="true" outlineLevel="0" collapsed="false">
      <c r="A1807" s="2" t="str">
        <f aca="false">HYPERLINK("https://www.fabsurplus.com/sdi_catalog/salesItemDetails.do?id=110300")</f>
        <v>https://www.fabsurplus.com/sdi_catalog/salesItemDetails.do?id=110300</v>
      </c>
      <c r="B1807" s="2" t="s">
        <v>4789</v>
      </c>
      <c r="C1807" s="2" t="s">
        <v>4399</v>
      </c>
      <c r="D1807" s="2" t="s">
        <v>4781</v>
      </c>
      <c r="E1807" s="2" t="s">
        <v>40</v>
      </c>
      <c r="F1807" s="2" t="s">
        <v>16</v>
      </c>
      <c r="G1807" s="2" t="s">
        <v>41</v>
      </c>
      <c r="H1807" s="2"/>
      <c r="I1807" s="2"/>
      <c r="J1807" s="2" t="s">
        <v>42</v>
      </c>
      <c r="K1807" s="2"/>
      <c r="L1807" s="2" t="s">
        <v>4790</v>
      </c>
    </row>
    <row r="1808" customFormat="false" ht="11.9" hidden="false" customHeight="true" outlineLevel="0" collapsed="false">
      <c r="A1808" s="3" t="str">
        <f aca="false">HYPERLINK("https://www.fabsurplus.com/sdi_catalog/salesItemDetails.do?id=110299")</f>
        <v>https://www.fabsurplus.com/sdi_catalog/salesItemDetails.do?id=110299</v>
      </c>
      <c r="B1808" s="3" t="s">
        <v>4791</v>
      </c>
      <c r="C1808" s="3" t="s">
        <v>4399</v>
      </c>
      <c r="D1808" s="3" t="s">
        <v>4781</v>
      </c>
      <c r="E1808" s="3" t="s">
        <v>40</v>
      </c>
      <c r="F1808" s="3" t="s">
        <v>16</v>
      </c>
      <c r="G1808" s="3" t="s">
        <v>41</v>
      </c>
      <c r="H1808" s="3"/>
      <c r="I1808" s="3"/>
      <c r="J1808" s="3" t="s">
        <v>42</v>
      </c>
      <c r="K1808" s="3"/>
      <c r="L1808" s="3" t="s">
        <v>4790</v>
      </c>
    </row>
    <row r="1809" customFormat="false" ht="11.9" hidden="false" customHeight="true" outlineLevel="0" collapsed="false">
      <c r="A1809" s="2" t="str">
        <f aca="false">HYPERLINK("https://www.fabsurplus.com/sdi_catalog/salesItemDetails.do?id=110298")</f>
        <v>https://www.fabsurplus.com/sdi_catalog/salesItemDetails.do?id=110298</v>
      </c>
      <c r="B1809" s="2" t="s">
        <v>4792</v>
      </c>
      <c r="C1809" s="2" t="s">
        <v>4399</v>
      </c>
      <c r="D1809" s="2" t="s">
        <v>4781</v>
      </c>
      <c r="E1809" s="2" t="s">
        <v>40</v>
      </c>
      <c r="F1809" s="2" t="s">
        <v>16</v>
      </c>
      <c r="G1809" s="2" t="s">
        <v>41</v>
      </c>
      <c r="H1809" s="2"/>
      <c r="I1809" s="2"/>
      <c r="J1809" s="2" t="s">
        <v>42</v>
      </c>
      <c r="K1809" s="2"/>
      <c r="L1809" s="2" t="s">
        <v>4790</v>
      </c>
    </row>
    <row r="1810" customFormat="false" ht="11.9" hidden="false" customHeight="true" outlineLevel="0" collapsed="false">
      <c r="A1810" s="3" t="str">
        <f aca="false">HYPERLINK("https://www.fabsurplus.com/sdi_catalog/salesItemDetails.do?id=110309")</f>
        <v>https://www.fabsurplus.com/sdi_catalog/salesItemDetails.do?id=110309</v>
      </c>
      <c r="B1810" s="3" t="s">
        <v>4793</v>
      </c>
      <c r="C1810" s="3" t="s">
        <v>4399</v>
      </c>
      <c r="D1810" s="3" t="s">
        <v>4794</v>
      </c>
      <c r="E1810" s="3" t="s">
        <v>40</v>
      </c>
      <c r="F1810" s="3" t="s">
        <v>16</v>
      </c>
      <c r="G1810" s="3" t="s">
        <v>41</v>
      </c>
      <c r="H1810" s="3"/>
      <c r="I1810" s="3"/>
      <c r="J1810" s="3" t="s">
        <v>42</v>
      </c>
      <c r="K1810" s="3"/>
      <c r="L1810" s="3" t="s">
        <v>4795</v>
      </c>
    </row>
    <row r="1811" customFormat="false" ht="11.9" hidden="false" customHeight="true" outlineLevel="0" collapsed="false">
      <c r="A1811" s="2" t="str">
        <f aca="false">HYPERLINK("https://www.fabsurplus.com/sdi_catalog/salesItemDetails.do?id=110308")</f>
        <v>https://www.fabsurplus.com/sdi_catalog/salesItemDetails.do?id=110308</v>
      </c>
      <c r="B1811" s="2" t="s">
        <v>4796</v>
      </c>
      <c r="C1811" s="2" t="s">
        <v>4399</v>
      </c>
      <c r="D1811" s="2" t="s">
        <v>4794</v>
      </c>
      <c r="E1811" s="2" t="s">
        <v>40</v>
      </c>
      <c r="F1811" s="2" t="s">
        <v>16</v>
      </c>
      <c r="G1811" s="2" t="s">
        <v>41</v>
      </c>
      <c r="H1811" s="2"/>
      <c r="I1811" s="2"/>
      <c r="J1811" s="2" t="s">
        <v>42</v>
      </c>
      <c r="K1811" s="2"/>
      <c r="L1811" s="2" t="s">
        <v>4795</v>
      </c>
    </row>
    <row r="1812" customFormat="false" ht="11.9" hidden="false" customHeight="true" outlineLevel="0" collapsed="false">
      <c r="A1812" s="3" t="str">
        <f aca="false">HYPERLINK("https://www.fabsurplus.com/sdi_catalog/salesItemDetails.do?id=110307")</f>
        <v>https://www.fabsurplus.com/sdi_catalog/salesItemDetails.do?id=110307</v>
      </c>
      <c r="B1812" s="3" t="s">
        <v>4797</v>
      </c>
      <c r="C1812" s="3" t="s">
        <v>4399</v>
      </c>
      <c r="D1812" s="3" t="s">
        <v>4794</v>
      </c>
      <c r="E1812" s="3" t="s">
        <v>40</v>
      </c>
      <c r="F1812" s="3" t="s">
        <v>16</v>
      </c>
      <c r="G1812" s="3" t="s">
        <v>41</v>
      </c>
      <c r="H1812" s="3"/>
      <c r="I1812" s="3"/>
      <c r="J1812" s="3" t="s">
        <v>42</v>
      </c>
      <c r="K1812" s="3"/>
      <c r="L1812" s="3" t="s">
        <v>4795</v>
      </c>
    </row>
    <row r="1813" customFormat="false" ht="11.9" hidden="false" customHeight="true" outlineLevel="0" collapsed="false">
      <c r="A1813" s="3" t="str">
        <f aca="false">HYPERLINK("https://www.fabsurplus.com/sdi_catalog/salesItemDetails.do?id=110103")</f>
        <v>https://www.fabsurplus.com/sdi_catalog/salesItemDetails.do?id=110103</v>
      </c>
      <c r="B1813" s="3" t="s">
        <v>4798</v>
      </c>
      <c r="C1813" s="3" t="s">
        <v>4799</v>
      </c>
      <c r="D1813" s="3" t="s">
        <v>4800</v>
      </c>
      <c r="E1813" s="3" t="s">
        <v>47</v>
      </c>
      <c r="F1813" s="3" t="s">
        <v>16</v>
      </c>
      <c r="G1813" s="3" t="s">
        <v>41</v>
      </c>
      <c r="H1813" s="3"/>
      <c r="I1813" s="3"/>
      <c r="J1813" s="3" t="s">
        <v>42</v>
      </c>
      <c r="K1813" s="3"/>
      <c r="L1813" s="3" t="s">
        <v>4801</v>
      </c>
    </row>
    <row r="1814" customFormat="false" ht="11.9" hidden="false" customHeight="true" outlineLevel="0" collapsed="false">
      <c r="A1814" s="2" t="str">
        <f aca="false">HYPERLINK("https://www.fabsurplus.com/sdi_catalog/salesItemDetails.do?id=110121")</f>
        <v>https://www.fabsurplus.com/sdi_catalog/salesItemDetails.do?id=110121</v>
      </c>
      <c r="B1814" s="2" t="s">
        <v>4802</v>
      </c>
      <c r="C1814" s="2" t="s">
        <v>4799</v>
      </c>
      <c r="D1814" s="2" t="s">
        <v>4803</v>
      </c>
      <c r="E1814" s="2" t="s">
        <v>47</v>
      </c>
      <c r="F1814" s="2" t="s">
        <v>16</v>
      </c>
      <c r="G1814" s="2" t="s">
        <v>41</v>
      </c>
      <c r="H1814" s="2"/>
      <c r="I1814" s="2"/>
      <c r="J1814" s="2" t="s">
        <v>42</v>
      </c>
      <c r="K1814" s="2"/>
      <c r="L1814" s="2" t="s">
        <v>4804</v>
      </c>
    </row>
    <row r="1815" customFormat="false" ht="11.9" hidden="false" customHeight="true" outlineLevel="0" collapsed="false">
      <c r="A1815" s="3" t="str">
        <f aca="false">HYPERLINK("https://www.fabsurplus.com/sdi_catalog/salesItemDetails.do?id=110120")</f>
        <v>https://www.fabsurplus.com/sdi_catalog/salesItemDetails.do?id=110120</v>
      </c>
      <c r="B1815" s="3" t="s">
        <v>4805</v>
      </c>
      <c r="C1815" s="3" t="s">
        <v>4799</v>
      </c>
      <c r="D1815" s="3" t="s">
        <v>4803</v>
      </c>
      <c r="E1815" s="3" t="s">
        <v>47</v>
      </c>
      <c r="F1815" s="3" t="s">
        <v>16</v>
      </c>
      <c r="G1815" s="3" t="s">
        <v>41</v>
      </c>
      <c r="H1815" s="3"/>
      <c r="I1815" s="3"/>
      <c r="J1815" s="3" t="s">
        <v>42</v>
      </c>
      <c r="K1815" s="3"/>
      <c r="L1815" s="3" t="s">
        <v>4804</v>
      </c>
    </row>
    <row r="1816" customFormat="false" ht="11.9" hidden="false" customHeight="true" outlineLevel="0" collapsed="false">
      <c r="A1816" s="3" t="str">
        <f aca="false">HYPERLINK("https://www.fabsurplus.com/sdi_catalog/salesItemDetails.do?id=110126")</f>
        <v>https://www.fabsurplus.com/sdi_catalog/salesItemDetails.do?id=110126</v>
      </c>
      <c r="B1816" s="3" t="s">
        <v>4806</v>
      </c>
      <c r="C1816" s="3" t="s">
        <v>4799</v>
      </c>
      <c r="D1816" s="3" t="s">
        <v>4502</v>
      </c>
      <c r="E1816" s="3" t="s">
        <v>40</v>
      </c>
      <c r="F1816" s="3" t="s">
        <v>16</v>
      </c>
      <c r="G1816" s="3" t="s">
        <v>41</v>
      </c>
      <c r="H1816" s="3"/>
      <c r="I1816" s="3"/>
      <c r="J1816" s="3" t="s">
        <v>42</v>
      </c>
      <c r="K1816" s="3"/>
      <c r="L1816" s="3" t="s">
        <v>4807</v>
      </c>
    </row>
    <row r="1817" customFormat="false" ht="11.9" hidden="false" customHeight="true" outlineLevel="0" collapsed="false">
      <c r="A1817" s="2" t="str">
        <f aca="false">HYPERLINK("https://www.fabsurplus.com/sdi_catalog/salesItemDetails.do?id=110125")</f>
        <v>https://www.fabsurplus.com/sdi_catalog/salesItemDetails.do?id=110125</v>
      </c>
      <c r="B1817" s="2" t="s">
        <v>4808</v>
      </c>
      <c r="C1817" s="2" t="s">
        <v>4799</v>
      </c>
      <c r="D1817" s="2" t="s">
        <v>4502</v>
      </c>
      <c r="E1817" s="2" t="s">
        <v>40</v>
      </c>
      <c r="F1817" s="2" t="s">
        <v>16</v>
      </c>
      <c r="G1817" s="2" t="s">
        <v>41</v>
      </c>
      <c r="H1817" s="2"/>
      <c r="I1817" s="2"/>
      <c r="J1817" s="2" t="s">
        <v>42</v>
      </c>
      <c r="K1817" s="2"/>
      <c r="L1817" s="2" t="s">
        <v>4807</v>
      </c>
    </row>
    <row r="1818" customFormat="false" ht="11.9" hidden="false" customHeight="true" outlineLevel="0" collapsed="false">
      <c r="A1818" s="3" t="str">
        <f aca="false">HYPERLINK("https://www.fabsurplus.com/sdi_catalog/salesItemDetails.do?id=110151")</f>
        <v>https://www.fabsurplus.com/sdi_catalog/salesItemDetails.do?id=110151</v>
      </c>
      <c r="B1818" s="3" t="s">
        <v>4809</v>
      </c>
      <c r="C1818" s="3" t="s">
        <v>4799</v>
      </c>
      <c r="D1818" s="3" t="s">
        <v>4810</v>
      </c>
      <c r="E1818" s="3" t="s">
        <v>133</v>
      </c>
      <c r="F1818" s="3" t="s">
        <v>16</v>
      </c>
      <c r="G1818" s="3" t="s">
        <v>41</v>
      </c>
      <c r="H1818" s="3"/>
      <c r="I1818" s="3"/>
      <c r="J1818" s="3" t="s">
        <v>42</v>
      </c>
      <c r="K1818" s="3"/>
      <c r="L1818" s="5" t="s">
        <v>4811</v>
      </c>
    </row>
    <row r="1819" customFormat="false" ht="11.9" hidden="false" customHeight="true" outlineLevel="0" collapsed="false">
      <c r="A1819" s="3" t="str">
        <f aca="false">HYPERLINK("https://www.fabsurplus.com/sdi_catalog/salesItemDetails.do?id=77091")</f>
        <v>https://www.fabsurplus.com/sdi_catalog/salesItemDetails.do?id=77091</v>
      </c>
      <c r="B1819" s="3" t="s">
        <v>4812</v>
      </c>
      <c r="C1819" s="3" t="s">
        <v>4813</v>
      </c>
      <c r="D1819" s="3" t="s">
        <v>4814</v>
      </c>
      <c r="E1819" s="3" t="s">
        <v>4815</v>
      </c>
      <c r="F1819" s="3" t="s">
        <v>16</v>
      </c>
      <c r="G1819" s="3" t="s">
        <v>26</v>
      </c>
      <c r="H1819" s="3" t="s">
        <v>35</v>
      </c>
      <c r="I1819" s="3"/>
      <c r="J1819" s="3" t="s">
        <v>19</v>
      </c>
      <c r="K1819" s="3" t="s">
        <v>20</v>
      </c>
      <c r="L1819" s="3"/>
    </row>
    <row r="1820" customFormat="false" ht="11.9" hidden="false" customHeight="true" outlineLevel="0" collapsed="false">
      <c r="A1820" s="2" t="str">
        <f aca="false">HYPERLINK("https://www.fabsurplus.com/sdi_catalog/salesItemDetails.do?id=84080")</f>
        <v>https://www.fabsurplus.com/sdi_catalog/salesItemDetails.do?id=84080</v>
      </c>
      <c r="B1820" s="2" t="s">
        <v>4816</v>
      </c>
      <c r="C1820" s="2" t="s">
        <v>4817</v>
      </c>
      <c r="D1820" s="2" t="s">
        <v>4818</v>
      </c>
      <c r="E1820" s="2" t="s">
        <v>4819</v>
      </c>
      <c r="F1820" s="2" t="s">
        <v>16</v>
      </c>
      <c r="G1820" s="2"/>
      <c r="H1820" s="2" t="s">
        <v>27</v>
      </c>
      <c r="I1820" s="2"/>
      <c r="J1820" s="2" t="s">
        <v>19</v>
      </c>
      <c r="K1820" s="2" t="s">
        <v>20</v>
      </c>
      <c r="L1820" s="6" t="s">
        <v>4820</v>
      </c>
    </row>
    <row r="1821" customFormat="false" ht="11.9" hidden="false" customHeight="true" outlineLevel="0" collapsed="false">
      <c r="A1821" s="3" t="str">
        <f aca="false">HYPERLINK("https://www.fabsurplus.com/sdi_catalog/salesItemDetails.do?id=83739")</f>
        <v>https://www.fabsurplus.com/sdi_catalog/salesItemDetails.do?id=83739</v>
      </c>
      <c r="B1821" s="3" t="s">
        <v>4821</v>
      </c>
      <c r="C1821" s="3" t="s">
        <v>4822</v>
      </c>
      <c r="D1821" s="3" t="s">
        <v>4823</v>
      </c>
      <c r="E1821" s="3" t="s">
        <v>4824</v>
      </c>
      <c r="F1821" s="3" t="s">
        <v>3623</v>
      </c>
      <c r="G1821" s="3" t="s">
        <v>41</v>
      </c>
      <c r="H1821" s="3" t="s">
        <v>27</v>
      </c>
      <c r="I1821" s="3"/>
      <c r="J1821" s="3" t="s">
        <v>19</v>
      </c>
      <c r="K1821" s="3" t="s">
        <v>20</v>
      </c>
      <c r="L1821" s="5" t="s">
        <v>4825</v>
      </c>
    </row>
    <row r="1822" customFormat="false" ht="11.9" hidden="false" customHeight="true" outlineLevel="0" collapsed="false">
      <c r="A1822" s="3" t="str">
        <f aca="false">HYPERLINK("https://www.fabsurplus.com/sdi_catalog/salesItemDetails.do?id=83860")</f>
        <v>https://www.fabsurplus.com/sdi_catalog/salesItemDetails.do?id=83860</v>
      </c>
      <c r="B1822" s="3" t="s">
        <v>4826</v>
      </c>
      <c r="C1822" s="3" t="s">
        <v>4822</v>
      </c>
      <c r="D1822" s="3" t="s">
        <v>4827</v>
      </c>
      <c r="E1822" s="3" t="s">
        <v>4828</v>
      </c>
      <c r="F1822" s="3" t="s">
        <v>69</v>
      </c>
      <c r="G1822" s="3" t="s">
        <v>17</v>
      </c>
      <c r="H1822" s="3" t="s">
        <v>27</v>
      </c>
      <c r="I1822" s="3"/>
      <c r="J1822" s="3" t="s">
        <v>19</v>
      </c>
      <c r="K1822" s="3" t="s">
        <v>20</v>
      </c>
      <c r="L1822" s="5" t="s">
        <v>4829</v>
      </c>
    </row>
    <row r="1823" customFormat="false" ht="11.9" hidden="false" customHeight="true" outlineLevel="0" collapsed="false">
      <c r="A1823" s="3" t="str">
        <f aca="false">HYPERLINK("https://www.fabsurplus.com/sdi_catalog/salesItemDetails.do?id=83858")</f>
        <v>https://www.fabsurplus.com/sdi_catalog/salesItemDetails.do?id=83858</v>
      </c>
      <c r="B1823" s="3" t="s">
        <v>4830</v>
      </c>
      <c r="C1823" s="3" t="s">
        <v>4822</v>
      </c>
      <c r="D1823" s="3" t="s">
        <v>4831</v>
      </c>
      <c r="E1823" s="3" t="s">
        <v>4832</v>
      </c>
      <c r="F1823" s="3" t="s">
        <v>77</v>
      </c>
      <c r="G1823" s="3" t="s">
        <v>26</v>
      </c>
      <c r="H1823" s="3" t="s">
        <v>27</v>
      </c>
      <c r="I1823" s="3"/>
      <c r="J1823" s="3" t="s">
        <v>19</v>
      </c>
      <c r="K1823" s="3" t="s">
        <v>20</v>
      </c>
      <c r="L1823" s="5" t="s">
        <v>4833</v>
      </c>
    </row>
    <row r="1824" customFormat="false" ht="11.9" hidden="false" customHeight="true" outlineLevel="0" collapsed="false">
      <c r="A1824" s="2" t="str">
        <f aca="false">HYPERLINK("https://www.fabsurplus.com/sdi_catalog/salesItemDetails.do?id=83820")</f>
        <v>https://www.fabsurplus.com/sdi_catalog/salesItemDetails.do?id=83820</v>
      </c>
      <c r="B1824" s="2" t="s">
        <v>4834</v>
      </c>
      <c r="C1824" s="2" t="s">
        <v>4822</v>
      </c>
      <c r="D1824" s="2" t="s">
        <v>4835</v>
      </c>
      <c r="E1824" s="2" t="s">
        <v>4836</v>
      </c>
      <c r="F1824" s="2" t="s">
        <v>16</v>
      </c>
      <c r="G1824" s="2" t="s">
        <v>26</v>
      </c>
      <c r="H1824" s="2" t="s">
        <v>27</v>
      </c>
      <c r="I1824" s="2"/>
      <c r="J1824" s="2" t="s">
        <v>19</v>
      </c>
      <c r="K1824" s="2" t="s">
        <v>20</v>
      </c>
      <c r="L1824" s="6" t="s">
        <v>4837</v>
      </c>
    </row>
    <row r="1825" customFormat="false" ht="11.9" hidden="false" customHeight="true" outlineLevel="0" collapsed="false">
      <c r="A1825" s="2" t="str">
        <f aca="false">HYPERLINK("https://www.fabsurplus.com/sdi_catalog/salesItemDetails.do?id=83803")</f>
        <v>https://www.fabsurplus.com/sdi_catalog/salesItemDetails.do?id=83803</v>
      </c>
      <c r="B1825" s="2" t="s">
        <v>4838</v>
      </c>
      <c r="C1825" s="2" t="s">
        <v>4822</v>
      </c>
      <c r="D1825" s="2" t="s">
        <v>4839</v>
      </c>
      <c r="E1825" s="2" t="s">
        <v>4840</v>
      </c>
      <c r="F1825" s="2" t="s">
        <v>16</v>
      </c>
      <c r="G1825" s="2" t="s">
        <v>26</v>
      </c>
      <c r="H1825" s="2" t="s">
        <v>27</v>
      </c>
      <c r="I1825" s="2"/>
      <c r="J1825" s="2" t="s">
        <v>19</v>
      </c>
      <c r="K1825" s="2" t="s">
        <v>20</v>
      </c>
      <c r="L1825" s="6" t="s">
        <v>4841</v>
      </c>
    </row>
    <row r="1826" customFormat="false" ht="11.9" hidden="false" customHeight="true" outlineLevel="0" collapsed="false">
      <c r="A1826" s="3" t="str">
        <f aca="false">HYPERLINK("https://www.fabsurplus.com/sdi_catalog/salesItemDetails.do?id=83797")</f>
        <v>https://www.fabsurplus.com/sdi_catalog/salesItemDetails.do?id=83797</v>
      </c>
      <c r="B1826" s="3" t="s">
        <v>4842</v>
      </c>
      <c r="C1826" s="3" t="s">
        <v>4822</v>
      </c>
      <c r="D1826" s="3" t="s">
        <v>4843</v>
      </c>
      <c r="E1826" s="3" t="s">
        <v>4844</v>
      </c>
      <c r="F1826" s="3" t="s">
        <v>16</v>
      </c>
      <c r="G1826" s="3" t="s">
        <v>26</v>
      </c>
      <c r="H1826" s="3" t="s">
        <v>27</v>
      </c>
      <c r="I1826" s="3"/>
      <c r="J1826" s="3" t="s">
        <v>19</v>
      </c>
      <c r="K1826" s="3" t="s">
        <v>20</v>
      </c>
      <c r="L1826" s="5" t="s">
        <v>4845</v>
      </c>
    </row>
    <row r="1827" customFormat="false" ht="11.9" hidden="false" customHeight="true" outlineLevel="0" collapsed="false">
      <c r="A1827" s="2" t="str">
        <f aca="false">HYPERLINK("https://www.fabsurplus.com/sdi_catalog/salesItemDetails.do?id=83796")</f>
        <v>https://www.fabsurplus.com/sdi_catalog/salesItemDetails.do?id=83796</v>
      </c>
      <c r="B1827" s="2" t="s">
        <v>4846</v>
      </c>
      <c r="C1827" s="2" t="s">
        <v>4822</v>
      </c>
      <c r="D1827" s="2" t="s">
        <v>4847</v>
      </c>
      <c r="E1827" s="2" t="s">
        <v>4848</v>
      </c>
      <c r="F1827" s="2" t="s">
        <v>16</v>
      </c>
      <c r="G1827" s="2" t="s">
        <v>26</v>
      </c>
      <c r="H1827" s="2" t="s">
        <v>27</v>
      </c>
      <c r="I1827" s="2"/>
      <c r="J1827" s="2" t="s">
        <v>19</v>
      </c>
      <c r="K1827" s="2" t="s">
        <v>20</v>
      </c>
      <c r="L1827" s="6" t="s">
        <v>4849</v>
      </c>
    </row>
    <row r="1828" customFormat="false" ht="11.9" hidden="false" customHeight="true" outlineLevel="0" collapsed="false">
      <c r="A1828" s="2" t="str">
        <f aca="false">HYPERLINK("https://www.fabsurplus.com/sdi_catalog/salesItemDetails.do?id=83815")</f>
        <v>https://www.fabsurplus.com/sdi_catalog/salesItemDetails.do?id=83815</v>
      </c>
      <c r="B1828" s="2" t="s">
        <v>4850</v>
      </c>
      <c r="C1828" s="2" t="s">
        <v>4822</v>
      </c>
      <c r="D1828" s="2" t="s">
        <v>4851</v>
      </c>
      <c r="E1828" s="2" t="s">
        <v>4852</v>
      </c>
      <c r="F1828" s="2" t="s">
        <v>16</v>
      </c>
      <c r="G1828" s="2" t="s">
        <v>26</v>
      </c>
      <c r="H1828" s="2" t="s">
        <v>27</v>
      </c>
      <c r="I1828" s="2"/>
      <c r="J1828" s="2" t="s">
        <v>19</v>
      </c>
      <c r="K1828" s="2" t="s">
        <v>20</v>
      </c>
      <c r="L1828" s="6" t="s">
        <v>4853</v>
      </c>
    </row>
    <row r="1829" customFormat="false" ht="11.9" hidden="false" customHeight="true" outlineLevel="0" collapsed="false">
      <c r="A1829" s="3" t="str">
        <f aca="false">HYPERLINK("https://www.fabsurplus.com/sdi_catalog/salesItemDetails.do?id=83804")</f>
        <v>https://www.fabsurplus.com/sdi_catalog/salesItemDetails.do?id=83804</v>
      </c>
      <c r="B1829" s="3" t="s">
        <v>4854</v>
      </c>
      <c r="C1829" s="3" t="s">
        <v>4822</v>
      </c>
      <c r="D1829" s="3" t="s">
        <v>4855</v>
      </c>
      <c r="E1829" s="3" t="s">
        <v>4856</v>
      </c>
      <c r="F1829" s="3" t="s">
        <v>16</v>
      </c>
      <c r="G1829" s="3"/>
      <c r="H1829" s="3" t="s">
        <v>27</v>
      </c>
      <c r="I1829" s="3"/>
      <c r="J1829" s="3" t="s">
        <v>19</v>
      </c>
      <c r="K1829" s="3" t="s">
        <v>20</v>
      </c>
      <c r="L1829" s="5" t="s">
        <v>4857</v>
      </c>
    </row>
    <row r="1830" customFormat="false" ht="11.9" hidden="false" customHeight="true" outlineLevel="0" collapsed="false">
      <c r="A1830" s="2" t="str">
        <f aca="false">HYPERLINK("https://www.fabsurplus.com/sdi_catalog/salesItemDetails.do?id=83801")</f>
        <v>https://www.fabsurplus.com/sdi_catalog/salesItemDetails.do?id=83801</v>
      </c>
      <c r="B1830" s="2" t="s">
        <v>4858</v>
      </c>
      <c r="C1830" s="2" t="s">
        <v>4822</v>
      </c>
      <c r="D1830" s="2" t="s">
        <v>4859</v>
      </c>
      <c r="E1830" s="2" t="s">
        <v>4860</v>
      </c>
      <c r="F1830" s="2" t="s">
        <v>16</v>
      </c>
      <c r="G1830" s="2" t="s">
        <v>26</v>
      </c>
      <c r="H1830" s="2" t="s">
        <v>27</v>
      </c>
      <c r="I1830" s="2"/>
      <c r="J1830" s="2" t="s">
        <v>19</v>
      </c>
      <c r="K1830" s="2" t="s">
        <v>20</v>
      </c>
      <c r="L1830" s="6" t="s">
        <v>4861</v>
      </c>
    </row>
    <row r="1831" customFormat="false" ht="11.9" hidden="false" customHeight="true" outlineLevel="0" collapsed="false">
      <c r="A1831" s="3" t="str">
        <f aca="false">HYPERLINK("https://www.fabsurplus.com/sdi_catalog/salesItemDetails.do?id=83822")</f>
        <v>https://www.fabsurplus.com/sdi_catalog/salesItemDetails.do?id=83822</v>
      </c>
      <c r="B1831" s="3" t="s">
        <v>4862</v>
      </c>
      <c r="C1831" s="3" t="s">
        <v>4822</v>
      </c>
      <c r="D1831" s="3" t="s">
        <v>4863</v>
      </c>
      <c r="E1831" s="3" t="s">
        <v>4864</v>
      </c>
      <c r="F1831" s="3" t="s">
        <v>16</v>
      </c>
      <c r="G1831" s="3" t="s">
        <v>41</v>
      </c>
      <c r="H1831" s="3" t="s">
        <v>27</v>
      </c>
      <c r="I1831" s="3"/>
      <c r="J1831" s="3" t="s">
        <v>19</v>
      </c>
      <c r="K1831" s="3" t="s">
        <v>20</v>
      </c>
      <c r="L1831" s="5" t="s">
        <v>4865</v>
      </c>
    </row>
    <row r="1832" customFormat="false" ht="11.9" hidden="false" customHeight="true" outlineLevel="0" collapsed="false">
      <c r="A1832" s="2" t="str">
        <f aca="false">HYPERLINK("https://www.fabsurplus.com/sdi_catalog/salesItemDetails.do?id=83936")</f>
        <v>https://www.fabsurplus.com/sdi_catalog/salesItemDetails.do?id=83936</v>
      </c>
      <c r="B1832" s="2" t="s">
        <v>4866</v>
      </c>
      <c r="C1832" s="2" t="s">
        <v>4822</v>
      </c>
      <c r="D1832" s="2" t="s">
        <v>4867</v>
      </c>
      <c r="E1832" s="2" t="s">
        <v>4868</v>
      </c>
      <c r="F1832" s="2" t="s">
        <v>16</v>
      </c>
      <c r="G1832" s="2" t="s">
        <v>26</v>
      </c>
      <c r="H1832" s="2" t="s">
        <v>27</v>
      </c>
      <c r="I1832" s="2"/>
      <c r="J1832" s="2" t="s">
        <v>19</v>
      </c>
      <c r="K1832" s="2" t="s">
        <v>20</v>
      </c>
      <c r="L1832" s="6" t="s">
        <v>4869</v>
      </c>
    </row>
    <row r="1833" customFormat="false" ht="11.9" hidden="false" customHeight="true" outlineLevel="0" collapsed="false">
      <c r="A1833" s="2" t="str">
        <f aca="false">HYPERLINK("https://www.fabsurplus.com/sdi_catalog/salesItemDetails.do?id=83813")</f>
        <v>https://www.fabsurplus.com/sdi_catalog/salesItemDetails.do?id=83813</v>
      </c>
      <c r="B1833" s="2" t="s">
        <v>4870</v>
      </c>
      <c r="C1833" s="2" t="s">
        <v>4822</v>
      </c>
      <c r="D1833" s="2" t="s">
        <v>4871</v>
      </c>
      <c r="E1833" s="2" t="s">
        <v>4872</v>
      </c>
      <c r="F1833" s="2" t="s">
        <v>77</v>
      </c>
      <c r="G1833" s="2" t="s">
        <v>26</v>
      </c>
      <c r="H1833" s="2" t="s">
        <v>27</v>
      </c>
      <c r="I1833" s="2"/>
      <c r="J1833" s="2" t="s">
        <v>19</v>
      </c>
      <c r="K1833" s="2" t="s">
        <v>20</v>
      </c>
      <c r="L1833" s="6" t="s">
        <v>4873</v>
      </c>
    </row>
    <row r="1834" customFormat="false" ht="11.9" hidden="false" customHeight="true" outlineLevel="0" collapsed="false">
      <c r="A1834" s="3" t="str">
        <f aca="false">HYPERLINK("https://www.fabsurplus.com/sdi_catalog/salesItemDetails.do?id=83816")</f>
        <v>https://www.fabsurplus.com/sdi_catalog/salesItemDetails.do?id=83816</v>
      </c>
      <c r="B1834" s="3" t="s">
        <v>4874</v>
      </c>
      <c r="C1834" s="3" t="s">
        <v>4822</v>
      </c>
      <c r="D1834" s="3" t="s">
        <v>4875</v>
      </c>
      <c r="E1834" s="3" t="s">
        <v>4876</v>
      </c>
      <c r="F1834" s="3" t="s">
        <v>16</v>
      </c>
      <c r="G1834" s="3"/>
      <c r="H1834" s="3" t="s">
        <v>27</v>
      </c>
      <c r="I1834" s="3"/>
      <c r="J1834" s="3" t="s">
        <v>19</v>
      </c>
      <c r="K1834" s="3" t="s">
        <v>20</v>
      </c>
      <c r="L1834" s="5" t="s">
        <v>4877</v>
      </c>
    </row>
    <row r="1835" customFormat="false" ht="11.9" hidden="false" customHeight="true" outlineLevel="0" collapsed="false">
      <c r="A1835" s="3" t="str">
        <f aca="false">HYPERLINK("https://www.fabsurplus.com/sdi_catalog/salesItemDetails.do?id=83814")</f>
        <v>https://www.fabsurplus.com/sdi_catalog/salesItemDetails.do?id=83814</v>
      </c>
      <c r="B1835" s="3" t="s">
        <v>4878</v>
      </c>
      <c r="C1835" s="3" t="s">
        <v>4822</v>
      </c>
      <c r="D1835" s="3" t="s">
        <v>4879</v>
      </c>
      <c r="E1835" s="3" t="s">
        <v>4880</v>
      </c>
      <c r="F1835" s="3" t="s">
        <v>16</v>
      </c>
      <c r="G1835" s="3" t="s">
        <v>26</v>
      </c>
      <c r="H1835" s="3" t="s">
        <v>27</v>
      </c>
      <c r="I1835" s="3"/>
      <c r="J1835" s="3" t="s">
        <v>19</v>
      </c>
      <c r="K1835" s="3" t="s">
        <v>20</v>
      </c>
      <c r="L1835" s="5" t="s">
        <v>4881</v>
      </c>
    </row>
    <row r="1836" customFormat="false" ht="11.9" hidden="false" customHeight="true" outlineLevel="0" collapsed="false">
      <c r="A1836" s="3" t="str">
        <f aca="false">HYPERLINK("https://www.fabsurplus.com/sdi_catalog/salesItemDetails.do?id=83818")</f>
        <v>https://www.fabsurplus.com/sdi_catalog/salesItemDetails.do?id=83818</v>
      </c>
      <c r="B1836" s="3" t="s">
        <v>4882</v>
      </c>
      <c r="C1836" s="3" t="s">
        <v>4822</v>
      </c>
      <c r="D1836" s="3" t="s">
        <v>4883</v>
      </c>
      <c r="E1836" s="3" t="s">
        <v>4884</v>
      </c>
      <c r="F1836" s="3" t="s">
        <v>16</v>
      </c>
      <c r="G1836" s="3" t="s">
        <v>26</v>
      </c>
      <c r="H1836" s="3" t="s">
        <v>27</v>
      </c>
      <c r="I1836" s="3"/>
      <c r="J1836" s="3" t="s">
        <v>19</v>
      </c>
      <c r="K1836" s="3" t="s">
        <v>20</v>
      </c>
      <c r="L1836" s="5" t="s">
        <v>4885</v>
      </c>
    </row>
    <row r="1837" customFormat="false" ht="11.9" hidden="false" customHeight="true" outlineLevel="0" collapsed="false">
      <c r="A1837" s="2" t="str">
        <f aca="false">HYPERLINK("https://www.fabsurplus.com/sdi_catalog/salesItemDetails.do?id=83817")</f>
        <v>https://www.fabsurplus.com/sdi_catalog/salesItemDetails.do?id=83817</v>
      </c>
      <c r="B1837" s="2" t="s">
        <v>4886</v>
      </c>
      <c r="C1837" s="2" t="s">
        <v>4822</v>
      </c>
      <c r="D1837" s="2" t="s">
        <v>4887</v>
      </c>
      <c r="E1837" s="2" t="s">
        <v>4840</v>
      </c>
      <c r="F1837" s="2" t="s">
        <v>16</v>
      </c>
      <c r="G1837" s="2" t="s">
        <v>26</v>
      </c>
      <c r="H1837" s="2" t="s">
        <v>27</v>
      </c>
      <c r="I1837" s="2"/>
      <c r="J1837" s="2" t="s">
        <v>19</v>
      </c>
      <c r="K1837" s="2" t="s">
        <v>20</v>
      </c>
      <c r="L1837" s="6" t="s">
        <v>4888</v>
      </c>
    </row>
    <row r="1838" customFormat="false" ht="11.9" hidden="false" customHeight="true" outlineLevel="0" collapsed="false">
      <c r="A1838" s="3" t="str">
        <f aca="false">HYPERLINK("https://www.fabsurplus.com/sdi_catalog/salesItemDetails.do?id=83802")</f>
        <v>https://www.fabsurplus.com/sdi_catalog/salesItemDetails.do?id=83802</v>
      </c>
      <c r="B1838" s="3" t="s">
        <v>4889</v>
      </c>
      <c r="C1838" s="3" t="s">
        <v>4822</v>
      </c>
      <c r="D1838" s="3" t="s">
        <v>4890</v>
      </c>
      <c r="E1838" s="3" t="s">
        <v>4891</v>
      </c>
      <c r="F1838" s="3" t="s">
        <v>16</v>
      </c>
      <c r="G1838" s="3" t="s">
        <v>26</v>
      </c>
      <c r="H1838" s="3" t="s">
        <v>27</v>
      </c>
      <c r="I1838" s="3"/>
      <c r="J1838" s="3" t="s">
        <v>19</v>
      </c>
      <c r="K1838" s="3" t="s">
        <v>20</v>
      </c>
      <c r="L1838" s="5" t="s">
        <v>4892</v>
      </c>
    </row>
    <row r="1839" customFormat="false" ht="11.9" hidden="false" customHeight="true" outlineLevel="0" collapsed="false">
      <c r="A1839" s="2" t="str">
        <f aca="false">HYPERLINK("https://www.fabsurplus.com/sdi_catalog/salesItemDetails.do?id=83859")</f>
        <v>https://www.fabsurplus.com/sdi_catalog/salesItemDetails.do?id=83859</v>
      </c>
      <c r="B1839" s="2" t="s">
        <v>4893</v>
      </c>
      <c r="C1839" s="2" t="s">
        <v>4822</v>
      </c>
      <c r="D1839" s="2" t="s">
        <v>4894</v>
      </c>
      <c r="E1839" s="2" t="s">
        <v>4895</v>
      </c>
      <c r="F1839" s="2" t="s">
        <v>16</v>
      </c>
      <c r="G1839" s="2" t="s">
        <v>26</v>
      </c>
      <c r="H1839" s="2" t="s">
        <v>27</v>
      </c>
      <c r="I1839" s="2"/>
      <c r="J1839" s="2" t="s">
        <v>19</v>
      </c>
      <c r="K1839" s="2" t="s">
        <v>20</v>
      </c>
      <c r="L1839" s="6" t="s">
        <v>4896</v>
      </c>
    </row>
    <row r="1840" customFormat="false" ht="11.9" hidden="false" customHeight="true" outlineLevel="0" collapsed="false">
      <c r="A1840" s="2" t="str">
        <f aca="false">HYPERLINK("https://www.fabsurplus.com/sdi_catalog/salesItemDetails.do?id=83798")</f>
        <v>https://www.fabsurplus.com/sdi_catalog/salesItemDetails.do?id=83798</v>
      </c>
      <c r="B1840" s="2" t="s">
        <v>4897</v>
      </c>
      <c r="C1840" s="2" t="s">
        <v>4822</v>
      </c>
      <c r="D1840" s="2" t="s">
        <v>4898</v>
      </c>
      <c r="E1840" s="2" t="s">
        <v>4899</v>
      </c>
      <c r="F1840" s="2" t="s">
        <v>16</v>
      </c>
      <c r="G1840" s="2" t="s">
        <v>26</v>
      </c>
      <c r="H1840" s="2" t="s">
        <v>27</v>
      </c>
      <c r="I1840" s="2"/>
      <c r="J1840" s="2" t="s">
        <v>19</v>
      </c>
      <c r="K1840" s="2" t="s">
        <v>20</v>
      </c>
      <c r="L1840" s="6" t="s">
        <v>4900</v>
      </c>
    </row>
    <row r="1841" customFormat="false" ht="11.9" hidden="false" customHeight="true" outlineLevel="0" collapsed="false">
      <c r="A1841" s="2" t="str">
        <f aca="false">HYPERLINK("https://www.fabsurplus.com/sdi_catalog/salesItemDetails.do?id=83857")</f>
        <v>https://www.fabsurplus.com/sdi_catalog/salesItemDetails.do?id=83857</v>
      </c>
      <c r="B1841" s="2" t="s">
        <v>4901</v>
      </c>
      <c r="C1841" s="2" t="s">
        <v>4822</v>
      </c>
      <c r="D1841" s="2" t="s">
        <v>4902</v>
      </c>
      <c r="E1841" s="2" t="s">
        <v>4903</v>
      </c>
      <c r="F1841" s="2" t="s">
        <v>77</v>
      </c>
      <c r="G1841" s="2" t="s">
        <v>26</v>
      </c>
      <c r="H1841" s="2" t="s">
        <v>27</v>
      </c>
      <c r="I1841" s="2"/>
      <c r="J1841" s="2" t="s">
        <v>19</v>
      </c>
      <c r="K1841" s="2" t="s">
        <v>20</v>
      </c>
      <c r="L1841" s="6" t="s">
        <v>4904</v>
      </c>
    </row>
    <row r="1842" customFormat="false" ht="11.9" hidden="false" customHeight="true" outlineLevel="0" collapsed="false">
      <c r="A1842" s="3" t="str">
        <f aca="false">HYPERLINK("https://www.fabsurplus.com/sdi_catalog/salesItemDetails.do?id=83799")</f>
        <v>https://www.fabsurplus.com/sdi_catalog/salesItemDetails.do?id=83799</v>
      </c>
      <c r="B1842" s="3" t="s">
        <v>4905</v>
      </c>
      <c r="C1842" s="3" t="s">
        <v>4822</v>
      </c>
      <c r="D1842" s="3" t="s">
        <v>4906</v>
      </c>
      <c r="E1842" s="3" t="s">
        <v>4907</v>
      </c>
      <c r="F1842" s="3" t="s">
        <v>16</v>
      </c>
      <c r="G1842" s="3" t="s">
        <v>26</v>
      </c>
      <c r="H1842" s="3" t="s">
        <v>27</v>
      </c>
      <c r="I1842" s="3"/>
      <c r="J1842" s="3" t="s">
        <v>19</v>
      </c>
      <c r="K1842" s="3" t="s">
        <v>20</v>
      </c>
      <c r="L1842" s="5" t="s">
        <v>4908</v>
      </c>
    </row>
    <row r="1843" customFormat="false" ht="11.9" hidden="false" customHeight="true" outlineLevel="0" collapsed="false">
      <c r="A1843" s="3" t="str">
        <f aca="false">HYPERLINK("https://www.fabsurplus.com/sdi_catalog/salesItemDetails.do?id=84210")</f>
        <v>https://www.fabsurplus.com/sdi_catalog/salesItemDetails.do?id=84210</v>
      </c>
      <c r="B1843" s="3" t="s">
        <v>4909</v>
      </c>
      <c r="C1843" s="3" t="s">
        <v>4822</v>
      </c>
      <c r="D1843" s="3" t="s">
        <v>4910</v>
      </c>
      <c r="E1843" s="3" t="s">
        <v>4911</v>
      </c>
      <c r="F1843" s="3" t="s">
        <v>16</v>
      </c>
      <c r="G1843" s="3"/>
      <c r="H1843" s="3" t="s">
        <v>27</v>
      </c>
      <c r="I1843" s="3"/>
      <c r="J1843" s="3" t="s">
        <v>19</v>
      </c>
      <c r="K1843" s="3" t="s">
        <v>20</v>
      </c>
      <c r="L1843" s="5" t="s">
        <v>4912</v>
      </c>
    </row>
    <row r="1844" customFormat="false" ht="11.9" hidden="false" customHeight="true" outlineLevel="0" collapsed="false">
      <c r="A1844" s="2" t="str">
        <f aca="false">HYPERLINK("https://www.fabsurplus.com/sdi_catalog/salesItemDetails.do?id=79520")</f>
        <v>https://www.fabsurplus.com/sdi_catalog/salesItemDetails.do?id=79520</v>
      </c>
      <c r="B1844" s="2" t="s">
        <v>4913</v>
      </c>
      <c r="C1844" s="2" t="s">
        <v>4914</v>
      </c>
      <c r="D1844" s="2" t="s">
        <v>4915</v>
      </c>
      <c r="E1844" s="2" t="s">
        <v>4916</v>
      </c>
      <c r="F1844" s="2" t="s">
        <v>69</v>
      </c>
      <c r="G1844" s="2"/>
      <c r="H1844" s="2" t="s">
        <v>944</v>
      </c>
      <c r="I1844" s="7" t="n">
        <v>36892</v>
      </c>
      <c r="J1844" s="2" t="s">
        <v>19</v>
      </c>
      <c r="K1844" s="2" t="s">
        <v>20</v>
      </c>
      <c r="L1844" s="6" t="s">
        <v>4917</v>
      </c>
    </row>
    <row r="1845" customFormat="false" ht="11.9" hidden="false" customHeight="true" outlineLevel="0" collapsed="false">
      <c r="A1845" s="2" t="str">
        <f aca="false">HYPERLINK("https://www.fabsurplus.com/sdi_catalog/salesItemDetails.do?id=110313")</f>
        <v>https://www.fabsurplus.com/sdi_catalog/salesItemDetails.do?id=110313</v>
      </c>
      <c r="B1845" s="2" t="s">
        <v>4918</v>
      </c>
      <c r="C1845" s="2" t="s">
        <v>4919</v>
      </c>
      <c r="D1845" s="2" t="s">
        <v>4920</v>
      </c>
      <c r="E1845" s="2" t="s">
        <v>3358</v>
      </c>
      <c r="F1845" s="2" t="s">
        <v>16</v>
      </c>
      <c r="G1845" s="2" t="s">
        <v>41</v>
      </c>
      <c r="H1845" s="2"/>
      <c r="I1845" s="2"/>
      <c r="J1845" s="2" t="s">
        <v>42</v>
      </c>
      <c r="K1845" s="2"/>
      <c r="L1845" s="2" t="s">
        <v>3359</v>
      </c>
    </row>
    <row r="1846" customFormat="false" ht="11.9" hidden="false" customHeight="true" outlineLevel="0" collapsed="false">
      <c r="A1846" s="3" t="str">
        <f aca="false">HYPERLINK("https://www.fabsurplus.com/sdi_catalog/salesItemDetails.do?id=110312")</f>
        <v>https://www.fabsurplus.com/sdi_catalog/salesItemDetails.do?id=110312</v>
      </c>
      <c r="B1846" s="3" t="s">
        <v>4921</v>
      </c>
      <c r="C1846" s="3" t="s">
        <v>4919</v>
      </c>
      <c r="D1846" s="3" t="s">
        <v>4920</v>
      </c>
      <c r="E1846" s="3" t="s">
        <v>3358</v>
      </c>
      <c r="F1846" s="3" t="s">
        <v>16</v>
      </c>
      <c r="G1846" s="3" t="s">
        <v>41</v>
      </c>
      <c r="H1846" s="3"/>
      <c r="I1846" s="3"/>
      <c r="J1846" s="3" t="s">
        <v>42</v>
      </c>
      <c r="K1846" s="3"/>
      <c r="L1846" s="3" t="s">
        <v>3359</v>
      </c>
    </row>
    <row r="1847" customFormat="false" ht="11.9" hidden="false" customHeight="true" outlineLevel="0" collapsed="false">
      <c r="A1847" s="2" t="str">
        <f aca="false">HYPERLINK("https://www.fabsurplus.com/sdi_catalog/salesItemDetails.do?id=110311")</f>
        <v>https://www.fabsurplus.com/sdi_catalog/salesItemDetails.do?id=110311</v>
      </c>
      <c r="B1847" s="2" t="s">
        <v>4922</v>
      </c>
      <c r="C1847" s="2" t="s">
        <v>4919</v>
      </c>
      <c r="D1847" s="2" t="s">
        <v>4920</v>
      </c>
      <c r="E1847" s="2" t="s">
        <v>3358</v>
      </c>
      <c r="F1847" s="2" t="s">
        <v>16</v>
      </c>
      <c r="G1847" s="2" t="s">
        <v>41</v>
      </c>
      <c r="H1847" s="2"/>
      <c r="I1847" s="2"/>
      <c r="J1847" s="2" t="s">
        <v>42</v>
      </c>
      <c r="K1847" s="2"/>
      <c r="L1847" s="2" t="s">
        <v>3359</v>
      </c>
    </row>
    <row r="1848" customFormat="false" ht="11.9" hidden="false" customHeight="true" outlineLevel="0" collapsed="false">
      <c r="A1848" s="3" t="str">
        <f aca="false">HYPERLINK("https://www.fabsurplus.com/sdi_catalog/salesItemDetails.do?id=110310")</f>
        <v>https://www.fabsurplus.com/sdi_catalog/salesItemDetails.do?id=110310</v>
      </c>
      <c r="B1848" s="3" t="s">
        <v>4923</v>
      </c>
      <c r="C1848" s="3" t="s">
        <v>4919</v>
      </c>
      <c r="D1848" s="3" t="s">
        <v>4920</v>
      </c>
      <c r="E1848" s="3" t="s">
        <v>3358</v>
      </c>
      <c r="F1848" s="3" t="s">
        <v>16</v>
      </c>
      <c r="G1848" s="3" t="s">
        <v>41</v>
      </c>
      <c r="H1848" s="3"/>
      <c r="I1848" s="3"/>
      <c r="J1848" s="3" t="s">
        <v>42</v>
      </c>
      <c r="K1848" s="3"/>
      <c r="L1848" s="3" t="s">
        <v>3359</v>
      </c>
    </row>
    <row r="1849" customFormat="false" ht="11.9" hidden="false" customHeight="true" outlineLevel="0" collapsed="false">
      <c r="A1849" s="3" t="str">
        <f aca="false">HYPERLINK("https://www.fabsurplus.com/sdi_catalog/salesItemDetails.do?id=80169")</f>
        <v>https://www.fabsurplus.com/sdi_catalog/salesItemDetails.do?id=80169</v>
      </c>
      <c r="B1849" s="3" t="s">
        <v>4924</v>
      </c>
      <c r="C1849" s="3" t="s">
        <v>4925</v>
      </c>
      <c r="D1849" s="3" t="s">
        <v>4926</v>
      </c>
      <c r="E1849" s="3" t="s">
        <v>4927</v>
      </c>
      <c r="F1849" s="3" t="s">
        <v>16</v>
      </c>
      <c r="G1849" s="3"/>
      <c r="H1849" s="3" t="s">
        <v>944</v>
      </c>
      <c r="I1849" s="4" t="n">
        <v>41244</v>
      </c>
      <c r="J1849" s="3" t="s">
        <v>19</v>
      </c>
      <c r="K1849" s="3" t="s">
        <v>20</v>
      </c>
      <c r="L1849" s="5" t="s">
        <v>4928</v>
      </c>
    </row>
    <row r="1850" customFormat="false" ht="11.9" hidden="false" customHeight="true" outlineLevel="0" collapsed="false">
      <c r="A1850" s="3" t="str">
        <f aca="false">HYPERLINK("https://www.fabsurplus.com/sdi_catalog/salesItemDetails.do?id=27877")</f>
        <v>https://www.fabsurplus.com/sdi_catalog/salesItemDetails.do?id=27877</v>
      </c>
      <c r="B1850" s="3" t="s">
        <v>4929</v>
      </c>
      <c r="C1850" s="3" t="s">
        <v>4930</v>
      </c>
      <c r="D1850" s="3" t="s">
        <v>4931</v>
      </c>
      <c r="E1850" s="3" t="s">
        <v>4932</v>
      </c>
      <c r="F1850" s="3" t="s">
        <v>16</v>
      </c>
      <c r="G1850" s="3"/>
      <c r="H1850" s="3"/>
      <c r="I1850" s="3"/>
      <c r="J1850" s="3"/>
      <c r="K1850" s="3"/>
      <c r="L1850" s="3"/>
    </row>
    <row r="1851" customFormat="false" ht="11.9" hidden="false" customHeight="true" outlineLevel="0" collapsed="false">
      <c r="A1851" s="2" t="str">
        <f aca="false">HYPERLINK("https://www.fabsurplus.com/sdi_catalog/salesItemDetails.do?id=27829")</f>
        <v>https://www.fabsurplus.com/sdi_catalog/salesItemDetails.do?id=27829</v>
      </c>
      <c r="B1851" s="2" t="s">
        <v>4933</v>
      </c>
      <c r="C1851" s="2" t="s">
        <v>4930</v>
      </c>
      <c r="D1851" s="2" t="s">
        <v>4934</v>
      </c>
      <c r="E1851" s="2" t="s">
        <v>3106</v>
      </c>
      <c r="F1851" s="2" t="s">
        <v>16</v>
      </c>
      <c r="G1851" s="2"/>
      <c r="H1851" s="2"/>
      <c r="I1851" s="2"/>
      <c r="J1851" s="2"/>
      <c r="K1851" s="2"/>
      <c r="L1851" s="2" t="s">
        <v>4935</v>
      </c>
    </row>
    <row r="1852" customFormat="false" ht="11.9" hidden="false" customHeight="true" outlineLevel="0" collapsed="false">
      <c r="A1852" s="3" t="str">
        <f aca="false">HYPERLINK("https://www.fabsurplus.com/sdi_catalog/salesItemDetails.do?id=27828")</f>
        <v>https://www.fabsurplus.com/sdi_catalog/salesItemDetails.do?id=27828</v>
      </c>
      <c r="B1852" s="3" t="s">
        <v>4936</v>
      </c>
      <c r="C1852" s="3" t="s">
        <v>4930</v>
      </c>
      <c r="D1852" s="3" t="s">
        <v>4937</v>
      </c>
      <c r="E1852" s="3" t="s">
        <v>3106</v>
      </c>
      <c r="F1852" s="3" t="s">
        <v>16</v>
      </c>
      <c r="G1852" s="3"/>
      <c r="H1852" s="3"/>
      <c r="I1852" s="3"/>
      <c r="J1852" s="3"/>
      <c r="K1852" s="3"/>
      <c r="L1852" s="3" t="s">
        <v>4938</v>
      </c>
    </row>
    <row r="1853" customFormat="false" ht="11.9" hidden="false" customHeight="true" outlineLevel="0" collapsed="false">
      <c r="A1853" s="2" t="str">
        <f aca="false">HYPERLINK("https://www.fabsurplus.com/sdi_catalog/salesItemDetails.do?id=27840")</f>
        <v>https://www.fabsurplus.com/sdi_catalog/salesItemDetails.do?id=27840</v>
      </c>
      <c r="B1853" s="2" t="s">
        <v>4939</v>
      </c>
      <c r="C1853" s="2" t="s">
        <v>4930</v>
      </c>
      <c r="D1853" s="2" t="s">
        <v>4940</v>
      </c>
      <c r="E1853" s="2" t="s">
        <v>3106</v>
      </c>
      <c r="F1853" s="2" t="s">
        <v>16</v>
      </c>
      <c r="G1853" s="2"/>
      <c r="H1853" s="2" t="s">
        <v>27</v>
      </c>
      <c r="I1853" s="2"/>
      <c r="J1853" s="2" t="s">
        <v>19</v>
      </c>
      <c r="K1853" s="2" t="s">
        <v>20</v>
      </c>
      <c r="L1853" s="2" t="s">
        <v>4941</v>
      </c>
    </row>
    <row r="1854" customFormat="false" ht="11.9" hidden="false" customHeight="true" outlineLevel="0" collapsed="false">
      <c r="A1854" s="3" t="str">
        <f aca="false">HYPERLINK("https://www.fabsurplus.com/sdi_catalog/salesItemDetails.do?id=27837")</f>
        <v>https://www.fabsurplus.com/sdi_catalog/salesItemDetails.do?id=27837</v>
      </c>
      <c r="B1854" s="3" t="s">
        <v>4942</v>
      </c>
      <c r="C1854" s="3" t="s">
        <v>4930</v>
      </c>
      <c r="D1854" s="3" t="s">
        <v>4940</v>
      </c>
      <c r="E1854" s="3" t="s">
        <v>4943</v>
      </c>
      <c r="F1854" s="3" t="s">
        <v>16</v>
      </c>
      <c r="G1854" s="3"/>
      <c r="H1854" s="3"/>
      <c r="I1854" s="3"/>
      <c r="J1854" s="3"/>
      <c r="K1854" s="3"/>
      <c r="L1854" s="3" t="s">
        <v>4944</v>
      </c>
    </row>
    <row r="1855" customFormat="false" ht="11.9" hidden="false" customHeight="true" outlineLevel="0" collapsed="false">
      <c r="A1855" s="2" t="str">
        <f aca="false">HYPERLINK("https://www.fabsurplus.com/sdi_catalog/salesItemDetails.do?id=27822")</f>
        <v>https://www.fabsurplus.com/sdi_catalog/salesItemDetails.do?id=27822</v>
      </c>
      <c r="B1855" s="2" t="s">
        <v>4945</v>
      </c>
      <c r="C1855" s="2" t="s">
        <v>4930</v>
      </c>
      <c r="D1855" s="2" t="s">
        <v>4946</v>
      </c>
      <c r="E1855" s="2" t="s">
        <v>3106</v>
      </c>
      <c r="F1855" s="2" t="s">
        <v>16</v>
      </c>
      <c r="G1855" s="2" t="s">
        <v>4947</v>
      </c>
      <c r="H1855" s="2" t="s">
        <v>27</v>
      </c>
      <c r="I1855" s="2"/>
      <c r="J1855" s="2"/>
      <c r="K1855" s="2"/>
      <c r="L1855" s="2" t="s">
        <v>4948</v>
      </c>
    </row>
    <row r="1856" customFormat="false" ht="11.9" hidden="false" customHeight="true" outlineLevel="0" collapsed="false">
      <c r="A1856" s="2" t="str">
        <f aca="false">HYPERLINK("https://www.fabsurplus.com/sdi_catalog/salesItemDetails.do?id=27880")</f>
        <v>https://www.fabsurplus.com/sdi_catalog/salesItemDetails.do?id=27880</v>
      </c>
      <c r="B1856" s="2" t="s">
        <v>4949</v>
      </c>
      <c r="C1856" s="2" t="s">
        <v>4930</v>
      </c>
      <c r="D1856" s="2" t="s">
        <v>4946</v>
      </c>
      <c r="E1856" s="2" t="s">
        <v>4950</v>
      </c>
      <c r="F1856" s="2" t="s">
        <v>77</v>
      </c>
      <c r="G1856" s="2" t="s">
        <v>4947</v>
      </c>
      <c r="H1856" s="2" t="s">
        <v>27</v>
      </c>
      <c r="I1856" s="2"/>
      <c r="J1856" s="2" t="s">
        <v>19</v>
      </c>
      <c r="K1856" s="2" t="s">
        <v>20</v>
      </c>
      <c r="L1856" s="6" t="s">
        <v>4951</v>
      </c>
    </row>
    <row r="1857" customFormat="false" ht="11.9" hidden="false" customHeight="true" outlineLevel="0" collapsed="false">
      <c r="A1857" s="3" t="str">
        <f aca="false">HYPERLINK("https://www.fabsurplus.com/sdi_catalog/salesItemDetails.do?id=27881")</f>
        <v>https://www.fabsurplus.com/sdi_catalog/salesItemDetails.do?id=27881</v>
      </c>
      <c r="B1857" s="3" t="s">
        <v>4952</v>
      </c>
      <c r="C1857" s="3" t="s">
        <v>4930</v>
      </c>
      <c r="D1857" s="3" t="s">
        <v>4953</v>
      </c>
      <c r="E1857" s="3" t="s">
        <v>4954</v>
      </c>
      <c r="F1857" s="3" t="s">
        <v>16</v>
      </c>
      <c r="G1857" s="3" t="s">
        <v>3106</v>
      </c>
      <c r="H1857" s="3" t="s">
        <v>27</v>
      </c>
      <c r="I1857" s="3"/>
      <c r="J1857" s="3" t="s">
        <v>19</v>
      </c>
      <c r="K1857" s="3" t="s">
        <v>20</v>
      </c>
      <c r="L1857" s="5" t="s">
        <v>4955</v>
      </c>
    </row>
    <row r="1858" customFormat="false" ht="11.9" hidden="false" customHeight="true" outlineLevel="0" collapsed="false">
      <c r="A1858" s="3" t="str">
        <f aca="false">HYPERLINK("https://www.fabsurplus.com/sdi_catalog/salesItemDetails.do?id=27823")</f>
        <v>https://www.fabsurplus.com/sdi_catalog/salesItemDetails.do?id=27823</v>
      </c>
      <c r="B1858" s="3" t="s">
        <v>4956</v>
      </c>
      <c r="C1858" s="3" t="s">
        <v>4930</v>
      </c>
      <c r="D1858" s="3" t="s">
        <v>4957</v>
      </c>
      <c r="E1858" s="3" t="s">
        <v>3106</v>
      </c>
      <c r="F1858" s="3" t="s">
        <v>16</v>
      </c>
      <c r="G1858" s="3"/>
      <c r="H1858" s="3"/>
      <c r="I1858" s="3"/>
      <c r="J1858" s="3"/>
      <c r="K1858" s="3"/>
      <c r="L1858" s="3" t="s">
        <v>4958</v>
      </c>
    </row>
    <row r="1859" customFormat="false" ht="11.9" hidden="false" customHeight="true" outlineLevel="0" collapsed="false">
      <c r="A1859" s="3" t="str">
        <f aca="false">HYPERLINK("https://www.fabsurplus.com/sdi_catalog/salesItemDetails.do?id=27835")</f>
        <v>https://www.fabsurplus.com/sdi_catalog/salesItemDetails.do?id=27835</v>
      </c>
      <c r="B1859" s="3" t="s">
        <v>4959</v>
      </c>
      <c r="C1859" s="3" t="s">
        <v>4930</v>
      </c>
      <c r="D1859" s="3" t="s">
        <v>4957</v>
      </c>
      <c r="E1859" s="3" t="s">
        <v>4960</v>
      </c>
      <c r="F1859" s="3" t="s">
        <v>16</v>
      </c>
      <c r="G1859" s="3"/>
      <c r="H1859" s="3"/>
      <c r="I1859" s="3"/>
      <c r="J1859" s="3"/>
      <c r="K1859" s="3"/>
      <c r="L1859" s="3" t="s">
        <v>4961</v>
      </c>
    </row>
    <row r="1860" customFormat="false" ht="11.9" hidden="false" customHeight="true" outlineLevel="0" collapsed="false">
      <c r="A1860" s="2" t="str">
        <f aca="false">HYPERLINK("https://www.fabsurplus.com/sdi_catalog/salesItemDetails.do?id=27872")</f>
        <v>https://www.fabsurplus.com/sdi_catalog/salesItemDetails.do?id=27872</v>
      </c>
      <c r="B1860" s="2" t="s">
        <v>4962</v>
      </c>
      <c r="C1860" s="2" t="s">
        <v>4930</v>
      </c>
      <c r="D1860" s="2" t="s">
        <v>4957</v>
      </c>
      <c r="E1860" s="2" t="s">
        <v>4963</v>
      </c>
      <c r="F1860" s="2" t="s">
        <v>16</v>
      </c>
      <c r="G1860" s="2"/>
      <c r="H1860" s="2"/>
      <c r="I1860" s="2"/>
      <c r="J1860" s="2"/>
      <c r="K1860" s="2"/>
      <c r="L1860" s="2"/>
    </row>
    <row r="1861" customFormat="false" ht="11.9" hidden="false" customHeight="true" outlineLevel="0" collapsed="false">
      <c r="A1861" s="2" t="str">
        <f aca="false">HYPERLINK("https://www.fabsurplus.com/sdi_catalog/salesItemDetails.do?id=27827")</f>
        <v>https://www.fabsurplus.com/sdi_catalog/salesItemDetails.do?id=27827</v>
      </c>
      <c r="B1861" s="2" t="s">
        <v>4964</v>
      </c>
      <c r="C1861" s="2" t="s">
        <v>4930</v>
      </c>
      <c r="D1861" s="2" t="s">
        <v>4965</v>
      </c>
      <c r="E1861" s="2" t="s">
        <v>3106</v>
      </c>
      <c r="F1861" s="2" t="s">
        <v>77</v>
      </c>
      <c r="G1861" s="2"/>
      <c r="H1861" s="2"/>
      <c r="I1861" s="2"/>
      <c r="J1861" s="2"/>
      <c r="K1861" s="2"/>
      <c r="L1861" s="2" t="s">
        <v>4966</v>
      </c>
    </row>
    <row r="1862" customFormat="false" ht="11.9" hidden="false" customHeight="true" outlineLevel="0" collapsed="false">
      <c r="A1862" s="2" t="str">
        <f aca="false">HYPERLINK("https://www.fabsurplus.com/sdi_catalog/salesItemDetails.do?id=27836")</f>
        <v>https://www.fabsurplus.com/sdi_catalog/salesItemDetails.do?id=27836</v>
      </c>
      <c r="B1862" s="2" t="s">
        <v>4967</v>
      </c>
      <c r="C1862" s="2" t="s">
        <v>4930</v>
      </c>
      <c r="D1862" s="2" t="s">
        <v>4965</v>
      </c>
      <c r="E1862" s="2" t="s">
        <v>4968</v>
      </c>
      <c r="F1862" s="2" t="s">
        <v>16</v>
      </c>
      <c r="G1862" s="2"/>
      <c r="H1862" s="2"/>
      <c r="I1862" s="2"/>
      <c r="J1862" s="2"/>
      <c r="K1862" s="2"/>
      <c r="L1862" s="2"/>
    </row>
    <row r="1863" customFormat="false" ht="11.9" hidden="false" customHeight="true" outlineLevel="0" collapsed="false">
      <c r="A1863" s="2" t="str">
        <f aca="false">HYPERLINK("https://www.fabsurplus.com/sdi_catalog/salesItemDetails.do?id=27820")</f>
        <v>https://www.fabsurplus.com/sdi_catalog/salesItemDetails.do?id=27820</v>
      </c>
      <c r="B1863" s="2" t="s">
        <v>4969</v>
      </c>
      <c r="C1863" s="2" t="s">
        <v>4930</v>
      </c>
      <c r="D1863" s="2" t="s">
        <v>4970</v>
      </c>
      <c r="E1863" s="2" t="s">
        <v>3106</v>
      </c>
      <c r="F1863" s="2" t="s">
        <v>16</v>
      </c>
      <c r="G1863" s="2"/>
      <c r="H1863" s="2"/>
      <c r="I1863" s="2"/>
      <c r="J1863" s="2"/>
      <c r="K1863" s="2"/>
      <c r="L1863" s="2" t="s">
        <v>4971</v>
      </c>
    </row>
    <row r="1864" customFormat="false" ht="11.9" hidden="false" customHeight="true" outlineLevel="0" collapsed="false">
      <c r="A1864" s="2" t="str">
        <f aca="false">HYPERLINK("https://www.fabsurplus.com/sdi_catalog/salesItemDetails.do?id=27875")</f>
        <v>https://www.fabsurplus.com/sdi_catalog/salesItemDetails.do?id=27875</v>
      </c>
      <c r="B1864" s="2" t="s">
        <v>4972</v>
      </c>
      <c r="C1864" s="2" t="s">
        <v>4930</v>
      </c>
      <c r="D1864" s="2" t="s">
        <v>4973</v>
      </c>
      <c r="E1864" s="2" t="s">
        <v>4974</v>
      </c>
      <c r="F1864" s="2" t="s">
        <v>16</v>
      </c>
      <c r="G1864" s="2" t="s">
        <v>3106</v>
      </c>
      <c r="H1864" s="2" t="s">
        <v>35</v>
      </c>
      <c r="I1864" s="2"/>
      <c r="J1864" s="2" t="s">
        <v>19</v>
      </c>
      <c r="K1864" s="2" t="s">
        <v>20</v>
      </c>
      <c r="L1864" s="2"/>
    </row>
    <row r="1865" customFormat="false" ht="11.9" hidden="false" customHeight="true" outlineLevel="0" collapsed="false">
      <c r="A1865" s="3" t="str">
        <f aca="false">HYPERLINK("https://www.fabsurplus.com/sdi_catalog/salesItemDetails.do?id=27871")</f>
        <v>https://www.fabsurplus.com/sdi_catalog/salesItemDetails.do?id=27871</v>
      </c>
      <c r="B1865" s="3" t="s">
        <v>4975</v>
      </c>
      <c r="C1865" s="3" t="s">
        <v>4930</v>
      </c>
      <c r="D1865" s="3" t="s">
        <v>4976</v>
      </c>
      <c r="E1865" s="3" t="s">
        <v>4977</v>
      </c>
      <c r="F1865" s="3" t="s">
        <v>16</v>
      </c>
      <c r="G1865" s="3"/>
      <c r="H1865" s="3"/>
      <c r="I1865" s="3"/>
      <c r="J1865" s="3"/>
      <c r="K1865" s="3"/>
      <c r="L1865" s="3"/>
    </row>
    <row r="1866" customFormat="false" ht="11.9" hidden="false" customHeight="true" outlineLevel="0" collapsed="false">
      <c r="A1866" s="3" t="str">
        <f aca="false">HYPERLINK("https://www.fabsurplus.com/sdi_catalog/salesItemDetails.do?id=27879")</f>
        <v>https://www.fabsurplus.com/sdi_catalog/salesItemDetails.do?id=27879</v>
      </c>
      <c r="B1866" s="3" t="s">
        <v>4978</v>
      </c>
      <c r="C1866" s="3" t="s">
        <v>4930</v>
      </c>
      <c r="D1866" s="3" t="s">
        <v>4979</v>
      </c>
      <c r="E1866" s="3" t="s">
        <v>4980</v>
      </c>
      <c r="F1866" s="3" t="s">
        <v>16</v>
      </c>
      <c r="G1866" s="3" t="s">
        <v>3106</v>
      </c>
      <c r="H1866" s="3" t="s">
        <v>35</v>
      </c>
      <c r="I1866" s="3"/>
      <c r="J1866" s="3" t="s">
        <v>19</v>
      </c>
      <c r="K1866" s="3" t="s">
        <v>20</v>
      </c>
      <c r="L1866" s="5" t="s">
        <v>4981</v>
      </c>
    </row>
    <row r="1867" customFormat="false" ht="11.9" hidden="false" customHeight="true" outlineLevel="0" collapsed="false">
      <c r="A1867" s="3" t="str">
        <f aca="false">HYPERLINK("https://www.fabsurplus.com/sdi_catalog/salesItemDetails.do?id=27826")</f>
        <v>https://www.fabsurplus.com/sdi_catalog/salesItemDetails.do?id=27826</v>
      </c>
      <c r="B1867" s="3" t="s">
        <v>4982</v>
      </c>
      <c r="C1867" s="3" t="s">
        <v>4930</v>
      </c>
      <c r="D1867" s="3" t="s">
        <v>4983</v>
      </c>
      <c r="E1867" s="3" t="s">
        <v>4984</v>
      </c>
      <c r="F1867" s="3" t="s">
        <v>16</v>
      </c>
      <c r="G1867" s="3" t="s">
        <v>3106</v>
      </c>
      <c r="H1867" s="3" t="s">
        <v>27</v>
      </c>
      <c r="I1867" s="3"/>
      <c r="J1867" s="3" t="s">
        <v>19</v>
      </c>
      <c r="K1867" s="3" t="s">
        <v>20</v>
      </c>
      <c r="L1867" s="3" t="s">
        <v>4985</v>
      </c>
    </row>
    <row r="1868" customFormat="false" ht="11.9" hidden="false" customHeight="true" outlineLevel="0" collapsed="false">
      <c r="A1868" s="3" t="str">
        <f aca="false">HYPERLINK("https://www.fabsurplus.com/sdi_catalog/salesItemDetails.do?id=27873")</f>
        <v>https://www.fabsurplus.com/sdi_catalog/salesItemDetails.do?id=27873</v>
      </c>
      <c r="B1868" s="3" t="s">
        <v>4986</v>
      </c>
      <c r="C1868" s="3" t="s">
        <v>4930</v>
      </c>
      <c r="D1868" s="3" t="s">
        <v>4987</v>
      </c>
      <c r="E1868" s="3" t="s">
        <v>4988</v>
      </c>
      <c r="F1868" s="3" t="s">
        <v>16</v>
      </c>
      <c r="G1868" s="3"/>
      <c r="H1868" s="3"/>
      <c r="I1868" s="3"/>
      <c r="J1868" s="3"/>
      <c r="K1868" s="3"/>
      <c r="L1868" s="3"/>
    </row>
    <row r="1869" customFormat="false" ht="11.9" hidden="false" customHeight="true" outlineLevel="0" collapsed="false">
      <c r="A1869" s="3" t="str">
        <f aca="false">HYPERLINK("https://www.fabsurplus.com/sdi_catalog/salesItemDetails.do?id=95593")</f>
        <v>https://www.fabsurplus.com/sdi_catalog/salesItemDetails.do?id=95593</v>
      </c>
      <c r="B1869" s="3" t="s">
        <v>4989</v>
      </c>
      <c r="C1869" s="3" t="s">
        <v>4930</v>
      </c>
      <c r="D1869" s="3" t="s">
        <v>4990</v>
      </c>
      <c r="E1869" s="3" t="s">
        <v>4991</v>
      </c>
      <c r="F1869" s="3" t="s">
        <v>16</v>
      </c>
      <c r="G1869" s="3" t="s">
        <v>26</v>
      </c>
      <c r="H1869" s="3" t="s">
        <v>35</v>
      </c>
      <c r="I1869" s="3"/>
      <c r="J1869" s="3" t="s">
        <v>19</v>
      </c>
      <c r="K1869" s="3" t="s">
        <v>20</v>
      </c>
      <c r="L1869" s="5" t="s">
        <v>4992</v>
      </c>
    </row>
    <row r="1870" customFormat="false" ht="11.9" hidden="false" customHeight="true" outlineLevel="0" collapsed="false">
      <c r="A1870" s="3" t="str">
        <f aca="false">HYPERLINK("https://www.fabsurplus.com/sdi_catalog/salesItemDetails.do?id=95583")</f>
        <v>https://www.fabsurplus.com/sdi_catalog/salesItemDetails.do?id=95583</v>
      </c>
      <c r="B1870" s="3" t="s">
        <v>4993</v>
      </c>
      <c r="C1870" s="3" t="s">
        <v>4930</v>
      </c>
      <c r="D1870" s="3" t="s">
        <v>4990</v>
      </c>
      <c r="E1870" s="3" t="s">
        <v>4994</v>
      </c>
      <c r="F1870" s="3" t="s">
        <v>16</v>
      </c>
      <c r="G1870" s="3" t="s">
        <v>26</v>
      </c>
      <c r="H1870" s="3" t="s">
        <v>35</v>
      </c>
      <c r="I1870" s="3"/>
      <c r="J1870" s="3" t="s">
        <v>19</v>
      </c>
      <c r="K1870" s="3" t="s">
        <v>20</v>
      </c>
      <c r="L1870" s="5" t="s">
        <v>4995</v>
      </c>
    </row>
    <row r="1871" customFormat="false" ht="11.9" hidden="false" customHeight="true" outlineLevel="0" collapsed="false">
      <c r="A1871" s="2" t="str">
        <f aca="false">HYPERLINK("https://www.fabsurplus.com/sdi_catalog/salesItemDetails.do?id=95602")</f>
        <v>https://www.fabsurplus.com/sdi_catalog/salesItemDetails.do?id=95602</v>
      </c>
      <c r="B1871" s="2" t="s">
        <v>4996</v>
      </c>
      <c r="C1871" s="2" t="s">
        <v>4930</v>
      </c>
      <c r="D1871" s="2" t="s">
        <v>4990</v>
      </c>
      <c r="E1871" s="2" t="s">
        <v>4997</v>
      </c>
      <c r="F1871" s="2" t="s">
        <v>16</v>
      </c>
      <c r="G1871" s="2" t="s">
        <v>26</v>
      </c>
      <c r="H1871" s="2" t="s">
        <v>35</v>
      </c>
      <c r="I1871" s="2"/>
      <c r="J1871" s="2" t="s">
        <v>19</v>
      </c>
      <c r="K1871" s="2" t="s">
        <v>20</v>
      </c>
      <c r="L1871" s="6" t="s">
        <v>4998</v>
      </c>
    </row>
    <row r="1872" customFormat="false" ht="11.9" hidden="false" customHeight="true" outlineLevel="0" collapsed="false">
      <c r="A1872" s="3" t="str">
        <f aca="false">HYPERLINK("https://www.fabsurplus.com/sdi_catalog/salesItemDetails.do?id=95603")</f>
        <v>https://www.fabsurplus.com/sdi_catalog/salesItemDetails.do?id=95603</v>
      </c>
      <c r="B1872" s="3" t="s">
        <v>4999</v>
      </c>
      <c r="C1872" s="3" t="s">
        <v>4930</v>
      </c>
      <c r="D1872" s="3" t="s">
        <v>4990</v>
      </c>
      <c r="E1872" s="3" t="s">
        <v>5000</v>
      </c>
      <c r="F1872" s="3" t="s">
        <v>16</v>
      </c>
      <c r="G1872" s="3" t="s">
        <v>26</v>
      </c>
      <c r="H1872" s="3" t="s">
        <v>35</v>
      </c>
      <c r="I1872" s="4" t="n">
        <v>36556.9583333333</v>
      </c>
      <c r="J1872" s="3" t="s">
        <v>19</v>
      </c>
      <c r="K1872" s="3" t="s">
        <v>20</v>
      </c>
      <c r="L1872" s="5" t="s">
        <v>5001</v>
      </c>
    </row>
    <row r="1873" customFormat="false" ht="11.9" hidden="false" customHeight="true" outlineLevel="0" collapsed="false">
      <c r="A1873" s="2" t="str">
        <f aca="false">HYPERLINK("https://www.fabsurplus.com/sdi_catalog/salesItemDetails.do?id=95604")</f>
        <v>https://www.fabsurplus.com/sdi_catalog/salesItemDetails.do?id=95604</v>
      </c>
      <c r="B1873" s="2" t="s">
        <v>5002</v>
      </c>
      <c r="C1873" s="2" t="s">
        <v>4930</v>
      </c>
      <c r="D1873" s="2" t="s">
        <v>4990</v>
      </c>
      <c r="E1873" s="2" t="s">
        <v>5003</v>
      </c>
      <c r="F1873" s="2" t="s">
        <v>16</v>
      </c>
      <c r="G1873" s="2" t="s">
        <v>26</v>
      </c>
      <c r="H1873" s="2" t="s">
        <v>35</v>
      </c>
      <c r="I1873" s="2"/>
      <c r="J1873" s="2" t="s">
        <v>19</v>
      </c>
      <c r="K1873" s="2" t="s">
        <v>20</v>
      </c>
      <c r="L1873" s="6" t="s">
        <v>5004</v>
      </c>
    </row>
    <row r="1874" customFormat="false" ht="11.9" hidden="false" customHeight="true" outlineLevel="0" collapsed="false">
      <c r="A1874" s="2" t="str">
        <f aca="false">HYPERLINK("https://www.fabsurplus.com/sdi_catalog/salesItemDetails.do?id=95608")</f>
        <v>https://www.fabsurplus.com/sdi_catalog/salesItemDetails.do?id=95608</v>
      </c>
      <c r="B1874" s="2" t="s">
        <v>5005</v>
      </c>
      <c r="C1874" s="2" t="s">
        <v>4930</v>
      </c>
      <c r="D1874" s="2" t="s">
        <v>4990</v>
      </c>
      <c r="E1874" s="2" t="s">
        <v>5006</v>
      </c>
      <c r="F1874" s="2" t="s">
        <v>16</v>
      </c>
      <c r="G1874" s="2" t="s">
        <v>26</v>
      </c>
      <c r="H1874" s="2" t="s">
        <v>35</v>
      </c>
      <c r="I1874" s="2"/>
      <c r="J1874" s="2" t="s">
        <v>19</v>
      </c>
      <c r="K1874" s="2" t="s">
        <v>20</v>
      </c>
      <c r="L1874" s="6" t="s">
        <v>5004</v>
      </c>
    </row>
    <row r="1875" customFormat="false" ht="11.9" hidden="false" customHeight="true" outlineLevel="0" collapsed="false">
      <c r="A1875" s="3" t="str">
        <f aca="false">HYPERLINK("https://www.fabsurplus.com/sdi_catalog/salesItemDetails.do?id=95607")</f>
        <v>https://www.fabsurplus.com/sdi_catalog/salesItemDetails.do?id=95607</v>
      </c>
      <c r="B1875" s="3" t="s">
        <v>5007</v>
      </c>
      <c r="C1875" s="3" t="s">
        <v>4930</v>
      </c>
      <c r="D1875" s="3" t="s">
        <v>4990</v>
      </c>
      <c r="E1875" s="3" t="s">
        <v>5008</v>
      </c>
      <c r="F1875" s="3" t="s">
        <v>16</v>
      </c>
      <c r="G1875" s="3" t="s">
        <v>26</v>
      </c>
      <c r="H1875" s="3" t="s">
        <v>35</v>
      </c>
      <c r="I1875" s="3"/>
      <c r="J1875" s="3" t="s">
        <v>19</v>
      </c>
      <c r="K1875" s="3" t="s">
        <v>20</v>
      </c>
      <c r="L1875" s="5" t="s">
        <v>5004</v>
      </c>
    </row>
    <row r="1876" customFormat="false" ht="11.9" hidden="false" customHeight="true" outlineLevel="0" collapsed="false">
      <c r="A1876" s="3" t="str">
        <f aca="false">HYPERLINK("https://www.fabsurplus.com/sdi_catalog/salesItemDetails.do?id=95605")</f>
        <v>https://www.fabsurplus.com/sdi_catalog/salesItemDetails.do?id=95605</v>
      </c>
      <c r="B1876" s="3" t="s">
        <v>5009</v>
      </c>
      <c r="C1876" s="3" t="s">
        <v>4930</v>
      </c>
      <c r="D1876" s="3" t="s">
        <v>4990</v>
      </c>
      <c r="E1876" s="3" t="s">
        <v>5010</v>
      </c>
      <c r="F1876" s="3" t="s">
        <v>16</v>
      </c>
      <c r="G1876" s="3" t="s">
        <v>26</v>
      </c>
      <c r="H1876" s="3" t="s">
        <v>35</v>
      </c>
      <c r="I1876" s="3"/>
      <c r="J1876" s="3" t="s">
        <v>19</v>
      </c>
      <c r="K1876" s="3" t="s">
        <v>20</v>
      </c>
      <c r="L1876" s="5" t="s">
        <v>5004</v>
      </c>
    </row>
    <row r="1877" customFormat="false" ht="11.9" hidden="false" customHeight="true" outlineLevel="0" collapsed="false">
      <c r="A1877" s="2" t="str">
        <f aca="false">HYPERLINK("https://www.fabsurplus.com/sdi_catalog/salesItemDetails.do?id=95606")</f>
        <v>https://www.fabsurplus.com/sdi_catalog/salesItemDetails.do?id=95606</v>
      </c>
      <c r="B1877" s="2" t="s">
        <v>5011</v>
      </c>
      <c r="C1877" s="2" t="s">
        <v>4930</v>
      </c>
      <c r="D1877" s="2" t="s">
        <v>4990</v>
      </c>
      <c r="E1877" s="2" t="s">
        <v>5012</v>
      </c>
      <c r="F1877" s="2" t="s">
        <v>16</v>
      </c>
      <c r="G1877" s="2" t="s">
        <v>26</v>
      </c>
      <c r="H1877" s="2" t="s">
        <v>35</v>
      </c>
      <c r="I1877" s="7" t="n">
        <v>34880.9166666667</v>
      </c>
      <c r="J1877" s="2" t="s">
        <v>19</v>
      </c>
      <c r="K1877" s="2" t="s">
        <v>20</v>
      </c>
      <c r="L1877" s="6" t="s">
        <v>5004</v>
      </c>
    </row>
    <row r="1878" customFormat="false" ht="11.9" hidden="false" customHeight="true" outlineLevel="0" collapsed="false">
      <c r="A1878" s="2" t="str">
        <f aca="false">HYPERLINK("https://www.fabsurplus.com/sdi_catalog/salesItemDetails.do?id=95592")</f>
        <v>https://www.fabsurplus.com/sdi_catalog/salesItemDetails.do?id=95592</v>
      </c>
      <c r="B1878" s="2" t="s">
        <v>5013</v>
      </c>
      <c r="C1878" s="2" t="s">
        <v>4930</v>
      </c>
      <c r="D1878" s="2" t="s">
        <v>4990</v>
      </c>
      <c r="E1878" s="2" t="s">
        <v>5014</v>
      </c>
      <c r="F1878" s="2" t="s">
        <v>16</v>
      </c>
      <c r="G1878" s="2" t="s">
        <v>26</v>
      </c>
      <c r="H1878" s="2" t="s">
        <v>35</v>
      </c>
      <c r="I1878" s="2"/>
      <c r="J1878" s="2" t="s">
        <v>19</v>
      </c>
      <c r="K1878" s="2" t="s">
        <v>20</v>
      </c>
      <c r="L1878" s="6" t="s">
        <v>5015</v>
      </c>
    </row>
    <row r="1879" customFormat="false" ht="11.9" hidden="false" customHeight="true" outlineLevel="0" collapsed="false">
      <c r="A1879" s="3" t="str">
        <f aca="false">HYPERLINK("https://www.fabsurplus.com/sdi_catalog/salesItemDetails.do?id=95585")</f>
        <v>https://www.fabsurplus.com/sdi_catalog/salesItemDetails.do?id=95585</v>
      </c>
      <c r="B1879" s="3" t="s">
        <v>5016</v>
      </c>
      <c r="C1879" s="3" t="s">
        <v>4930</v>
      </c>
      <c r="D1879" s="3" t="s">
        <v>4990</v>
      </c>
      <c r="E1879" s="3" t="s">
        <v>5017</v>
      </c>
      <c r="F1879" s="3" t="s">
        <v>16</v>
      </c>
      <c r="G1879" s="3" t="s">
        <v>26</v>
      </c>
      <c r="H1879" s="3" t="s">
        <v>35</v>
      </c>
      <c r="I1879" s="3"/>
      <c r="J1879" s="3" t="s">
        <v>19</v>
      </c>
      <c r="K1879" s="3" t="s">
        <v>20</v>
      </c>
      <c r="L1879" s="5" t="s">
        <v>5018</v>
      </c>
    </row>
    <row r="1880" customFormat="false" ht="11.9" hidden="false" customHeight="true" outlineLevel="0" collapsed="false">
      <c r="A1880" s="2" t="str">
        <f aca="false">HYPERLINK("https://www.fabsurplus.com/sdi_catalog/salesItemDetails.do?id=95584")</f>
        <v>https://www.fabsurplus.com/sdi_catalog/salesItemDetails.do?id=95584</v>
      </c>
      <c r="B1880" s="2" t="s">
        <v>5019</v>
      </c>
      <c r="C1880" s="2" t="s">
        <v>4930</v>
      </c>
      <c r="D1880" s="2" t="s">
        <v>4990</v>
      </c>
      <c r="E1880" s="2" t="s">
        <v>5020</v>
      </c>
      <c r="F1880" s="2" t="s">
        <v>16</v>
      </c>
      <c r="G1880" s="2" t="s">
        <v>26</v>
      </c>
      <c r="H1880" s="2" t="s">
        <v>35</v>
      </c>
      <c r="I1880" s="2"/>
      <c r="J1880" s="2" t="s">
        <v>19</v>
      </c>
      <c r="K1880" s="2" t="s">
        <v>20</v>
      </c>
      <c r="L1880" s="6" t="s">
        <v>5021</v>
      </c>
    </row>
    <row r="1881" customFormat="false" ht="11.9" hidden="false" customHeight="true" outlineLevel="0" collapsed="false">
      <c r="A1881" s="3" t="str">
        <f aca="false">HYPERLINK("https://www.fabsurplus.com/sdi_catalog/salesItemDetails.do?id=95587")</f>
        <v>https://www.fabsurplus.com/sdi_catalog/salesItemDetails.do?id=95587</v>
      </c>
      <c r="B1881" s="3" t="s">
        <v>5022</v>
      </c>
      <c r="C1881" s="3" t="s">
        <v>4930</v>
      </c>
      <c r="D1881" s="3" t="s">
        <v>4990</v>
      </c>
      <c r="E1881" s="3" t="s">
        <v>5023</v>
      </c>
      <c r="F1881" s="3" t="s">
        <v>16</v>
      </c>
      <c r="G1881" s="3" t="s">
        <v>26</v>
      </c>
      <c r="H1881" s="3" t="s">
        <v>35</v>
      </c>
      <c r="I1881" s="4" t="n">
        <v>36311.9166666667</v>
      </c>
      <c r="J1881" s="3" t="s">
        <v>19</v>
      </c>
      <c r="K1881" s="3" t="s">
        <v>20</v>
      </c>
      <c r="L1881" s="5" t="s">
        <v>5024</v>
      </c>
    </row>
    <row r="1882" customFormat="false" ht="11.9" hidden="false" customHeight="true" outlineLevel="0" collapsed="false">
      <c r="A1882" s="2" t="str">
        <f aca="false">HYPERLINK("https://www.fabsurplus.com/sdi_catalog/salesItemDetails.do?id=95586")</f>
        <v>https://www.fabsurplus.com/sdi_catalog/salesItemDetails.do?id=95586</v>
      </c>
      <c r="B1882" s="2" t="s">
        <v>5025</v>
      </c>
      <c r="C1882" s="2" t="s">
        <v>4930</v>
      </c>
      <c r="D1882" s="2" t="s">
        <v>4990</v>
      </c>
      <c r="E1882" s="2" t="s">
        <v>5026</v>
      </c>
      <c r="F1882" s="2" t="s">
        <v>16</v>
      </c>
      <c r="G1882" s="2" t="s">
        <v>26</v>
      </c>
      <c r="H1882" s="2" t="s">
        <v>35</v>
      </c>
      <c r="I1882" s="2"/>
      <c r="J1882" s="2" t="s">
        <v>19</v>
      </c>
      <c r="K1882" s="2" t="s">
        <v>20</v>
      </c>
      <c r="L1882" s="6" t="s">
        <v>5027</v>
      </c>
    </row>
    <row r="1883" customFormat="false" ht="11.9" hidden="false" customHeight="true" outlineLevel="0" collapsed="false">
      <c r="A1883" s="2" t="str">
        <f aca="false">HYPERLINK("https://www.fabsurplus.com/sdi_catalog/salesItemDetails.do?id=95582")</f>
        <v>https://www.fabsurplus.com/sdi_catalog/salesItemDetails.do?id=95582</v>
      </c>
      <c r="B1883" s="2" t="s">
        <v>5028</v>
      </c>
      <c r="C1883" s="2" t="s">
        <v>4930</v>
      </c>
      <c r="D1883" s="2" t="s">
        <v>4990</v>
      </c>
      <c r="E1883" s="2" t="s">
        <v>5029</v>
      </c>
      <c r="F1883" s="2" t="s">
        <v>16</v>
      </c>
      <c r="G1883" s="2" t="s">
        <v>26</v>
      </c>
      <c r="H1883" s="2" t="s">
        <v>35</v>
      </c>
      <c r="I1883" s="2"/>
      <c r="J1883" s="2" t="s">
        <v>19</v>
      </c>
      <c r="K1883" s="2" t="s">
        <v>20</v>
      </c>
      <c r="L1883" s="6" t="s">
        <v>5030</v>
      </c>
    </row>
    <row r="1884" customFormat="false" ht="11.9" hidden="false" customHeight="true" outlineLevel="0" collapsed="false">
      <c r="A1884" s="2" t="str">
        <f aca="false">HYPERLINK("https://www.fabsurplus.com/sdi_catalog/salesItemDetails.do?id=95588")</f>
        <v>https://www.fabsurplus.com/sdi_catalog/salesItemDetails.do?id=95588</v>
      </c>
      <c r="B1884" s="2" t="s">
        <v>5031</v>
      </c>
      <c r="C1884" s="2" t="s">
        <v>4930</v>
      </c>
      <c r="D1884" s="2" t="s">
        <v>4990</v>
      </c>
      <c r="E1884" s="2" t="s">
        <v>5032</v>
      </c>
      <c r="F1884" s="2" t="s">
        <v>16</v>
      </c>
      <c r="G1884" s="2" t="s">
        <v>26</v>
      </c>
      <c r="H1884" s="2" t="s">
        <v>35</v>
      </c>
      <c r="I1884" s="7" t="n">
        <v>36281</v>
      </c>
      <c r="J1884" s="2" t="s">
        <v>19</v>
      </c>
      <c r="K1884" s="2" t="s">
        <v>20</v>
      </c>
      <c r="L1884" s="6" t="s">
        <v>5033</v>
      </c>
    </row>
    <row r="1885" customFormat="false" ht="11.9" hidden="false" customHeight="true" outlineLevel="0" collapsed="false">
      <c r="A1885" s="3" t="str">
        <f aca="false">HYPERLINK("https://www.fabsurplus.com/sdi_catalog/salesItemDetails.do?id=95581")</f>
        <v>https://www.fabsurplus.com/sdi_catalog/salesItemDetails.do?id=95581</v>
      </c>
      <c r="B1885" s="3" t="s">
        <v>5034</v>
      </c>
      <c r="C1885" s="3" t="s">
        <v>4930</v>
      </c>
      <c r="D1885" s="3" t="s">
        <v>4990</v>
      </c>
      <c r="E1885" s="3" t="s">
        <v>5035</v>
      </c>
      <c r="F1885" s="3" t="s">
        <v>77</v>
      </c>
      <c r="G1885" s="3" t="s">
        <v>26</v>
      </c>
      <c r="H1885" s="3" t="s">
        <v>35</v>
      </c>
      <c r="I1885" s="3"/>
      <c r="J1885" s="3" t="s">
        <v>19</v>
      </c>
      <c r="K1885" s="3" t="s">
        <v>20</v>
      </c>
      <c r="L1885" s="5" t="s">
        <v>5036</v>
      </c>
    </row>
    <row r="1886" customFormat="false" ht="11.9" hidden="false" customHeight="true" outlineLevel="0" collapsed="false">
      <c r="A1886" s="3" t="str">
        <f aca="false">HYPERLINK("https://www.fabsurplus.com/sdi_catalog/salesItemDetails.do?id=95596")</f>
        <v>https://www.fabsurplus.com/sdi_catalog/salesItemDetails.do?id=95596</v>
      </c>
      <c r="B1886" s="3" t="s">
        <v>5037</v>
      </c>
      <c r="C1886" s="3" t="s">
        <v>4930</v>
      </c>
      <c r="D1886" s="3" t="s">
        <v>4990</v>
      </c>
      <c r="E1886" s="3" t="s">
        <v>5038</v>
      </c>
      <c r="F1886" s="3" t="s">
        <v>16</v>
      </c>
      <c r="G1886" s="3" t="s">
        <v>26</v>
      </c>
      <c r="H1886" s="3" t="s">
        <v>35</v>
      </c>
      <c r="I1886" s="3"/>
      <c r="J1886" s="3" t="s">
        <v>19</v>
      </c>
      <c r="K1886" s="3" t="s">
        <v>20</v>
      </c>
      <c r="L1886" s="5" t="s">
        <v>5039</v>
      </c>
    </row>
    <row r="1887" customFormat="false" ht="11.9" hidden="false" customHeight="true" outlineLevel="0" collapsed="false">
      <c r="A1887" s="2" t="str">
        <f aca="false">HYPERLINK("https://www.fabsurplus.com/sdi_catalog/salesItemDetails.do?id=95595")</f>
        <v>https://www.fabsurplus.com/sdi_catalog/salesItemDetails.do?id=95595</v>
      </c>
      <c r="B1887" s="2" t="s">
        <v>5040</v>
      </c>
      <c r="C1887" s="2" t="s">
        <v>4930</v>
      </c>
      <c r="D1887" s="2" t="s">
        <v>4990</v>
      </c>
      <c r="E1887" s="2" t="s">
        <v>5041</v>
      </c>
      <c r="F1887" s="2" t="s">
        <v>16</v>
      </c>
      <c r="G1887" s="2" t="s">
        <v>26</v>
      </c>
      <c r="H1887" s="2" t="s">
        <v>35</v>
      </c>
      <c r="I1887" s="7" t="n">
        <v>34942.9166666667</v>
      </c>
      <c r="J1887" s="2" t="s">
        <v>19</v>
      </c>
      <c r="K1887" s="2" t="s">
        <v>20</v>
      </c>
      <c r="L1887" s="6" t="s">
        <v>5042</v>
      </c>
    </row>
    <row r="1888" customFormat="false" ht="11.9" hidden="false" customHeight="true" outlineLevel="0" collapsed="false">
      <c r="A1888" s="2" t="str">
        <f aca="false">HYPERLINK("https://www.fabsurplus.com/sdi_catalog/salesItemDetails.do?id=95580")</f>
        <v>https://www.fabsurplus.com/sdi_catalog/salesItemDetails.do?id=95580</v>
      </c>
      <c r="B1888" s="2" t="s">
        <v>5043</v>
      </c>
      <c r="C1888" s="2" t="s">
        <v>4930</v>
      </c>
      <c r="D1888" s="2" t="s">
        <v>4990</v>
      </c>
      <c r="E1888" s="2" t="s">
        <v>5044</v>
      </c>
      <c r="F1888" s="2" t="s">
        <v>16</v>
      </c>
      <c r="G1888" s="2" t="s">
        <v>26</v>
      </c>
      <c r="H1888" s="2" t="s">
        <v>35</v>
      </c>
      <c r="I1888" s="2"/>
      <c r="J1888" s="2" t="s">
        <v>19</v>
      </c>
      <c r="K1888" s="2" t="s">
        <v>20</v>
      </c>
      <c r="L1888" s="6" t="s">
        <v>5045</v>
      </c>
    </row>
    <row r="1889" customFormat="false" ht="11.9" hidden="false" customHeight="true" outlineLevel="0" collapsed="false">
      <c r="A1889" s="3" t="str">
        <f aca="false">HYPERLINK("https://www.fabsurplus.com/sdi_catalog/salesItemDetails.do?id=106015")</f>
        <v>https://www.fabsurplus.com/sdi_catalog/salesItemDetails.do?id=106015</v>
      </c>
      <c r="B1889" s="3" t="s">
        <v>5046</v>
      </c>
      <c r="C1889" s="3" t="s">
        <v>4930</v>
      </c>
      <c r="D1889" s="3" t="s">
        <v>4990</v>
      </c>
      <c r="E1889" s="3" t="s">
        <v>5047</v>
      </c>
      <c r="F1889" s="3" t="s">
        <v>16</v>
      </c>
      <c r="G1889" s="3" t="s">
        <v>26</v>
      </c>
      <c r="H1889" s="3" t="s">
        <v>35</v>
      </c>
      <c r="I1889" s="3"/>
      <c r="J1889" s="3" t="s">
        <v>19</v>
      </c>
      <c r="K1889" s="3" t="s">
        <v>20</v>
      </c>
      <c r="L1889" s="5" t="s">
        <v>5048</v>
      </c>
    </row>
    <row r="1890" customFormat="false" ht="11.9" hidden="false" customHeight="true" outlineLevel="0" collapsed="false">
      <c r="A1890" s="3" t="str">
        <f aca="false">HYPERLINK("https://www.fabsurplus.com/sdi_catalog/salesItemDetails.do?id=95591")</f>
        <v>https://www.fabsurplus.com/sdi_catalog/salesItemDetails.do?id=95591</v>
      </c>
      <c r="B1890" s="3" t="s">
        <v>5049</v>
      </c>
      <c r="C1890" s="3" t="s">
        <v>4930</v>
      </c>
      <c r="D1890" s="3" t="s">
        <v>4990</v>
      </c>
      <c r="E1890" s="3" t="s">
        <v>5050</v>
      </c>
      <c r="F1890" s="3" t="s">
        <v>16</v>
      </c>
      <c r="G1890" s="3" t="s">
        <v>26</v>
      </c>
      <c r="H1890" s="3" t="s">
        <v>35</v>
      </c>
      <c r="I1890" s="4" t="n">
        <v>36311.9166666667</v>
      </c>
      <c r="J1890" s="3" t="s">
        <v>19</v>
      </c>
      <c r="K1890" s="3" t="s">
        <v>20</v>
      </c>
      <c r="L1890" s="5" t="s">
        <v>5051</v>
      </c>
    </row>
    <row r="1891" customFormat="false" ht="11.9" hidden="false" customHeight="true" outlineLevel="0" collapsed="false">
      <c r="A1891" s="2" t="str">
        <f aca="false">HYPERLINK("https://www.fabsurplus.com/sdi_catalog/salesItemDetails.do?id=83516")</f>
        <v>https://www.fabsurplus.com/sdi_catalog/salesItemDetails.do?id=83516</v>
      </c>
      <c r="B1891" s="2" t="s">
        <v>5052</v>
      </c>
      <c r="C1891" s="2" t="s">
        <v>4930</v>
      </c>
      <c r="D1891" s="2" t="s">
        <v>4990</v>
      </c>
      <c r="E1891" s="2" t="s">
        <v>5053</v>
      </c>
      <c r="F1891" s="2" t="s">
        <v>16</v>
      </c>
      <c r="G1891" s="2" t="s">
        <v>17</v>
      </c>
      <c r="H1891" s="2" t="s">
        <v>35</v>
      </c>
      <c r="I1891" s="7" t="n">
        <v>36647</v>
      </c>
      <c r="J1891" s="2" t="s">
        <v>19</v>
      </c>
      <c r="K1891" s="2" t="s">
        <v>20</v>
      </c>
      <c r="L1891" s="6" t="s">
        <v>5054</v>
      </c>
    </row>
    <row r="1892" customFormat="false" ht="11.9" hidden="false" customHeight="true" outlineLevel="0" collapsed="false">
      <c r="A1892" s="3" t="str">
        <f aca="false">HYPERLINK("https://www.fabsurplus.com/sdi_catalog/salesItemDetails.do?id=86277")</f>
        <v>https://www.fabsurplus.com/sdi_catalog/salesItemDetails.do?id=86277</v>
      </c>
      <c r="B1892" s="3" t="s">
        <v>5055</v>
      </c>
      <c r="C1892" s="3" t="s">
        <v>4930</v>
      </c>
      <c r="D1892" s="3" t="s">
        <v>4990</v>
      </c>
      <c r="E1892" s="3" t="s">
        <v>5056</v>
      </c>
      <c r="F1892" s="3" t="s">
        <v>16</v>
      </c>
      <c r="G1892" s="3" t="s">
        <v>17</v>
      </c>
      <c r="H1892" s="3" t="s">
        <v>27</v>
      </c>
      <c r="I1892" s="4" t="n">
        <v>36770</v>
      </c>
      <c r="J1892" s="3" t="s">
        <v>19</v>
      </c>
      <c r="K1892" s="3" t="s">
        <v>20</v>
      </c>
      <c r="L1892" s="5" t="s">
        <v>5057</v>
      </c>
    </row>
    <row r="1893" customFormat="false" ht="11.9" hidden="false" customHeight="true" outlineLevel="0" collapsed="false">
      <c r="A1893" s="2" t="str">
        <f aca="false">HYPERLINK("https://www.fabsurplus.com/sdi_catalog/salesItemDetails.do?id=95574")</f>
        <v>https://www.fabsurplus.com/sdi_catalog/salesItemDetails.do?id=95574</v>
      </c>
      <c r="B1893" s="2" t="s">
        <v>5058</v>
      </c>
      <c r="C1893" s="2" t="s">
        <v>4930</v>
      </c>
      <c r="D1893" s="2" t="s">
        <v>5059</v>
      </c>
      <c r="E1893" s="2" t="s">
        <v>5060</v>
      </c>
      <c r="F1893" s="2" t="s">
        <v>16</v>
      </c>
      <c r="G1893" s="2" t="s">
        <v>26</v>
      </c>
      <c r="H1893" s="2" t="s">
        <v>1691</v>
      </c>
      <c r="I1893" s="2"/>
      <c r="J1893" s="2" t="s">
        <v>19</v>
      </c>
      <c r="K1893" s="2" t="s">
        <v>20</v>
      </c>
      <c r="L1893" s="6" t="s">
        <v>5061</v>
      </c>
    </row>
    <row r="1894" customFormat="false" ht="11.9" hidden="false" customHeight="true" outlineLevel="0" collapsed="false">
      <c r="A1894" s="3" t="str">
        <f aca="false">HYPERLINK("https://www.fabsurplus.com/sdi_catalog/salesItemDetails.do?id=95577")</f>
        <v>https://www.fabsurplus.com/sdi_catalog/salesItemDetails.do?id=95577</v>
      </c>
      <c r="B1894" s="3" t="s">
        <v>5062</v>
      </c>
      <c r="C1894" s="3" t="s">
        <v>4930</v>
      </c>
      <c r="D1894" s="3" t="s">
        <v>5063</v>
      </c>
      <c r="E1894" s="3" t="s">
        <v>5064</v>
      </c>
      <c r="F1894" s="3" t="s">
        <v>77</v>
      </c>
      <c r="G1894" s="3" t="s">
        <v>26</v>
      </c>
      <c r="H1894" s="3" t="s">
        <v>35</v>
      </c>
      <c r="I1894" s="3"/>
      <c r="J1894" s="3" t="s">
        <v>19</v>
      </c>
      <c r="K1894" s="3" t="s">
        <v>20</v>
      </c>
      <c r="L1894" s="5" t="s">
        <v>5065</v>
      </c>
    </row>
    <row r="1895" customFormat="false" ht="11.9" hidden="false" customHeight="true" outlineLevel="0" collapsed="false">
      <c r="A1895" s="3" t="str">
        <f aca="false">HYPERLINK("https://www.fabsurplus.com/sdi_catalog/salesItemDetails.do?id=95575")</f>
        <v>https://www.fabsurplus.com/sdi_catalog/salesItemDetails.do?id=95575</v>
      </c>
      <c r="B1895" s="3" t="s">
        <v>5066</v>
      </c>
      <c r="C1895" s="3" t="s">
        <v>4930</v>
      </c>
      <c r="D1895" s="3" t="s">
        <v>5067</v>
      </c>
      <c r="E1895" s="3" t="s">
        <v>5068</v>
      </c>
      <c r="F1895" s="3" t="s">
        <v>16</v>
      </c>
      <c r="G1895" s="3" t="s">
        <v>26</v>
      </c>
      <c r="H1895" s="3" t="s">
        <v>35</v>
      </c>
      <c r="I1895" s="3"/>
      <c r="J1895" s="3" t="s">
        <v>19</v>
      </c>
      <c r="K1895" s="3" t="s">
        <v>20</v>
      </c>
      <c r="L1895" s="5" t="s">
        <v>5069</v>
      </c>
    </row>
    <row r="1896" customFormat="false" ht="11.9" hidden="false" customHeight="true" outlineLevel="0" collapsed="false">
      <c r="A1896" s="3" t="str">
        <f aca="false">HYPERLINK("https://www.fabsurplus.com/sdi_catalog/salesItemDetails.do?id=95579")</f>
        <v>https://www.fabsurplus.com/sdi_catalog/salesItemDetails.do?id=95579</v>
      </c>
      <c r="B1896" s="3" t="s">
        <v>5070</v>
      </c>
      <c r="C1896" s="3" t="s">
        <v>4930</v>
      </c>
      <c r="D1896" s="3" t="s">
        <v>5071</v>
      </c>
      <c r="E1896" s="3" t="s">
        <v>5072</v>
      </c>
      <c r="F1896" s="3" t="s">
        <v>77</v>
      </c>
      <c r="G1896" s="3" t="s">
        <v>26</v>
      </c>
      <c r="H1896" s="3" t="s">
        <v>35</v>
      </c>
      <c r="I1896" s="3"/>
      <c r="J1896" s="3" t="s">
        <v>19</v>
      </c>
      <c r="K1896" s="3" t="s">
        <v>20</v>
      </c>
      <c r="L1896" s="5" t="s">
        <v>5073</v>
      </c>
    </row>
    <row r="1897" customFormat="false" ht="11.9" hidden="false" customHeight="true" outlineLevel="0" collapsed="false">
      <c r="A1897" s="2" t="str">
        <f aca="false">HYPERLINK("https://www.fabsurplus.com/sdi_catalog/salesItemDetails.do?id=95578")</f>
        <v>https://www.fabsurplus.com/sdi_catalog/salesItemDetails.do?id=95578</v>
      </c>
      <c r="B1897" s="2" t="s">
        <v>5074</v>
      </c>
      <c r="C1897" s="2" t="s">
        <v>4930</v>
      </c>
      <c r="D1897" s="2" t="s">
        <v>5075</v>
      </c>
      <c r="E1897" s="2" t="s">
        <v>5076</v>
      </c>
      <c r="F1897" s="2" t="s">
        <v>77</v>
      </c>
      <c r="G1897" s="2" t="s">
        <v>26</v>
      </c>
      <c r="H1897" s="2" t="s">
        <v>35</v>
      </c>
      <c r="I1897" s="2"/>
      <c r="J1897" s="2" t="s">
        <v>19</v>
      </c>
      <c r="K1897" s="2" t="s">
        <v>20</v>
      </c>
      <c r="L1897" s="6" t="s">
        <v>5077</v>
      </c>
    </row>
    <row r="1898" customFormat="false" ht="11.9" hidden="false" customHeight="true" outlineLevel="0" collapsed="false">
      <c r="A1898" s="2" t="str">
        <f aca="false">HYPERLINK("https://www.fabsurplus.com/sdi_catalog/salesItemDetails.do?id=95576")</f>
        <v>https://www.fabsurplus.com/sdi_catalog/salesItemDetails.do?id=95576</v>
      </c>
      <c r="B1898" s="2" t="s">
        <v>5078</v>
      </c>
      <c r="C1898" s="2" t="s">
        <v>4930</v>
      </c>
      <c r="D1898" s="2" t="s">
        <v>5079</v>
      </c>
      <c r="E1898" s="2" t="s">
        <v>5080</v>
      </c>
      <c r="F1898" s="2" t="s">
        <v>77</v>
      </c>
      <c r="G1898" s="2" t="s">
        <v>26</v>
      </c>
      <c r="H1898" s="2" t="s">
        <v>35</v>
      </c>
      <c r="I1898" s="2"/>
      <c r="J1898" s="2" t="s">
        <v>19</v>
      </c>
      <c r="K1898" s="2" t="s">
        <v>20</v>
      </c>
      <c r="L1898" s="6" t="s">
        <v>5081</v>
      </c>
    </row>
    <row r="1899" customFormat="false" ht="11.9" hidden="false" customHeight="true" outlineLevel="0" collapsed="false">
      <c r="A1899" s="3" t="str">
        <f aca="false">HYPERLINK("https://www.fabsurplus.com/sdi_catalog/salesItemDetails.do?id=27841")</f>
        <v>https://www.fabsurplus.com/sdi_catalog/salesItemDetails.do?id=27841</v>
      </c>
      <c r="B1899" s="3" t="s">
        <v>5082</v>
      </c>
      <c r="C1899" s="3" t="s">
        <v>4930</v>
      </c>
      <c r="D1899" s="3" t="s">
        <v>5083</v>
      </c>
      <c r="E1899" s="3" t="s">
        <v>3106</v>
      </c>
      <c r="F1899" s="3" t="s">
        <v>16</v>
      </c>
      <c r="G1899" s="3"/>
      <c r="H1899" s="3"/>
      <c r="I1899" s="3"/>
      <c r="J1899" s="3"/>
      <c r="K1899" s="3"/>
      <c r="L1899" s="3" t="s">
        <v>4984</v>
      </c>
    </row>
    <row r="1900" customFormat="false" ht="11.9" hidden="false" customHeight="true" outlineLevel="0" collapsed="false">
      <c r="A1900" s="3" t="str">
        <f aca="false">HYPERLINK("https://www.fabsurplus.com/sdi_catalog/salesItemDetails.do?id=27821")</f>
        <v>https://www.fabsurplus.com/sdi_catalog/salesItemDetails.do?id=27821</v>
      </c>
      <c r="B1900" s="3" t="s">
        <v>5084</v>
      </c>
      <c r="C1900" s="3" t="s">
        <v>4930</v>
      </c>
      <c r="D1900" s="3" t="s">
        <v>5085</v>
      </c>
      <c r="E1900" s="3" t="s">
        <v>3106</v>
      </c>
      <c r="F1900" s="3" t="s">
        <v>16</v>
      </c>
      <c r="G1900" s="3"/>
      <c r="H1900" s="3"/>
      <c r="I1900" s="3"/>
      <c r="J1900" s="3"/>
      <c r="K1900" s="3"/>
      <c r="L1900" s="3" t="s">
        <v>5086</v>
      </c>
    </row>
    <row r="1901" customFormat="false" ht="11.9" hidden="false" customHeight="true" outlineLevel="0" collapsed="false">
      <c r="A1901" s="2" t="str">
        <f aca="false">HYPERLINK("https://www.fabsurplus.com/sdi_catalog/salesItemDetails.do?id=27878")</f>
        <v>https://www.fabsurplus.com/sdi_catalog/salesItemDetails.do?id=27878</v>
      </c>
      <c r="B1901" s="2" t="s">
        <v>5087</v>
      </c>
      <c r="C1901" s="2" t="s">
        <v>4930</v>
      </c>
      <c r="D1901" s="2" t="s">
        <v>5088</v>
      </c>
      <c r="E1901" s="2" t="s">
        <v>5089</v>
      </c>
      <c r="F1901" s="2" t="s">
        <v>16</v>
      </c>
      <c r="G1901" s="2"/>
      <c r="H1901" s="2"/>
      <c r="I1901" s="2"/>
      <c r="J1901" s="2"/>
      <c r="K1901" s="2"/>
      <c r="L1901" s="2"/>
    </row>
    <row r="1902" customFormat="false" ht="11.9" hidden="false" customHeight="true" outlineLevel="0" collapsed="false">
      <c r="A1902" s="2" t="str">
        <f aca="false">HYPERLINK("https://www.fabsurplus.com/sdi_catalog/salesItemDetails.do?id=27824")</f>
        <v>https://www.fabsurplus.com/sdi_catalog/salesItemDetails.do?id=27824</v>
      </c>
      <c r="B1902" s="2" t="s">
        <v>5090</v>
      </c>
      <c r="C1902" s="2" t="s">
        <v>4930</v>
      </c>
      <c r="D1902" s="2" t="s">
        <v>5091</v>
      </c>
      <c r="E1902" s="2" t="s">
        <v>5092</v>
      </c>
      <c r="F1902" s="2" t="s">
        <v>16</v>
      </c>
      <c r="G1902" s="2"/>
      <c r="H1902" s="2"/>
      <c r="I1902" s="2"/>
      <c r="J1902" s="2"/>
      <c r="K1902" s="2"/>
      <c r="L1902" s="2" t="s">
        <v>5093</v>
      </c>
    </row>
    <row r="1903" customFormat="false" ht="11.9" hidden="false" customHeight="true" outlineLevel="0" collapsed="false">
      <c r="A1903" s="2" t="str">
        <f aca="false">HYPERLINK("https://www.fabsurplus.com/sdi_catalog/salesItemDetails.do?id=27838")</f>
        <v>https://www.fabsurplus.com/sdi_catalog/salesItemDetails.do?id=27838</v>
      </c>
      <c r="B1903" s="2" t="s">
        <v>5094</v>
      </c>
      <c r="C1903" s="2" t="s">
        <v>4930</v>
      </c>
      <c r="D1903" s="2" t="s">
        <v>5095</v>
      </c>
      <c r="E1903" s="2" t="s">
        <v>5096</v>
      </c>
      <c r="F1903" s="2" t="s">
        <v>16</v>
      </c>
      <c r="G1903" s="2"/>
      <c r="H1903" s="2"/>
      <c r="I1903" s="2"/>
      <c r="J1903" s="2"/>
      <c r="K1903" s="2"/>
      <c r="L1903" s="2" t="s">
        <v>5097</v>
      </c>
    </row>
    <row r="1904" customFormat="false" ht="11.9" hidden="false" customHeight="true" outlineLevel="0" collapsed="false">
      <c r="A1904" s="3" t="str">
        <f aca="false">HYPERLINK("https://www.fabsurplus.com/sdi_catalog/salesItemDetails.do?id=27839")</f>
        <v>https://www.fabsurplus.com/sdi_catalog/salesItemDetails.do?id=27839</v>
      </c>
      <c r="B1904" s="3" t="s">
        <v>5098</v>
      </c>
      <c r="C1904" s="3" t="s">
        <v>4930</v>
      </c>
      <c r="D1904" s="3" t="s">
        <v>5095</v>
      </c>
      <c r="E1904" s="3" t="s">
        <v>5099</v>
      </c>
      <c r="F1904" s="3" t="s">
        <v>69</v>
      </c>
      <c r="G1904" s="3"/>
      <c r="H1904" s="3"/>
      <c r="I1904" s="3"/>
      <c r="J1904" s="3"/>
      <c r="K1904" s="3"/>
      <c r="L1904" s="3" t="s">
        <v>5100</v>
      </c>
    </row>
    <row r="1905" customFormat="false" ht="11.9" hidden="false" customHeight="true" outlineLevel="0" collapsed="false">
      <c r="A1905" s="2" t="str">
        <f aca="false">HYPERLINK("https://www.fabsurplus.com/sdi_catalog/salesItemDetails.do?id=27842")</f>
        <v>https://www.fabsurplus.com/sdi_catalog/salesItemDetails.do?id=27842</v>
      </c>
      <c r="B1905" s="2" t="s">
        <v>5101</v>
      </c>
      <c r="C1905" s="2" t="s">
        <v>4930</v>
      </c>
      <c r="D1905" s="2" t="s">
        <v>5102</v>
      </c>
      <c r="E1905" s="2" t="s">
        <v>5103</v>
      </c>
      <c r="F1905" s="2" t="s">
        <v>77</v>
      </c>
      <c r="G1905" s="2"/>
      <c r="H1905" s="2"/>
      <c r="I1905" s="2"/>
      <c r="J1905" s="2"/>
      <c r="K1905" s="2"/>
      <c r="L1905" s="2" t="s">
        <v>5104</v>
      </c>
    </row>
    <row r="1906" customFormat="false" ht="11.9" hidden="false" customHeight="true" outlineLevel="0" collapsed="false">
      <c r="A1906" s="2" t="str">
        <f aca="false">HYPERLINK("https://www.fabsurplus.com/sdi_catalog/salesItemDetails.do?id=83616")</f>
        <v>https://www.fabsurplus.com/sdi_catalog/salesItemDetails.do?id=83616</v>
      </c>
      <c r="B1906" s="2" t="s">
        <v>5105</v>
      </c>
      <c r="C1906" s="2" t="s">
        <v>5106</v>
      </c>
      <c r="D1906" s="2" t="s">
        <v>5107</v>
      </c>
      <c r="E1906" s="2" t="s">
        <v>5108</v>
      </c>
      <c r="F1906" s="2" t="s">
        <v>5109</v>
      </c>
      <c r="G1906" s="2" t="s">
        <v>5110</v>
      </c>
      <c r="H1906" s="2" t="s">
        <v>18</v>
      </c>
      <c r="I1906" s="7" t="n">
        <v>39448</v>
      </c>
      <c r="J1906" s="2" t="s">
        <v>19</v>
      </c>
      <c r="K1906" s="2" t="s">
        <v>20</v>
      </c>
      <c r="L1906" s="6" t="s">
        <v>5111</v>
      </c>
    </row>
    <row r="1907" customFormat="false" ht="11.9" hidden="false" customHeight="true" outlineLevel="0" collapsed="false">
      <c r="A1907" s="3" t="str">
        <f aca="false">HYPERLINK("https://www.fabsurplus.com/sdi_catalog/salesItemDetails.do?id=83884")</f>
        <v>https://www.fabsurplus.com/sdi_catalog/salesItemDetails.do?id=83884</v>
      </c>
      <c r="B1907" s="3" t="s">
        <v>5112</v>
      </c>
      <c r="C1907" s="3" t="s">
        <v>5113</v>
      </c>
      <c r="D1907" s="3" t="s">
        <v>5114</v>
      </c>
      <c r="E1907" s="3" t="s">
        <v>5115</v>
      </c>
      <c r="F1907" s="3" t="s">
        <v>104</v>
      </c>
      <c r="G1907" s="3"/>
      <c r="H1907" s="3" t="s">
        <v>18</v>
      </c>
      <c r="I1907" s="3"/>
      <c r="J1907" s="3" t="s">
        <v>19</v>
      </c>
      <c r="K1907" s="3" t="s">
        <v>20</v>
      </c>
      <c r="L1907" s="5" t="s">
        <v>5116</v>
      </c>
    </row>
    <row r="1908" customFormat="false" ht="11.9" hidden="false" customHeight="true" outlineLevel="0" collapsed="false">
      <c r="A1908" s="2" t="str">
        <f aca="false">HYPERLINK("https://www.fabsurplus.com/sdi_catalog/salesItemDetails.do?id=84260")</f>
        <v>https://www.fabsurplus.com/sdi_catalog/salesItemDetails.do?id=84260</v>
      </c>
      <c r="B1908" s="2" t="s">
        <v>5117</v>
      </c>
      <c r="C1908" s="2" t="s">
        <v>5118</v>
      </c>
      <c r="D1908" s="2" t="s">
        <v>5119</v>
      </c>
      <c r="E1908" s="2" t="s">
        <v>5120</v>
      </c>
      <c r="F1908" s="2" t="s">
        <v>16</v>
      </c>
      <c r="G1908" s="2"/>
      <c r="H1908" s="2"/>
      <c r="I1908" s="2"/>
      <c r="J1908" s="2"/>
      <c r="K1908" s="2"/>
      <c r="L1908" s="6" t="s">
        <v>5121</v>
      </c>
    </row>
    <row r="1909" customFormat="false" ht="11.9" hidden="false" customHeight="true" outlineLevel="0" collapsed="false">
      <c r="A1909" s="3" t="str">
        <f aca="false">HYPERLINK("https://www.fabsurplus.com/sdi_catalog/salesItemDetails.do?id=103814")</f>
        <v>https://www.fabsurplus.com/sdi_catalog/salesItemDetails.do?id=103814</v>
      </c>
      <c r="B1909" s="3" t="s">
        <v>5122</v>
      </c>
      <c r="C1909" s="3" t="s">
        <v>5123</v>
      </c>
      <c r="D1909" s="3" t="s">
        <v>5124</v>
      </c>
      <c r="E1909" s="3" t="s">
        <v>5125</v>
      </c>
      <c r="F1909" s="3" t="s">
        <v>16</v>
      </c>
      <c r="G1909" s="3" t="s">
        <v>26</v>
      </c>
      <c r="H1909" s="3" t="s">
        <v>18</v>
      </c>
      <c r="I1909" s="4" t="n">
        <v>38473</v>
      </c>
      <c r="J1909" s="3" t="s">
        <v>19</v>
      </c>
      <c r="K1909" s="3" t="s">
        <v>20</v>
      </c>
      <c r="L1909" s="5" t="s">
        <v>5126</v>
      </c>
    </row>
    <row r="1910" customFormat="false" ht="11.9" hidden="false" customHeight="true" outlineLevel="0" collapsed="false">
      <c r="A1910" s="2" t="str">
        <f aca="false">HYPERLINK("https://www.fabsurplus.com/sdi_catalog/salesItemDetails.do?id=83549")</f>
        <v>https://www.fabsurplus.com/sdi_catalog/salesItemDetails.do?id=83549</v>
      </c>
      <c r="B1910" s="2" t="s">
        <v>5127</v>
      </c>
      <c r="C1910" s="2" t="s">
        <v>5128</v>
      </c>
      <c r="D1910" s="2" t="s">
        <v>5129</v>
      </c>
      <c r="E1910" s="2" t="s">
        <v>5130</v>
      </c>
      <c r="F1910" s="2" t="s">
        <v>16</v>
      </c>
      <c r="G1910" s="2" t="s">
        <v>26</v>
      </c>
      <c r="H1910" s="2" t="s">
        <v>35</v>
      </c>
      <c r="I1910" s="7" t="n">
        <v>35034</v>
      </c>
      <c r="J1910" s="2" t="s">
        <v>19</v>
      </c>
      <c r="K1910" s="2" t="s">
        <v>20</v>
      </c>
      <c r="L1910" s="6" t="s">
        <v>5131</v>
      </c>
    </row>
    <row r="1911" customFormat="false" ht="11.9" hidden="false" customHeight="true" outlineLevel="0" collapsed="false">
      <c r="A1911" s="3" t="str">
        <f aca="false">HYPERLINK("https://www.fabsurplus.com/sdi_catalog/salesItemDetails.do?id=83903")</f>
        <v>https://www.fabsurplus.com/sdi_catalog/salesItemDetails.do?id=83903</v>
      </c>
      <c r="B1911" s="3" t="s">
        <v>5132</v>
      </c>
      <c r="C1911" s="3" t="s">
        <v>5133</v>
      </c>
      <c r="D1911" s="3" t="s">
        <v>5134</v>
      </c>
      <c r="E1911" s="3" t="s">
        <v>5135</v>
      </c>
      <c r="F1911" s="3" t="s">
        <v>77</v>
      </c>
      <c r="G1911" s="3" t="s">
        <v>26</v>
      </c>
      <c r="H1911" s="3" t="s">
        <v>27</v>
      </c>
      <c r="I1911" s="3"/>
      <c r="J1911" s="3" t="s">
        <v>19</v>
      </c>
      <c r="K1911" s="3" t="s">
        <v>20</v>
      </c>
      <c r="L1911" s="5" t="s">
        <v>5136</v>
      </c>
    </row>
    <row r="1912" customFormat="false" ht="11.9" hidden="false" customHeight="true" outlineLevel="0" collapsed="false">
      <c r="A1912" s="2" t="str">
        <f aca="false">HYPERLINK("https://www.fabsurplus.com/sdi_catalog/salesItemDetails.do?id=84075")</f>
        <v>https://www.fabsurplus.com/sdi_catalog/salesItemDetails.do?id=84075</v>
      </c>
      <c r="B1912" s="2" t="s">
        <v>5137</v>
      </c>
      <c r="C1912" s="2" t="s">
        <v>5138</v>
      </c>
      <c r="D1912" s="2" t="s">
        <v>5139</v>
      </c>
      <c r="E1912" s="2" t="s">
        <v>5140</v>
      </c>
      <c r="F1912" s="2" t="s">
        <v>16</v>
      </c>
      <c r="G1912" s="2"/>
      <c r="H1912" s="2" t="s">
        <v>944</v>
      </c>
      <c r="I1912" s="2"/>
      <c r="J1912" s="2" t="s">
        <v>19</v>
      </c>
      <c r="K1912" s="2" t="s">
        <v>20</v>
      </c>
      <c r="L1912" s="6" t="s">
        <v>5141</v>
      </c>
    </row>
    <row r="1913" customFormat="false" ht="11.9" hidden="false" customHeight="true" outlineLevel="0" collapsed="false">
      <c r="A1913" s="2" t="str">
        <f aca="false">HYPERLINK("https://www.fabsurplus.com/sdi_catalog/salesItemDetails.do?id=110315")</f>
        <v>https://www.fabsurplus.com/sdi_catalog/salesItemDetails.do?id=110315</v>
      </c>
      <c r="B1913" s="2" t="s">
        <v>5142</v>
      </c>
      <c r="C1913" s="2" t="s">
        <v>5143</v>
      </c>
      <c r="D1913" s="2" t="s">
        <v>5144</v>
      </c>
      <c r="E1913" s="2" t="s">
        <v>133</v>
      </c>
      <c r="F1913" s="2" t="s">
        <v>16</v>
      </c>
      <c r="G1913" s="2" t="s">
        <v>41</v>
      </c>
      <c r="H1913" s="2"/>
      <c r="I1913" s="2"/>
      <c r="J1913" s="2" t="s">
        <v>42</v>
      </c>
      <c r="K1913" s="2"/>
      <c r="L1913" s="2" t="s">
        <v>5145</v>
      </c>
    </row>
    <row r="1914" customFormat="false" ht="11.9" hidden="false" customHeight="true" outlineLevel="0" collapsed="false">
      <c r="A1914" s="3" t="str">
        <f aca="false">HYPERLINK("https://www.fabsurplus.com/sdi_catalog/salesItemDetails.do?id=110314")</f>
        <v>https://www.fabsurplus.com/sdi_catalog/salesItemDetails.do?id=110314</v>
      </c>
      <c r="B1914" s="3" t="s">
        <v>5146</v>
      </c>
      <c r="C1914" s="3" t="s">
        <v>5143</v>
      </c>
      <c r="D1914" s="3" t="s">
        <v>5144</v>
      </c>
      <c r="E1914" s="3" t="s">
        <v>133</v>
      </c>
      <c r="F1914" s="3" t="s">
        <v>16</v>
      </c>
      <c r="G1914" s="3" t="s">
        <v>41</v>
      </c>
      <c r="H1914" s="3"/>
      <c r="I1914" s="3"/>
      <c r="J1914" s="3" t="s">
        <v>42</v>
      </c>
      <c r="K1914" s="3"/>
      <c r="L1914" s="3" t="s">
        <v>5145</v>
      </c>
    </row>
    <row r="1915" customFormat="false" ht="11.9" hidden="false" customHeight="true" outlineLevel="0" collapsed="false">
      <c r="A1915" s="3" t="str">
        <f aca="false">HYPERLINK("https://www.fabsurplus.com/sdi_catalog/salesItemDetails.do?id=110316")</f>
        <v>https://www.fabsurplus.com/sdi_catalog/salesItemDetails.do?id=110316</v>
      </c>
      <c r="B1915" s="3" t="s">
        <v>5147</v>
      </c>
      <c r="C1915" s="3" t="s">
        <v>5143</v>
      </c>
      <c r="D1915" s="3" t="s">
        <v>5148</v>
      </c>
      <c r="E1915" s="3" t="s">
        <v>133</v>
      </c>
      <c r="F1915" s="3" t="s">
        <v>16</v>
      </c>
      <c r="G1915" s="3" t="s">
        <v>41</v>
      </c>
      <c r="H1915" s="3"/>
      <c r="I1915" s="3"/>
      <c r="J1915" s="3" t="s">
        <v>42</v>
      </c>
      <c r="K1915" s="3"/>
      <c r="L1915" s="3" t="s">
        <v>5149</v>
      </c>
    </row>
    <row r="1916" customFormat="false" ht="11.9" hidden="false" customHeight="true" outlineLevel="0" collapsed="false">
      <c r="A1916" s="3" t="str">
        <f aca="false">HYPERLINK("https://www.fabsurplus.com/sdi_catalog/salesItemDetails.do?id=83926")</f>
        <v>https://www.fabsurplus.com/sdi_catalog/salesItemDetails.do?id=83926</v>
      </c>
      <c r="B1916" s="3" t="s">
        <v>5150</v>
      </c>
      <c r="C1916" s="3" t="s">
        <v>5151</v>
      </c>
      <c r="D1916" s="3" t="s">
        <v>5152</v>
      </c>
      <c r="E1916" s="3" t="s">
        <v>5153</v>
      </c>
      <c r="F1916" s="3" t="s">
        <v>104</v>
      </c>
      <c r="G1916" s="3"/>
      <c r="H1916" s="3" t="s">
        <v>18</v>
      </c>
      <c r="I1916" s="3"/>
      <c r="J1916" s="3" t="s">
        <v>19</v>
      </c>
      <c r="K1916" s="3" t="s">
        <v>20</v>
      </c>
      <c r="L1916" s="3" t="s">
        <v>5154</v>
      </c>
    </row>
    <row r="1917" customFormat="false" ht="11.9" hidden="false" customHeight="true" outlineLevel="0" collapsed="false">
      <c r="A1917" s="3" t="str">
        <f aca="false">HYPERLINK("https://www.fabsurplus.com/sdi_catalog/salesItemDetails.do?id=83924")</f>
        <v>https://www.fabsurplus.com/sdi_catalog/salesItemDetails.do?id=83924</v>
      </c>
      <c r="B1917" s="3" t="s">
        <v>5155</v>
      </c>
      <c r="C1917" s="3" t="s">
        <v>5151</v>
      </c>
      <c r="D1917" s="3" t="s">
        <v>5156</v>
      </c>
      <c r="E1917" s="3" t="s">
        <v>5153</v>
      </c>
      <c r="F1917" s="3" t="s">
        <v>199</v>
      </c>
      <c r="G1917" s="3"/>
      <c r="H1917" s="3" t="s">
        <v>18</v>
      </c>
      <c r="I1917" s="3"/>
      <c r="J1917" s="3" t="s">
        <v>19</v>
      </c>
      <c r="K1917" s="3" t="s">
        <v>20</v>
      </c>
      <c r="L1917" s="3" t="s">
        <v>5157</v>
      </c>
    </row>
    <row r="1918" customFormat="false" ht="11.9" hidden="false" customHeight="true" outlineLevel="0" collapsed="false">
      <c r="A1918" s="2" t="str">
        <f aca="false">HYPERLINK("https://www.fabsurplus.com/sdi_catalog/salesItemDetails.do?id=83927")</f>
        <v>https://www.fabsurplus.com/sdi_catalog/salesItemDetails.do?id=83927</v>
      </c>
      <c r="B1918" s="2" t="s">
        <v>5158</v>
      </c>
      <c r="C1918" s="2" t="s">
        <v>5151</v>
      </c>
      <c r="D1918" s="2" t="s">
        <v>5159</v>
      </c>
      <c r="E1918" s="2" t="s">
        <v>5160</v>
      </c>
      <c r="F1918" s="2" t="s">
        <v>16</v>
      </c>
      <c r="G1918" s="2"/>
      <c r="H1918" s="2" t="s">
        <v>18</v>
      </c>
      <c r="I1918" s="2"/>
      <c r="J1918" s="2" t="s">
        <v>19</v>
      </c>
      <c r="K1918" s="2" t="s">
        <v>20</v>
      </c>
      <c r="L1918" s="2" t="s">
        <v>5161</v>
      </c>
    </row>
    <row r="1919" customFormat="false" ht="11.9" hidden="false" customHeight="true" outlineLevel="0" collapsed="false">
      <c r="A1919" s="2" t="str">
        <f aca="false">HYPERLINK("https://www.fabsurplus.com/sdi_catalog/salesItemDetails.do?id=83925")</f>
        <v>https://www.fabsurplus.com/sdi_catalog/salesItemDetails.do?id=83925</v>
      </c>
      <c r="B1919" s="2" t="s">
        <v>5162</v>
      </c>
      <c r="C1919" s="2" t="s">
        <v>5151</v>
      </c>
      <c r="D1919" s="2" t="s">
        <v>5163</v>
      </c>
      <c r="E1919" s="2" t="s">
        <v>5164</v>
      </c>
      <c r="F1919" s="2" t="s">
        <v>199</v>
      </c>
      <c r="G1919" s="2"/>
      <c r="H1919" s="2" t="s">
        <v>18</v>
      </c>
      <c r="I1919" s="2"/>
      <c r="J1919" s="2" t="s">
        <v>19</v>
      </c>
      <c r="K1919" s="2" t="s">
        <v>20</v>
      </c>
      <c r="L1919" s="2" t="s">
        <v>5165</v>
      </c>
    </row>
    <row r="1920" customFormat="false" ht="11.9" hidden="false" customHeight="true" outlineLevel="0" collapsed="false">
      <c r="A1920" s="2" t="str">
        <f aca="false">HYPERLINK("https://www.fabsurplus.com/sdi_catalog/salesItemDetails.do?id=83923")</f>
        <v>https://www.fabsurplus.com/sdi_catalog/salesItemDetails.do?id=83923</v>
      </c>
      <c r="B1920" s="2" t="s">
        <v>5166</v>
      </c>
      <c r="C1920" s="2" t="s">
        <v>5151</v>
      </c>
      <c r="D1920" s="2" t="s">
        <v>5167</v>
      </c>
      <c r="E1920" s="2" t="s">
        <v>5160</v>
      </c>
      <c r="F1920" s="2" t="s">
        <v>889</v>
      </c>
      <c r="G1920" s="2"/>
      <c r="H1920" s="2" t="s">
        <v>18</v>
      </c>
      <c r="I1920" s="2"/>
      <c r="J1920" s="2" t="s">
        <v>19</v>
      </c>
      <c r="K1920" s="2" t="s">
        <v>20</v>
      </c>
      <c r="L1920" s="2" t="s">
        <v>5168</v>
      </c>
    </row>
    <row r="1921" customFormat="false" ht="11.9" hidden="false" customHeight="true" outlineLevel="0" collapsed="false">
      <c r="A1921" s="2" t="str">
        <f aca="false">HYPERLINK("https://www.fabsurplus.com/sdi_catalog/salesItemDetails.do?id=83921")</f>
        <v>https://www.fabsurplus.com/sdi_catalog/salesItemDetails.do?id=83921</v>
      </c>
      <c r="B1921" s="2" t="s">
        <v>5169</v>
      </c>
      <c r="C1921" s="2" t="s">
        <v>5151</v>
      </c>
      <c r="D1921" s="2" t="s">
        <v>5170</v>
      </c>
      <c r="E1921" s="2" t="s">
        <v>5160</v>
      </c>
      <c r="F1921" s="2" t="s">
        <v>199</v>
      </c>
      <c r="G1921" s="2"/>
      <c r="H1921" s="2" t="s">
        <v>18</v>
      </c>
      <c r="I1921" s="2"/>
      <c r="J1921" s="2" t="s">
        <v>19</v>
      </c>
      <c r="K1921" s="2" t="s">
        <v>20</v>
      </c>
      <c r="L1921" s="2" t="s">
        <v>5171</v>
      </c>
    </row>
    <row r="1922" customFormat="false" ht="11.9" hidden="false" customHeight="true" outlineLevel="0" collapsed="false">
      <c r="A1922" s="3" t="str">
        <f aca="false">HYPERLINK("https://www.fabsurplus.com/sdi_catalog/salesItemDetails.do?id=83920")</f>
        <v>https://www.fabsurplus.com/sdi_catalog/salesItemDetails.do?id=83920</v>
      </c>
      <c r="B1922" s="3" t="s">
        <v>5172</v>
      </c>
      <c r="C1922" s="3" t="s">
        <v>5151</v>
      </c>
      <c r="D1922" s="3" t="s">
        <v>5173</v>
      </c>
      <c r="E1922" s="3" t="s">
        <v>5153</v>
      </c>
      <c r="F1922" s="3" t="s">
        <v>2061</v>
      </c>
      <c r="G1922" s="3"/>
      <c r="H1922" s="3" t="s">
        <v>18</v>
      </c>
      <c r="I1922" s="3"/>
      <c r="J1922" s="3" t="s">
        <v>19</v>
      </c>
      <c r="K1922" s="3" t="s">
        <v>20</v>
      </c>
      <c r="L1922" s="3" t="s">
        <v>5174</v>
      </c>
    </row>
    <row r="1923" customFormat="false" ht="11.9" hidden="false" customHeight="true" outlineLevel="0" collapsed="false">
      <c r="A1923" s="3" t="str">
        <f aca="false">HYPERLINK("https://www.fabsurplus.com/sdi_catalog/salesItemDetails.do?id=83922")</f>
        <v>https://www.fabsurplus.com/sdi_catalog/salesItemDetails.do?id=83922</v>
      </c>
      <c r="B1923" s="3" t="s">
        <v>5175</v>
      </c>
      <c r="C1923" s="3" t="s">
        <v>5151</v>
      </c>
      <c r="D1923" s="3" t="s">
        <v>5176</v>
      </c>
      <c r="E1923" s="3" t="s">
        <v>5153</v>
      </c>
      <c r="F1923" s="3" t="s">
        <v>101</v>
      </c>
      <c r="G1923" s="3"/>
      <c r="H1923" s="3" t="s">
        <v>18</v>
      </c>
      <c r="I1923" s="3"/>
      <c r="J1923" s="3" t="s">
        <v>19</v>
      </c>
      <c r="K1923" s="3" t="s">
        <v>20</v>
      </c>
      <c r="L1923" s="3" t="s">
        <v>5177</v>
      </c>
    </row>
    <row r="1924" customFormat="false" ht="11.9" hidden="false" customHeight="true" outlineLevel="0" collapsed="false">
      <c r="A1924" s="2" t="str">
        <f aca="false">HYPERLINK("https://www.fabsurplus.com/sdi_catalog/salesItemDetails.do?id=110317")</f>
        <v>https://www.fabsurplus.com/sdi_catalog/salesItemDetails.do?id=110317</v>
      </c>
      <c r="B1924" s="2" t="s">
        <v>5178</v>
      </c>
      <c r="C1924" s="2" t="s">
        <v>5179</v>
      </c>
      <c r="D1924" s="2" t="s">
        <v>5180</v>
      </c>
      <c r="E1924" s="2" t="s">
        <v>40</v>
      </c>
      <c r="F1924" s="2" t="s">
        <v>16</v>
      </c>
      <c r="G1924" s="2" t="s">
        <v>41</v>
      </c>
      <c r="H1924" s="2"/>
      <c r="I1924" s="2"/>
      <c r="J1924" s="2" t="s">
        <v>42</v>
      </c>
      <c r="K1924" s="2"/>
      <c r="L1924" s="2" t="s">
        <v>5181</v>
      </c>
    </row>
    <row r="1925" customFormat="false" ht="11.9" hidden="false" customHeight="true" outlineLevel="0" collapsed="false">
      <c r="A1925" s="3" t="str">
        <f aca="false">HYPERLINK("https://www.fabsurplus.com/sdi_catalog/salesItemDetails.do?id=110318")</f>
        <v>https://www.fabsurplus.com/sdi_catalog/salesItemDetails.do?id=110318</v>
      </c>
      <c r="B1925" s="3" t="s">
        <v>5182</v>
      </c>
      <c r="C1925" s="3" t="s">
        <v>5183</v>
      </c>
      <c r="D1925" s="3" t="s">
        <v>5184</v>
      </c>
      <c r="E1925" s="3" t="s">
        <v>40</v>
      </c>
      <c r="F1925" s="3" t="s">
        <v>16</v>
      </c>
      <c r="G1925" s="3" t="s">
        <v>41</v>
      </c>
      <c r="H1925" s="3"/>
      <c r="I1925" s="3"/>
      <c r="J1925" s="3" t="s">
        <v>42</v>
      </c>
      <c r="K1925" s="3"/>
      <c r="L1925" s="3" t="s">
        <v>5185</v>
      </c>
    </row>
    <row r="1926" customFormat="false" ht="11.9" hidden="false" customHeight="true" outlineLevel="0" collapsed="false">
      <c r="A1926" s="3" t="str">
        <f aca="false">HYPERLINK("https://www.fabsurplus.com/sdi_catalog/salesItemDetails.do?id=106945")</f>
        <v>https://www.fabsurplus.com/sdi_catalog/salesItemDetails.do?id=106945</v>
      </c>
      <c r="B1926" s="3" t="s">
        <v>5186</v>
      </c>
      <c r="C1926" s="3" t="s">
        <v>5187</v>
      </c>
      <c r="D1926" s="3" t="s">
        <v>5188</v>
      </c>
      <c r="E1926" s="3" t="s">
        <v>5189</v>
      </c>
      <c r="F1926" s="3" t="s">
        <v>16</v>
      </c>
      <c r="G1926" s="3" t="s">
        <v>5190</v>
      </c>
      <c r="H1926" s="3" t="s">
        <v>35</v>
      </c>
      <c r="I1926" s="3"/>
      <c r="J1926" s="3" t="s">
        <v>139</v>
      </c>
      <c r="K1926" s="3" t="s">
        <v>20</v>
      </c>
      <c r="L1926" s="5" t="s">
        <v>5191</v>
      </c>
    </row>
    <row r="1927" customFormat="false" ht="11.9" hidden="false" customHeight="true" outlineLevel="0" collapsed="false">
      <c r="A1927" s="3" t="str">
        <f aca="false">HYPERLINK("https://www.fabsurplus.com/sdi_catalog/salesItemDetails.do?id=110319")</f>
        <v>https://www.fabsurplus.com/sdi_catalog/salesItemDetails.do?id=110319</v>
      </c>
      <c r="B1927" s="3" t="s">
        <v>5192</v>
      </c>
      <c r="C1927" s="3" t="s">
        <v>5193</v>
      </c>
      <c r="D1927" s="3" t="s">
        <v>5194</v>
      </c>
      <c r="E1927" s="3" t="s">
        <v>47</v>
      </c>
      <c r="F1927" s="3" t="s">
        <v>16</v>
      </c>
      <c r="G1927" s="3" t="s">
        <v>41</v>
      </c>
      <c r="H1927" s="3"/>
      <c r="I1927" s="3"/>
      <c r="J1927" s="3" t="s">
        <v>42</v>
      </c>
      <c r="K1927" s="3"/>
      <c r="L1927" s="3" t="s">
        <v>349</v>
      </c>
    </row>
    <row r="1928" customFormat="false" ht="11.9" hidden="false" customHeight="true" outlineLevel="0" collapsed="false">
      <c r="A1928" s="2" t="str">
        <f aca="false">HYPERLINK("https://www.fabsurplus.com/sdi_catalog/salesItemDetails.do?id=79892")</f>
        <v>https://www.fabsurplus.com/sdi_catalog/salesItemDetails.do?id=79892</v>
      </c>
      <c r="B1928" s="2" t="s">
        <v>5195</v>
      </c>
      <c r="C1928" s="2" t="s">
        <v>5196</v>
      </c>
      <c r="D1928" s="2" t="s">
        <v>5197</v>
      </c>
      <c r="E1928" s="2" t="s">
        <v>5198</v>
      </c>
      <c r="F1928" s="2" t="s">
        <v>16</v>
      </c>
      <c r="G1928" s="2" t="s">
        <v>868</v>
      </c>
      <c r="H1928" s="2" t="s">
        <v>27</v>
      </c>
      <c r="I1928" s="2"/>
      <c r="J1928" s="2" t="s">
        <v>19</v>
      </c>
      <c r="K1928" s="2" t="s">
        <v>20</v>
      </c>
      <c r="L1928" s="6" t="s">
        <v>5199</v>
      </c>
    </row>
    <row r="1929" customFormat="false" ht="11.9" hidden="false" customHeight="true" outlineLevel="0" collapsed="false">
      <c r="A1929" s="3" t="str">
        <f aca="false">HYPERLINK("https://www.fabsurplus.com/sdi_catalog/salesItemDetails.do?id=83800")</f>
        <v>https://www.fabsurplus.com/sdi_catalog/salesItemDetails.do?id=83800</v>
      </c>
      <c r="B1929" s="3" t="s">
        <v>5200</v>
      </c>
      <c r="C1929" s="3" t="s">
        <v>5201</v>
      </c>
      <c r="D1929" s="3" t="s">
        <v>5202</v>
      </c>
      <c r="E1929" s="3" t="s">
        <v>5203</v>
      </c>
      <c r="F1929" s="3" t="s">
        <v>16</v>
      </c>
      <c r="G1929" s="3"/>
      <c r="H1929" s="3" t="s">
        <v>944</v>
      </c>
      <c r="I1929" s="3"/>
      <c r="J1929" s="3" t="s">
        <v>19</v>
      </c>
      <c r="K1929" s="3" t="s">
        <v>20</v>
      </c>
      <c r="L1929" s="5" t="s">
        <v>5204</v>
      </c>
    </row>
    <row r="1930" customFormat="false" ht="11.9" hidden="false" customHeight="true" outlineLevel="0" collapsed="false">
      <c r="A1930" s="2" t="str">
        <f aca="false">HYPERLINK("https://www.fabsurplus.com/sdi_catalog/salesItemDetails.do?id=84413")</f>
        <v>https://www.fabsurplus.com/sdi_catalog/salesItemDetails.do?id=84413</v>
      </c>
      <c r="B1930" s="2" t="s">
        <v>5205</v>
      </c>
      <c r="C1930" s="2" t="s">
        <v>5206</v>
      </c>
      <c r="D1930" s="2" t="s">
        <v>5207</v>
      </c>
      <c r="E1930" s="2" t="s">
        <v>5208</v>
      </c>
      <c r="F1930" s="2" t="s">
        <v>16</v>
      </c>
      <c r="G1930" s="2"/>
      <c r="H1930" s="2" t="s">
        <v>35</v>
      </c>
      <c r="I1930" s="2"/>
      <c r="J1930" s="2" t="s">
        <v>19</v>
      </c>
      <c r="K1930" s="2" t="s">
        <v>20</v>
      </c>
      <c r="L1930" s="6" t="s">
        <v>5209</v>
      </c>
    </row>
    <row r="1931" customFormat="false" ht="11.9" hidden="false" customHeight="true" outlineLevel="0" collapsed="false">
      <c r="A1931" s="2" t="str">
        <f aca="false">HYPERLINK("https://www.fabsurplus.com/sdi_catalog/salesItemDetails.do?id=110321")</f>
        <v>https://www.fabsurplus.com/sdi_catalog/salesItemDetails.do?id=110321</v>
      </c>
      <c r="B1931" s="2" t="s">
        <v>5210</v>
      </c>
      <c r="C1931" s="2" t="s">
        <v>5211</v>
      </c>
      <c r="D1931" s="2" t="s">
        <v>5212</v>
      </c>
      <c r="E1931" s="2" t="s">
        <v>40</v>
      </c>
      <c r="F1931" s="2" t="s">
        <v>16</v>
      </c>
      <c r="G1931" s="2" t="s">
        <v>41</v>
      </c>
      <c r="H1931" s="2"/>
      <c r="I1931" s="2"/>
      <c r="J1931" s="2" t="s">
        <v>42</v>
      </c>
      <c r="K1931" s="2"/>
      <c r="L1931" s="2" t="s">
        <v>5213</v>
      </c>
    </row>
    <row r="1932" customFormat="false" ht="11.9" hidden="false" customHeight="true" outlineLevel="0" collapsed="false">
      <c r="A1932" s="3" t="str">
        <f aca="false">HYPERLINK("https://www.fabsurplus.com/sdi_catalog/salesItemDetails.do?id=110320")</f>
        <v>https://www.fabsurplus.com/sdi_catalog/salesItemDetails.do?id=110320</v>
      </c>
      <c r="B1932" s="3" t="s">
        <v>5214</v>
      </c>
      <c r="C1932" s="3" t="s">
        <v>5211</v>
      </c>
      <c r="D1932" s="3" t="s">
        <v>5215</v>
      </c>
      <c r="E1932" s="3" t="s">
        <v>40</v>
      </c>
      <c r="F1932" s="3" t="s">
        <v>16</v>
      </c>
      <c r="G1932" s="3" t="s">
        <v>41</v>
      </c>
      <c r="H1932" s="3"/>
      <c r="I1932" s="3"/>
      <c r="J1932" s="3" t="s">
        <v>42</v>
      </c>
      <c r="K1932" s="3"/>
      <c r="L1932" s="3" t="s">
        <v>5216</v>
      </c>
    </row>
    <row r="1933" customFormat="false" ht="11.9" hidden="false" customHeight="true" outlineLevel="0" collapsed="false">
      <c r="A1933" s="2" t="str">
        <f aca="false">HYPERLINK("https://www.fabsurplus.com/sdi_catalog/salesItemDetails.do?id=52343")</f>
        <v>https://www.fabsurplus.com/sdi_catalog/salesItemDetails.do?id=52343</v>
      </c>
      <c r="B1933" s="2" t="s">
        <v>5217</v>
      </c>
      <c r="C1933" s="2" t="s">
        <v>5218</v>
      </c>
      <c r="D1933" s="2" t="s">
        <v>5219</v>
      </c>
      <c r="E1933" s="2" t="s">
        <v>5220</v>
      </c>
      <c r="F1933" s="2" t="s">
        <v>16</v>
      </c>
      <c r="G1933" s="2" t="s">
        <v>17</v>
      </c>
      <c r="H1933" s="2" t="s">
        <v>27</v>
      </c>
      <c r="I1933" s="7" t="n">
        <v>34485.9166666667</v>
      </c>
      <c r="J1933" s="2" t="s">
        <v>19</v>
      </c>
      <c r="K1933" s="2" t="s">
        <v>20</v>
      </c>
      <c r="L1933" s="2" t="s">
        <v>5221</v>
      </c>
    </row>
    <row r="1934" customFormat="false" ht="11.9" hidden="false" customHeight="true" outlineLevel="0" collapsed="false">
      <c r="A1934" s="3" t="str">
        <f aca="false">HYPERLINK("https://www.fabsurplus.com/sdi_catalog/salesItemDetails.do?id=114432")</f>
        <v>https://www.fabsurplus.com/sdi_catalog/salesItemDetails.do?id=114432</v>
      </c>
      <c r="B1934" s="3" t="s">
        <v>5222</v>
      </c>
      <c r="C1934" s="3" t="s">
        <v>5218</v>
      </c>
      <c r="D1934" s="3" t="s">
        <v>5223</v>
      </c>
      <c r="E1934" s="3" t="s">
        <v>5224</v>
      </c>
      <c r="F1934" s="3" t="s">
        <v>16</v>
      </c>
      <c r="G1934" s="3" t="s">
        <v>26</v>
      </c>
      <c r="H1934" s="3" t="s">
        <v>27</v>
      </c>
      <c r="I1934" s="4" t="n">
        <v>34486</v>
      </c>
      <c r="J1934" s="3" t="s">
        <v>19</v>
      </c>
      <c r="K1934" s="3" t="s">
        <v>20</v>
      </c>
      <c r="L1934" s="5" t="s">
        <v>5225</v>
      </c>
    </row>
    <row r="1935" customFormat="false" ht="11.9" hidden="false" customHeight="true" outlineLevel="0" collapsed="false">
      <c r="A1935" s="3" t="str">
        <f aca="false">HYPERLINK("https://www.fabsurplus.com/sdi_catalog/salesItemDetails.do?id=114434")</f>
        <v>https://www.fabsurplus.com/sdi_catalog/salesItemDetails.do?id=114434</v>
      </c>
      <c r="B1935" s="3" t="s">
        <v>5226</v>
      </c>
      <c r="C1935" s="3" t="s">
        <v>5218</v>
      </c>
      <c r="D1935" s="3" t="s">
        <v>5227</v>
      </c>
      <c r="E1935" s="3" t="s">
        <v>5228</v>
      </c>
      <c r="F1935" s="3" t="s">
        <v>16</v>
      </c>
      <c r="G1935" s="3" t="s">
        <v>26</v>
      </c>
      <c r="H1935" s="3" t="s">
        <v>27</v>
      </c>
      <c r="I1935" s="4" t="n">
        <v>34486</v>
      </c>
      <c r="J1935" s="3" t="s">
        <v>19</v>
      </c>
      <c r="K1935" s="3" t="s">
        <v>20</v>
      </c>
      <c r="L1935" s="5" t="s">
        <v>5225</v>
      </c>
    </row>
    <row r="1936" customFormat="false" ht="11.9" hidden="false" customHeight="true" outlineLevel="0" collapsed="false">
      <c r="A1936" s="2" t="str">
        <f aca="false">HYPERLINK("https://www.fabsurplus.com/sdi_catalog/salesItemDetails.do?id=111387")</f>
        <v>https://www.fabsurplus.com/sdi_catalog/salesItemDetails.do?id=111387</v>
      </c>
      <c r="B1936" s="2" t="s">
        <v>5229</v>
      </c>
      <c r="C1936" s="2" t="s">
        <v>5218</v>
      </c>
      <c r="D1936" s="2" t="s">
        <v>5230</v>
      </c>
      <c r="E1936" s="2" t="s">
        <v>5231</v>
      </c>
      <c r="F1936" s="2" t="s">
        <v>16</v>
      </c>
      <c r="G1936" s="2" t="s">
        <v>17</v>
      </c>
      <c r="H1936" s="2" t="s">
        <v>35</v>
      </c>
      <c r="I1936" s="7" t="n">
        <v>34455</v>
      </c>
      <c r="J1936" s="2" t="s">
        <v>19</v>
      </c>
      <c r="K1936" s="2" t="s">
        <v>20</v>
      </c>
      <c r="L1936" s="6" t="s">
        <v>5232</v>
      </c>
    </row>
    <row r="1937" customFormat="false" ht="11.9" hidden="false" customHeight="true" outlineLevel="0" collapsed="false">
      <c r="A1937" s="2" t="str">
        <f aca="false">HYPERLINK("https://www.fabsurplus.com/sdi_catalog/salesItemDetails.do?id=111393")</f>
        <v>https://www.fabsurplus.com/sdi_catalog/salesItemDetails.do?id=111393</v>
      </c>
      <c r="B1937" s="2" t="s">
        <v>5233</v>
      </c>
      <c r="C1937" s="2" t="s">
        <v>5218</v>
      </c>
      <c r="D1937" s="2" t="s">
        <v>5234</v>
      </c>
      <c r="E1937" s="2" t="s">
        <v>5235</v>
      </c>
      <c r="F1937" s="2" t="s">
        <v>16</v>
      </c>
      <c r="G1937" s="2" t="s">
        <v>17</v>
      </c>
      <c r="H1937" s="2" t="s">
        <v>35</v>
      </c>
      <c r="I1937" s="7" t="n">
        <v>34455</v>
      </c>
      <c r="J1937" s="2" t="s">
        <v>19</v>
      </c>
      <c r="K1937" s="2" t="s">
        <v>20</v>
      </c>
      <c r="L1937" s="6" t="s">
        <v>5232</v>
      </c>
    </row>
    <row r="1938" customFormat="false" ht="11.9" hidden="false" customHeight="true" outlineLevel="0" collapsed="false">
      <c r="A1938" s="2" t="str">
        <f aca="false">HYPERLINK("https://www.fabsurplus.com/sdi_catalog/salesItemDetails.do?id=114429")</f>
        <v>https://www.fabsurplus.com/sdi_catalog/salesItemDetails.do?id=114429</v>
      </c>
      <c r="B1938" s="2" t="s">
        <v>5236</v>
      </c>
      <c r="C1938" s="2" t="s">
        <v>5218</v>
      </c>
      <c r="D1938" s="2" t="s">
        <v>5237</v>
      </c>
      <c r="E1938" s="2" t="s">
        <v>5238</v>
      </c>
      <c r="F1938" s="2" t="s">
        <v>16</v>
      </c>
      <c r="G1938" s="2" t="s">
        <v>26</v>
      </c>
      <c r="H1938" s="2" t="s">
        <v>27</v>
      </c>
      <c r="I1938" s="7" t="n">
        <v>34486</v>
      </c>
      <c r="J1938" s="2" t="s">
        <v>19</v>
      </c>
      <c r="K1938" s="2" t="s">
        <v>20</v>
      </c>
      <c r="L1938" s="6" t="s">
        <v>5225</v>
      </c>
    </row>
    <row r="1939" customFormat="false" ht="11.9" hidden="false" customHeight="true" outlineLevel="0" collapsed="false">
      <c r="A1939" s="3" t="str">
        <f aca="false">HYPERLINK("https://www.fabsurplus.com/sdi_catalog/salesItemDetails.do?id=114430")</f>
        <v>https://www.fabsurplus.com/sdi_catalog/salesItemDetails.do?id=114430</v>
      </c>
      <c r="B1939" s="3" t="s">
        <v>5239</v>
      </c>
      <c r="C1939" s="3" t="s">
        <v>5218</v>
      </c>
      <c r="D1939" s="3" t="s">
        <v>5240</v>
      </c>
      <c r="E1939" s="3" t="s">
        <v>5241</v>
      </c>
      <c r="F1939" s="3" t="s">
        <v>16</v>
      </c>
      <c r="G1939" s="3" t="s">
        <v>26</v>
      </c>
      <c r="H1939" s="3" t="s">
        <v>27</v>
      </c>
      <c r="I1939" s="4" t="n">
        <v>34486</v>
      </c>
      <c r="J1939" s="3" t="s">
        <v>19</v>
      </c>
      <c r="K1939" s="3" t="s">
        <v>20</v>
      </c>
      <c r="L1939" s="5" t="s">
        <v>5225</v>
      </c>
    </row>
    <row r="1940" customFormat="false" ht="11.9" hidden="false" customHeight="true" outlineLevel="0" collapsed="false">
      <c r="A1940" s="3" t="str">
        <f aca="false">HYPERLINK("https://www.fabsurplus.com/sdi_catalog/salesItemDetails.do?id=52166")</f>
        <v>https://www.fabsurplus.com/sdi_catalog/salesItemDetails.do?id=52166</v>
      </c>
      <c r="B1940" s="3" t="s">
        <v>5242</v>
      </c>
      <c r="C1940" s="3" t="s">
        <v>5218</v>
      </c>
      <c r="D1940" s="3" t="s">
        <v>5243</v>
      </c>
      <c r="E1940" s="3" t="s">
        <v>5244</v>
      </c>
      <c r="F1940" s="3" t="s">
        <v>16</v>
      </c>
      <c r="G1940" s="3" t="s">
        <v>17</v>
      </c>
      <c r="H1940" s="3" t="s">
        <v>27</v>
      </c>
      <c r="I1940" s="3"/>
      <c r="J1940" s="3" t="s">
        <v>19</v>
      </c>
      <c r="K1940" s="3" t="s">
        <v>20</v>
      </c>
      <c r="L1940" s="3" t="s">
        <v>5245</v>
      </c>
    </row>
    <row r="1941" customFormat="false" ht="11.9" hidden="false" customHeight="true" outlineLevel="0" collapsed="false">
      <c r="A1941" s="2" t="str">
        <f aca="false">HYPERLINK("https://www.fabsurplus.com/sdi_catalog/salesItemDetails.do?id=52301")</f>
        <v>https://www.fabsurplus.com/sdi_catalog/salesItemDetails.do?id=52301</v>
      </c>
      <c r="B1941" s="2" t="s">
        <v>5246</v>
      </c>
      <c r="C1941" s="2" t="s">
        <v>5218</v>
      </c>
      <c r="D1941" s="2" t="s">
        <v>5247</v>
      </c>
      <c r="E1941" s="2" t="s">
        <v>5248</v>
      </c>
      <c r="F1941" s="2" t="s">
        <v>3734</v>
      </c>
      <c r="G1941" s="2" t="s">
        <v>17</v>
      </c>
      <c r="H1941" s="2" t="s">
        <v>27</v>
      </c>
      <c r="I1941" s="2"/>
      <c r="J1941" s="2" t="s">
        <v>19</v>
      </c>
      <c r="K1941" s="2" t="s">
        <v>20</v>
      </c>
      <c r="L1941" s="2" t="s">
        <v>5249</v>
      </c>
    </row>
    <row r="1942" customFormat="false" ht="11.9" hidden="false" customHeight="true" outlineLevel="0" collapsed="false">
      <c r="A1942" s="2" t="str">
        <f aca="false">HYPERLINK("https://www.fabsurplus.com/sdi_catalog/salesItemDetails.do?id=52339")</f>
        <v>https://www.fabsurplus.com/sdi_catalog/salesItemDetails.do?id=52339</v>
      </c>
      <c r="B1942" s="2" t="s">
        <v>5250</v>
      </c>
      <c r="C1942" s="2" t="s">
        <v>5218</v>
      </c>
      <c r="D1942" s="2" t="s">
        <v>5251</v>
      </c>
      <c r="E1942" s="2" t="s">
        <v>5252</v>
      </c>
      <c r="F1942" s="2" t="s">
        <v>16</v>
      </c>
      <c r="G1942" s="2" t="s">
        <v>17</v>
      </c>
      <c r="H1942" s="2" t="s">
        <v>27</v>
      </c>
      <c r="I1942" s="7" t="n">
        <v>34485.9166666667</v>
      </c>
      <c r="J1942" s="2" t="s">
        <v>19</v>
      </c>
      <c r="K1942" s="2" t="s">
        <v>20</v>
      </c>
      <c r="L1942" s="2" t="s">
        <v>5253</v>
      </c>
    </row>
    <row r="1943" customFormat="false" ht="11.9" hidden="false" customHeight="true" outlineLevel="0" collapsed="false">
      <c r="A1943" s="3" t="str">
        <f aca="false">HYPERLINK("https://www.fabsurplus.com/sdi_catalog/salesItemDetails.do?id=52312")</f>
        <v>https://www.fabsurplus.com/sdi_catalog/salesItemDetails.do?id=52312</v>
      </c>
      <c r="B1943" s="3" t="s">
        <v>5254</v>
      </c>
      <c r="C1943" s="3" t="s">
        <v>5218</v>
      </c>
      <c r="D1943" s="3" t="s">
        <v>5255</v>
      </c>
      <c r="E1943" s="3" t="s">
        <v>5256</v>
      </c>
      <c r="F1943" s="3" t="s">
        <v>16</v>
      </c>
      <c r="G1943" s="3" t="s">
        <v>17</v>
      </c>
      <c r="H1943" s="3" t="s">
        <v>27</v>
      </c>
      <c r="I1943" s="4" t="n">
        <v>34485.9166666667</v>
      </c>
      <c r="J1943" s="3" t="s">
        <v>19</v>
      </c>
      <c r="K1943" s="3" t="s">
        <v>20</v>
      </c>
      <c r="L1943" s="3" t="s">
        <v>5257</v>
      </c>
    </row>
    <row r="1944" customFormat="false" ht="11.9" hidden="false" customHeight="true" outlineLevel="0" collapsed="false">
      <c r="A1944" s="3" t="str">
        <f aca="false">HYPERLINK("https://www.fabsurplus.com/sdi_catalog/salesItemDetails.do?id=52340")</f>
        <v>https://www.fabsurplus.com/sdi_catalog/salesItemDetails.do?id=52340</v>
      </c>
      <c r="B1944" s="3" t="s">
        <v>5258</v>
      </c>
      <c r="C1944" s="3" t="s">
        <v>5218</v>
      </c>
      <c r="D1944" s="3" t="s">
        <v>5259</v>
      </c>
      <c r="E1944" s="3" t="s">
        <v>5260</v>
      </c>
      <c r="F1944" s="3" t="s">
        <v>16</v>
      </c>
      <c r="G1944" s="3" t="s">
        <v>17</v>
      </c>
      <c r="H1944" s="3" t="s">
        <v>27</v>
      </c>
      <c r="I1944" s="4" t="n">
        <v>34485.9166666667</v>
      </c>
      <c r="J1944" s="3" t="s">
        <v>19</v>
      </c>
      <c r="K1944" s="3" t="s">
        <v>20</v>
      </c>
      <c r="L1944" s="3" t="s">
        <v>5261</v>
      </c>
    </row>
    <row r="1945" customFormat="false" ht="11.9" hidden="false" customHeight="true" outlineLevel="0" collapsed="false">
      <c r="A1945" s="3" t="str">
        <f aca="false">HYPERLINK("https://www.fabsurplus.com/sdi_catalog/salesItemDetails.do?id=52168")</f>
        <v>https://www.fabsurplus.com/sdi_catalog/salesItemDetails.do?id=52168</v>
      </c>
      <c r="B1945" s="3" t="s">
        <v>5262</v>
      </c>
      <c r="C1945" s="3" t="s">
        <v>5218</v>
      </c>
      <c r="D1945" s="3" t="s">
        <v>5263</v>
      </c>
      <c r="E1945" s="3" t="s">
        <v>5264</v>
      </c>
      <c r="F1945" s="3" t="s">
        <v>16</v>
      </c>
      <c r="G1945" s="3" t="s">
        <v>26</v>
      </c>
      <c r="H1945" s="3" t="s">
        <v>27</v>
      </c>
      <c r="I1945" s="3"/>
      <c r="J1945" s="3" t="s">
        <v>19</v>
      </c>
      <c r="K1945" s="3" t="s">
        <v>20</v>
      </c>
      <c r="L1945" s="5" t="s">
        <v>5265</v>
      </c>
    </row>
    <row r="1946" customFormat="false" ht="11.9" hidden="false" customHeight="true" outlineLevel="0" collapsed="false">
      <c r="A1946" s="3" t="str">
        <f aca="false">HYPERLINK("https://www.fabsurplus.com/sdi_catalog/salesItemDetails.do?id=111390")</f>
        <v>https://www.fabsurplus.com/sdi_catalog/salesItemDetails.do?id=111390</v>
      </c>
      <c r="B1946" s="3" t="s">
        <v>5266</v>
      </c>
      <c r="C1946" s="3" t="s">
        <v>5218</v>
      </c>
      <c r="D1946" s="3" t="s">
        <v>5267</v>
      </c>
      <c r="E1946" s="3" t="s">
        <v>5268</v>
      </c>
      <c r="F1946" s="3" t="s">
        <v>16</v>
      </c>
      <c r="G1946" s="3" t="s">
        <v>17</v>
      </c>
      <c r="H1946" s="3" t="s">
        <v>35</v>
      </c>
      <c r="I1946" s="4" t="n">
        <v>34455</v>
      </c>
      <c r="J1946" s="3" t="s">
        <v>19</v>
      </c>
      <c r="K1946" s="3" t="s">
        <v>20</v>
      </c>
      <c r="L1946" s="5" t="s">
        <v>5232</v>
      </c>
    </row>
    <row r="1947" customFormat="false" ht="11.9" hidden="false" customHeight="true" outlineLevel="0" collapsed="false">
      <c r="A1947" s="2" t="str">
        <f aca="false">HYPERLINK("https://www.fabsurplus.com/sdi_catalog/salesItemDetails.do?id=111391")</f>
        <v>https://www.fabsurplus.com/sdi_catalog/salesItemDetails.do?id=111391</v>
      </c>
      <c r="B1947" s="2" t="s">
        <v>5269</v>
      </c>
      <c r="C1947" s="2" t="s">
        <v>5218</v>
      </c>
      <c r="D1947" s="2" t="s">
        <v>5270</v>
      </c>
      <c r="E1947" s="2" t="s">
        <v>5271</v>
      </c>
      <c r="F1947" s="2" t="s">
        <v>16</v>
      </c>
      <c r="G1947" s="2" t="s">
        <v>17</v>
      </c>
      <c r="H1947" s="2" t="s">
        <v>35</v>
      </c>
      <c r="I1947" s="7" t="n">
        <v>34455</v>
      </c>
      <c r="J1947" s="2" t="s">
        <v>19</v>
      </c>
      <c r="K1947" s="2" t="s">
        <v>20</v>
      </c>
      <c r="L1947" s="6" t="s">
        <v>5232</v>
      </c>
    </row>
    <row r="1948" customFormat="false" ht="11.9" hidden="false" customHeight="true" outlineLevel="0" collapsed="false">
      <c r="A1948" s="3" t="str">
        <f aca="false">HYPERLINK("https://www.fabsurplus.com/sdi_catalog/salesItemDetails.do?id=111392")</f>
        <v>https://www.fabsurplus.com/sdi_catalog/salesItemDetails.do?id=111392</v>
      </c>
      <c r="B1948" s="3" t="s">
        <v>5272</v>
      </c>
      <c r="C1948" s="3" t="s">
        <v>5218</v>
      </c>
      <c r="D1948" s="3" t="s">
        <v>5273</v>
      </c>
      <c r="E1948" s="3" t="s">
        <v>5274</v>
      </c>
      <c r="F1948" s="3" t="s">
        <v>77</v>
      </c>
      <c r="G1948" s="3" t="s">
        <v>17</v>
      </c>
      <c r="H1948" s="3" t="s">
        <v>35</v>
      </c>
      <c r="I1948" s="4" t="n">
        <v>34455</v>
      </c>
      <c r="J1948" s="3" t="s">
        <v>19</v>
      </c>
      <c r="K1948" s="3" t="s">
        <v>20</v>
      </c>
      <c r="L1948" s="5" t="s">
        <v>5275</v>
      </c>
    </row>
    <row r="1949" customFormat="false" ht="11.9" hidden="false" customHeight="true" outlineLevel="0" collapsed="false">
      <c r="A1949" s="3" t="str">
        <f aca="false">HYPERLINK("https://www.fabsurplus.com/sdi_catalog/salesItemDetails.do?id=111386")</f>
        <v>https://www.fabsurplus.com/sdi_catalog/salesItemDetails.do?id=111386</v>
      </c>
      <c r="B1949" s="3" t="s">
        <v>5276</v>
      </c>
      <c r="C1949" s="3" t="s">
        <v>5218</v>
      </c>
      <c r="D1949" s="3" t="s">
        <v>5277</v>
      </c>
      <c r="E1949" s="3" t="s">
        <v>5278</v>
      </c>
      <c r="F1949" s="3" t="s">
        <v>16</v>
      </c>
      <c r="G1949" s="3" t="s">
        <v>17</v>
      </c>
      <c r="H1949" s="3" t="s">
        <v>35</v>
      </c>
      <c r="I1949" s="4" t="n">
        <v>34455</v>
      </c>
      <c r="J1949" s="3" t="s">
        <v>19</v>
      </c>
      <c r="K1949" s="3" t="s">
        <v>20</v>
      </c>
      <c r="L1949" s="5" t="s">
        <v>5232</v>
      </c>
    </row>
    <row r="1950" customFormat="false" ht="11.9" hidden="false" customHeight="true" outlineLevel="0" collapsed="false">
      <c r="A1950" s="3" t="str">
        <f aca="false">HYPERLINK("https://www.fabsurplus.com/sdi_catalog/salesItemDetails.do?id=111388")</f>
        <v>https://www.fabsurplus.com/sdi_catalog/salesItemDetails.do?id=111388</v>
      </c>
      <c r="B1950" s="3" t="s">
        <v>5279</v>
      </c>
      <c r="C1950" s="3" t="s">
        <v>5218</v>
      </c>
      <c r="D1950" s="3" t="s">
        <v>5280</v>
      </c>
      <c r="E1950" s="3" t="s">
        <v>5281</v>
      </c>
      <c r="F1950" s="3" t="s">
        <v>16</v>
      </c>
      <c r="G1950" s="3" t="s">
        <v>17</v>
      </c>
      <c r="H1950" s="3" t="s">
        <v>35</v>
      </c>
      <c r="I1950" s="4" t="n">
        <v>34455</v>
      </c>
      <c r="J1950" s="3" t="s">
        <v>19</v>
      </c>
      <c r="K1950" s="3" t="s">
        <v>20</v>
      </c>
      <c r="L1950" s="5" t="s">
        <v>5232</v>
      </c>
    </row>
    <row r="1951" customFormat="false" ht="11.9" hidden="false" customHeight="true" outlineLevel="0" collapsed="false">
      <c r="A1951" s="2" t="str">
        <f aca="false">HYPERLINK("https://www.fabsurplus.com/sdi_catalog/salesItemDetails.do?id=114433")</f>
        <v>https://www.fabsurplus.com/sdi_catalog/salesItemDetails.do?id=114433</v>
      </c>
      <c r="B1951" s="2" t="s">
        <v>5282</v>
      </c>
      <c r="C1951" s="2" t="s">
        <v>5218</v>
      </c>
      <c r="D1951" s="2" t="s">
        <v>5283</v>
      </c>
      <c r="E1951" s="2" t="s">
        <v>5284</v>
      </c>
      <c r="F1951" s="2" t="s">
        <v>16</v>
      </c>
      <c r="G1951" s="2" t="s">
        <v>26</v>
      </c>
      <c r="H1951" s="2" t="s">
        <v>27</v>
      </c>
      <c r="I1951" s="7" t="n">
        <v>34486</v>
      </c>
      <c r="J1951" s="2" t="s">
        <v>19</v>
      </c>
      <c r="K1951" s="2" t="s">
        <v>20</v>
      </c>
      <c r="L1951" s="6" t="s">
        <v>5285</v>
      </c>
    </row>
    <row r="1952" customFormat="false" ht="11.9" hidden="false" customHeight="true" outlineLevel="0" collapsed="false">
      <c r="A1952" s="2" t="str">
        <f aca="false">HYPERLINK("https://www.fabsurplus.com/sdi_catalog/salesItemDetails.do?id=111385")</f>
        <v>https://www.fabsurplus.com/sdi_catalog/salesItemDetails.do?id=111385</v>
      </c>
      <c r="B1952" s="2" t="s">
        <v>5286</v>
      </c>
      <c r="C1952" s="2" t="s">
        <v>5218</v>
      </c>
      <c r="D1952" s="2" t="s">
        <v>5287</v>
      </c>
      <c r="E1952" s="2" t="s">
        <v>5288</v>
      </c>
      <c r="F1952" s="2" t="s">
        <v>16</v>
      </c>
      <c r="G1952" s="2" t="s">
        <v>17</v>
      </c>
      <c r="H1952" s="2" t="s">
        <v>35</v>
      </c>
      <c r="I1952" s="7" t="n">
        <v>34455</v>
      </c>
      <c r="J1952" s="2" t="s">
        <v>19</v>
      </c>
      <c r="K1952" s="2" t="s">
        <v>20</v>
      </c>
      <c r="L1952" s="6" t="s">
        <v>5289</v>
      </c>
    </row>
    <row r="1953" customFormat="false" ht="11.9" hidden="false" customHeight="true" outlineLevel="0" collapsed="false">
      <c r="A1953" s="3" t="str">
        <f aca="false">HYPERLINK("https://www.fabsurplus.com/sdi_catalog/salesItemDetails.do?id=111394")</f>
        <v>https://www.fabsurplus.com/sdi_catalog/salesItemDetails.do?id=111394</v>
      </c>
      <c r="B1953" s="3" t="s">
        <v>5290</v>
      </c>
      <c r="C1953" s="3" t="s">
        <v>5218</v>
      </c>
      <c r="D1953" s="3" t="s">
        <v>5291</v>
      </c>
      <c r="E1953" s="3" t="s">
        <v>5292</v>
      </c>
      <c r="F1953" s="3" t="s">
        <v>16</v>
      </c>
      <c r="G1953" s="3" t="s">
        <v>17</v>
      </c>
      <c r="H1953" s="3" t="s">
        <v>35</v>
      </c>
      <c r="I1953" s="4" t="n">
        <v>34455</v>
      </c>
      <c r="J1953" s="3" t="s">
        <v>19</v>
      </c>
      <c r="K1953" s="3" t="s">
        <v>20</v>
      </c>
      <c r="L1953" s="5" t="s">
        <v>5293</v>
      </c>
    </row>
    <row r="1954" customFormat="false" ht="11.9" hidden="false" customHeight="true" outlineLevel="0" collapsed="false">
      <c r="A1954" s="2" t="str">
        <f aca="false">HYPERLINK("https://www.fabsurplus.com/sdi_catalog/salesItemDetails.do?id=111389")</f>
        <v>https://www.fabsurplus.com/sdi_catalog/salesItemDetails.do?id=111389</v>
      </c>
      <c r="B1954" s="2" t="s">
        <v>5294</v>
      </c>
      <c r="C1954" s="2" t="s">
        <v>5218</v>
      </c>
      <c r="D1954" s="2" t="s">
        <v>5295</v>
      </c>
      <c r="E1954" s="2" t="s">
        <v>5296</v>
      </c>
      <c r="F1954" s="2" t="s">
        <v>16</v>
      </c>
      <c r="G1954" s="2" t="s">
        <v>17</v>
      </c>
      <c r="H1954" s="2" t="s">
        <v>35</v>
      </c>
      <c r="I1954" s="7" t="n">
        <v>34455</v>
      </c>
      <c r="J1954" s="2" t="s">
        <v>19</v>
      </c>
      <c r="K1954" s="2" t="s">
        <v>20</v>
      </c>
      <c r="L1954" s="6" t="s">
        <v>5232</v>
      </c>
    </row>
    <row r="1955" customFormat="false" ht="11.9" hidden="false" customHeight="true" outlineLevel="0" collapsed="false">
      <c r="A1955" s="2" t="str">
        <f aca="false">HYPERLINK("https://www.fabsurplus.com/sdi_catalog/salesItemDetails.do?id=52167")</f>
        <v>https://www.fabsurplus.com/sdi_catalog/salesItemDetails.do?id=52167</v>
      </c>
      <c r="B1955" s="2" t="s">
        <v>5297</v>
      </c>
      <c r="C1955" s="2" t="s">
        <v>5218</v>
      </c>
      <c r="D1955" s="2" t="s">
        <v>5298</v>
      </c>
      <c r="E1955" s="2" t="s">
        <v>5299</v>
      </c>
      <c r="F1955" s="2" t="s">
        <v>16</v>
      </c>
      <c r="G1955" s="2" t="s">
        <v>17</v>
      </c>
      <c r="H1955" s="2" t="s">
        <v>27</v>
      </c>
      <c r="I1955" s="2"/>
      <c r="J1955" s="2" t="s">
        <v>19</v>
      </c>
      <c r="K1955" s="2" t="s">
        <v>20</v>
      </c>
      <c r="L1955" s="6" t="s">
        <v>5300</v>
      </c>
    </row>
    <row r="1956" customFormat="false" ht="11.9" hidden="false" customHeight="true" outlineLevel="0" collapsed="false">
      <c r="A1956" s="3" t="str">
        <f aca="false">HYPERLINK("https://www.fabsurplus.com/sdi_catalog/salesItemDetails.do?id=102060")</f>
        <v>https://www.fabsurplus.com/sdi_catalog/salesItemDetails.do?id=102060</v>
      </c>
      <c r="B1956" s="3" t="s">
        <v>5301</v>
      </c>
      <c r="C1956" s="3" t="s">
        <v>5218</v>
      </c>
      <c r="D1956" s="3" t="s">
        <v>5302</v>
      </c>
      <c r="E1956" s="3" t="s">
        <v>5303</v>
      </c>
      <c r="F1956" s="3" t="s">
        <v>2293</v>
      </c>
      <c r="G1956" s="3" t="s">
        <v>26</v>
      </c>
      <c r="H1956" s="3" t="s">
        <v>35</v>
      </c>
      <c r="I1956" s="4" t="n">
        <v>34851</v>
      </c>
      <c r="J1956" s="3" t="s">
        <v>19</v>
      </c>
      <c r="K1956" s="3" t="s">
        <v>20</v>
      </c>
      <c r="L1956" s="5" t="s">
        <v>5304</v>
      </c>
    </row>
    <row r="1957" customFormat="false" ht="11.9" hidden="false" customHeight="true" outlineLevel="0" collapsed="false">
      <c r="A1957" s="3" t="str">
        <f aca="false">HYPERLINK("https://www.fabsurplus.com/sdi_catalog/salesItemDetails.do?id=53054")</f>
        <v>https://www.fabsurplus.com/sdi_catalog/salesItemDetails.do?id=53054</v>
      </c>
      <c r="B1957" s="3" t="s">
        <v>5305</v>
      </c>
      <c r="C1957" s="3" t="s">
        <v>5306</v>
      </c>
      <c r="D1957" s="3" t="s">
        <v>5307</v>
      </c>
      <c r="E1957" s="3" t="s">
        <v>5308</v>
      </c>
      <c r="F1957" s="3" t="s">
        <v>16</v>
      </c>
      <c r="G1957" s="3" t="s">
        <v>17</v>
      </c>
      <c r="H1957" s="3" t="s">
        <v>27</v>
      </c>
      <c r="I1957" s="3"/>
      <c r="J1957" s="3" t="s">
        <v>19</v>
      </c>
      <c r="K1957" s="3" t="s">
        <v>20</v>
      </c>
      <c r="L1957" s="3" t="s">
        <v>5309</v>
      </c>
    </row>
    <row r="1958" customFormat="false" ht="11.9" hidden="false" customHeight="true" outlineLevel="0" collapsed="false">
      <c r="A1958" s="2" t="str">
        <f aca="false">HYPERLINK("https://www.fabsurplus.com/sdi_catalog/salesItemDetails.do?id=114431")</f>
        <v>https://www.fabsurplus.com/sdi_catalog/salesItemDetails.do?id=114431</v>
      </c>
      <c r="B1958" s="2" t="s">
        <v>5310</v>
      </c>
      <c r="C1958" s="2" t="s">
        <v>5218</v>
      </c>
      <c r="D1958" s="2" t="s">
        <v>5311</v>
      </c>
      <c r="E1958" s="2" t="s">
        <v>5312</v>
      </c>
      <c r="F1958" s="2" t="s">
        <v>77</v>
      </c>
      <c r="G1958" s="2" t="s">
        <v>26</v>
      </c>
      <c r="H1958" s="2" t="s">
        <v>27</v>
      </c>
      <c r="I1958" s="7" t="n">
        <v>34486</v>
      </c>
      <c r="J1958" s="2" t="s">
        <v>19</v>
      </c>
      <c r="K1958" s="2" t="s">
        <v>20</v>
      </c>
      <c r="L1958" s="6" t="s">
        <v>5313</v>
      </c>
    </row>
    <row r="1959" customFormat="false" ht="11.9" hidden="false" customHeight="true" outlineLevel="0" collapsed="false">
      <c r="A1959" s="2" t="str">
        <f aca="false">HYPERLINK("https://www.fabsurplus.com/sdi_catalog/salesItemDetails.do?id=86278")</f>
        <v>https://www.fabsurplus.com/sdi_catalog/salesItemDetails.do?id=86278</v>
      </c>
      <c r="B1959" s="2" t="s">
        <v>5314</v>
      </c>
      <c r="C1959" s="2" t="s">
        <v>5315</v>
      </c>
      <c r="D1959" s="2" t="s">
        <v>5316</v>
      </c>
      <c r="E1959" s="2" t="s">
        <v>5317</v>
      </c>
      <c r="F1959" s="2" t="s">
        <v>16</v>
      </c>
      <c r="G1959" s="2" t="s">
        <v>26</v>
      </c>
      <c r="H1959" s="2" t="s">
        <v>27</v>
      </c>
      <c r="I1959" s="7" t="n">
        <v>34820</v>
      </c>
      <c r="J1959" s="2" t="s">
        <v>19</v>
      </c>
      <c r="K1959" s="2" t="s">
        <v>20</v>
      </c>
      <c r="L1959" s="6" t="s">
        <v>5318</v>
      </c>
    </row>
    <row r="1960" customFormat="false" ht="11.9" hidden="false" customHeight="true" outlineLevel="0" collapsed="false">
      <c r="A1960" s="2" t="str">
        <f aca="false">HYPERLINK("https://www.fabsurplus.com/sdi_catalog/salesItemDetails.do?id=77264")</f>
        <v>https://www.fabsurplus.com/sdi_catalog/salesItemDetails.do?id=77264</v>
      </c>
      <c r="B1960" s="2" t="s">
        <v>5319</v>
      </c>
      <c r="C1960" s="2" t="s">
        <v>5320</v>
      </c>
      <c r="D1960" s="2" t="s">
        <v>5321</v>
      </c>
      <c r="E1960" s="2" t="s">
        <v>5322</v>
      </c>
      <c r="F1960" s="2" t="s">
        <v>77</v>
      </c>
      <c r="G1960" s="2" t="s">
        <v>5323</v>
      </c>
      <c r="H1960" s="2" t="s">
        <v>27</v>
      </c>
      <c r="I1960" s="2"/>
      <c r="J1960" s="2" t="s">
        <v>19</v>
      </c>
      <c r="K1960" s="2" t="s">
        <v>20</v>
      </c>
      <c r="L1960" s="6" t="s">
        <v>5324</v>
      </c>
    </row>
    <row r="1961" customFormat="false" ht="11.9" hidden="false" customHeight="true" outlineLevel="0" collapsed="false">
      <c r="A1961" s="3" t="str">
        <f aca="false">HYPERLINK("https://www.fabsurplus.com/sdi_catalog/salesItemDetails.do?id=83579")</f>
        <v>https://www.fabsurplus.com/sdi_catalog/salesItemDetails.do?id=83579</v>
      </c>
      <c r="B1961" s="3" t="s">
        <v>5325</v>
      </c>
      <c r="C1961" s="3" t="s">
        <v>5326</v>
      </c>
      <c r="D1961" s="3" t="s">
        <v>5327</v>
      </c>
      <c r="E1961" s="3" t="s">
        <v>5328</v>
      </c>
      <c r="F1961" s="3" t="s">
        <v>16</v>
      </c>
      <c r="G1961" s="3" t="s">
        <v>5329</v>
      </c>
      <c r="H1961" s="3" t="s">
        <v>27</v>
      </c>
      <c r="I1961" s="4" t="n">
        <v>32932.9583333333</v>
      </c>
      <c r="J1961" s="3" t="s">
        <v>19</v>
      </c>
      <c r="K1961" s="3" t="s">
        <v>20</v>
      </c>
      <c r="L1961" s="5" t="s">
        <v>5330</v>
      </c>
    </row>
    <row r="1962" customFormat="false" ht="11.9" hidden="false" customHeight="true" outlineLevel="0" collapsed="false">
      <c r="A1962" s="2" t="str">
        <f aca="false">HYPERLINK("https://www.fabsurplus.com/sdi_catalog/salesItemDetails.do?id=82181")</f>
        <v>https://www.fabsurplus.com/sdi_catalog/salesItemDetails.do?id=82181</v>
      </c>
      <c r="B1962" s="2" t="s">
        <v>5331</v>
      </c>
      <c r="C1962" s="2" t="s">
        <v>5332</v>
      </c>
      <c r="D1962" s="2" t="s">
        <v>5333</v>
      </c>
      <c r="E1962" s="2" t="s">
        <v>5334</v>
      </c>
      <c r="F1962" s="2" t="s">
        <v>16</v>
      </c>
      <c r="G1962" s="2"/>
      <c r="H1962" s="2" t="s">
        <v>27</v>
      </c>
      <c r="I1962" s="2"/>
      <c r="J1962" s="2" t="s">
        <v>19</v>
      </c>
      <c r="K1962" s="2" t="s">
        <v>20</v>
      </c>
      <c r="L1962" s="6" t="s">
        <v>5335</v>
      </c>
    </row>
    <row r="1963" customFormat="false" ht="11.9" hidden="false" customHeight="true" outlineLevel="0" collapsed="false">
      <c r="A1963" s="3" t="str">
        <f aca="false">HYPERLINK("https://www.fabsurplus.com/sdi_catalog/salesItemDetails.do?id=77156")</f>
        <v>https://www.fabsurplus.com/sdi_catalog/salesItemDetails.do?id=77156</v>
      </c>
      <c r="B1963" s="3" t="s">
        <v>5336</v>
      </c>
      <c r="C1963" s="3" t="s">
        <v>5337</v>
      </c>
      <c r="D1963" s="3" t="s">
        <v>5338</v>
      </c>
      <c r="E1963" s="3" t="s">
        <v>5339</v>
      </c>
      <c r="F1963" s="3" t="s">
        <v>16</v>
      </c>
      <c r="G1963" s="3" t="s">
        <v>26</v>
      </c>
      <c r="H1963" s="3" t="s">
        <v>944</v>
      </c>
      <c r="I1963" s="3"/>
      <c r="J1963" s="3" t="s">
        <v>19</v>
      </c>
      <c r="K1963" s="3" t="s">
        <v>20</v>
      </c>
      <c r="L1963" s="5" t="s">
        <v>5340</v>
      </c>
    </row>
    <row r="1964" customFormat="false" ht="11.9" hidden="false" customHeight="true" outlineLevel="0" collapsed="false">
      <c r="A1964" s="3" t="str">
        <f aca="false">HYPERLINK("https://www.fabsurplus.com/sdi_catalog/salesItemDetails.do?id=110323")</f>
        <v>https://www.fabsurplus.com/sdi_catalog/salesItemDetails.do?id=110323</v>
      </c>
      <c r="B1964" s="3" t="s">
        <v>5341</v>
      </c>
      <c r="C1964" s="3" t="s">
        <v>5342</v>
      </c>
      <c r="D1964" s="3" t="s">
        <v>5343</v>
      </c>
      <c r="E1964" s="3" t="s">
        <v>133</v>
      </c>
      <c r="F1964" s="3" t="s">
        <v>16</v>
      </c>
      <c r="G1964" s="3" t="s">
        <v>41</v>
      </c>
      <c r="H1964" s="3"/>
      <c r="I1964" s="3"/>
      <c r="J1964" s="3" t="s">
        <v>42</v>
      </c>
      <c r="K1964" s="3"/>
      <c r="L1964" s="3" t="s">
        <v>5344</v>
      </c>
    </row>
    <row r="1965" customFormat="false" ht="11.9" hidden="false" customHeight="true" outlineLevel="0" collapsed="false">
      <c r="A1965" s="2" t="str">
        <f aca="false">HYPERLINK("https://www.fabsurplus.com/sdi_catalog/salesItemDetails.do?id=110322")</f>
        <v>https://www.fabsurplus.com/sdi_catalog/salesItemDetails.do?id=110322</v>
      </c>
      <c r="B1965" s="2" t="s">
        <v>5345</v>
      </c>
      <c r="C1965" s="2" t="s">
        <v>5346</v>
      </c>
      <c r="D1965" s="2" t="s">
        <v>5347</v>
      </c>
      <c r="E1965" s="2" t="s">
        <v>47</v>
      </c>
      <c r="F1965" s="2" t="s">
        <v>16</v>
      </c>
      <c r="G1965" s="2" t="s">
        <v>41</v>
      </c>
      <c r="H1965" s="2"/>
      <c r="I1965" s="2"/>
      <c r="J1965" s="2" t="s">
        <v>42</v>
      </c>
      <c r="K1965" s="2"/>
      <c r="L1965" s="2" t="s">
        <v>5348</v>
      </c>
    </row>
    <row r="1966" customFormat="false" ht="11.9" hidden="false" customHeight="true" outlineLevel="0" collapsed="false">
      <c r="A1966" s="3" t="str">
        <f aca="false">HYPERLINK("https://www.fabsurplus.com/sdi_catalog/salesItemDetails.do?id=110324")</f>
        <v>https://www.fabsurplus.com/sdi_catalog/salesItemDetails.do?id=110324</v>
      </c>
      <c r="B1966" s="3" t="s">
        <v>5349</v>
      </c>
      <c r="C1966" s="3" t="s">
        <v>5350</v>
      </c>
      <c r="D1966" s="3" t="s">
        <v>5351</v>
      </c>
      <c r="E1966" s="3" t="s">
        <v>133</v>
      </c>
      <c r="F1966" s="3" t="s">
        <v>16</v>
      </c>
      <c r="G1966" s="3" t="s">
        <v>41</v>
      </c>
      <c r="H1966" s="3"/>
      <c r="I1966" s="3"/>
      <c r="J1966" s="3" t="s">
        <v>42</v>
      </c>
      <c r="K1966" s="3"/>
      <c r="L1966" s="3" t="s">
        <v>349</v>
      </c>
    </row>
    <row r="1967" customFormat="false" ht="11.9" hidden="false" customHeight="true" outlineLevel="0" collapsed="false">
      <c r="A1967" s="2" t="str">
        <f aca="false">HYPERLINK("https://www.fabsurplus.com/sdi_catalog/salesItemDetails.do?id=77004")</f>
        <v>https://www.fabsurplus.com/sdi_catalog/salesItemDetails.do?id=77004</v>
      </c>
      <c r="B1967" s="2" t="s">
        <v>5352</v>
      </c>
      <c r="C1967" s="2" t="s">
        <v>5353</v>
      </c>
      <c r="D1967" s="2" t="s">
        <v>5354</v>
      </c>
      <c r="E1967" s="2" t="s">
        <v>5355</v>
      </c>
      <c r="F1967" s="2" t="s">
        <v>77</v>
      </c>
      <c r="G1967" s="2" t="s">
        <v>26</v>
      </c>
      <c r="H1967" s="2" t="s">
        <v>944</v>
      </c>
      <c r="I1967" s="7" t="n">
        <v>38718</v>
      </c>
      <c r="J1967" s="2" t="s">
        <v>19</v>
      </c>
      <c r="K1967" s="2" t="s">
        <v>20</v>
      </c>
      <c r="L1967" s="2" t="s">
        <v>5356</v>
      </c>
    </row>
    <row r="1968" customFormat="false" ht="11.9" hidden="false" customHeight="true" outlineLevel="0" collapsed="false">
      <c r="A1968" s="3" t="str">
        <f aca="false">HYPERLINK("https://www.fabsurplus.com/sdi_catalog/salesItemDetails.do?id=84238")</f>
        <v>https://www.fabsurplus.com/sdi_catalog/salesItemDetails.do?id=84238</v>
      </c>
      <c r="B1968" s="3" t="s">
        <v>5357</v>
      </c>
      <c r="C1968" s="3" t="s">
        <v>5358</v>
      </c>
      <c r="D1968" s="3" t="s">
        <v>5359</v>
      </c>
      <c r="E1968" s="3" t="s">
        <v>5360</v>
      </c>
      <c r="F1968" s="3" t="s">
        <v>16</v>
      </c>
      <c r="G1968" s="3" t="s">
        <v>26</v>
      </c>
      <c r="H1968" s="3" t="s">
        <v>35</v>
      </c>
      <c r="I1968" s="3"/>
      <c r="J1968" s="3" t="s">
        <v>19</v>
      </c>
      <c r="K1968" s="3" t="s">
        <v>20</v>
      </c>
      <c r="L1968" s="5" t="s">
        <v>5361</v>
      </c>
    </row>
    <row r="1969" customFormat="false" ht="11.9" hidden="false" customHeight="true" outlineLevel="0" collapsed="false">
      <c r="A1969" s="2" t="str">
        <f aca="false">HYPERLINK("https://www.fabsurplus.com/sdi_catalog/salesItemDetails.do?id=13025")</f>
        <v>https://www.fabsurplus.com/sdi_catalog/salesItemDetails.do?id=13025</v>
      </c>
      <c r="B1969" s="2" t="s">
        <v>5362</v>
      </c>
      <c r="C1969" s="2" t="s">
        <v>5363</v>
      </c>
      <c r="D1969" s="2" t="s">
        <v>5364</v>
      </c>
      <c r="E1969" s="2" t="s">
        <v>5365</v>
      </c>
      <c r="F1969" s="2" t="s">
        <v>101</v>
      </c>
      <c r="G1969" s="2" t="s">
        <v>26</v>
      </c>
      <c r="H1969" s="2" t="s">
        <v>18</v>
      </c>
      <c r="I1969" s="2"/>
      <c r="J1969" s="2" t="s">
        <v>19</v>
      </c>
      <c r="K1969" s="2" t="s">
        <v>20</v>
      </c>
      <c r="L1969" s="2" t="s">
        <v>5366</v>
      </c>
    </row>
    <row r="1970" customFormat="false" ht="11.9" hidden="false" customHeight="true" outlineLevel="0" collapsed="false">
      <c r="A1970" s="3" t="str">
        <f aca="false">HYPERLINK("https://www.fabsurplus.com/sdi_catalog/salesItemDetails.do?id=83619")</f>
        <v>https://www.fabsurplus.com/sdi_catalog/salesItemDetails.do?id=83619</v>
      </c>
      <c r="B1970" s="3" t="s">
        <v>5367</v>
      </c>
      <c r="C1970" s="3" t="s">
        <v>5368</v>
      </c>
      <c r="D1970" s="3" t="s">
        <v>5369</v>
      </c>
      <c r="E1970" s="3" t="s">
        <v>5370</v>
      </c>
      <c r="F1970" s="3" t="s">
        <v>16</v>
      </c>
      <c r="G1970" s="3"/>
      <c r="H1970" s="3" t="s">
        <v>18</v>
      </c>
      <c r="I1970" s="4" t="n">
        <v>37955.9583333333</v>
      </c>
      <c r="J1970" s="3" t="s">
        <v>19</v>
      </c>
      <c r="K1970" s="3" t="s">
        <v>20</v>
      </c>
      <c r="L1970" s="5" t="s">
        <v>5371</v>
      </c>
    </row>
    <row r="1971" customFormat="false" ht="11.9" hidden="false" customHeight="true" outlineLevel="0" collapsed="false">
      <c r="A1971" s="3" t="str">
        <f aca="false">HYPERLINK("https://www.fabsurplus.com/sdi_catalog/salesItemDetails.do?id=83617")</f>
        <v>https://www.fabsurplus.com/sdi_catalog/salesItemDetails.do?id=83617</v>
      </c>
      <c r="B1971" s="3" t="s">
        <v>5372</v>
      </c>
      <c r="C1971" s="3" t="s">
        <v>5368</v>
      </c>
      <c r="D1971" s="3" t="s">
        <v>5373</v>
      </c>
      <c r="E1971" s="3" t="s">
        <v>5370</v>
      </c>
      <c r="F1971" s="3" t="s">
        <v>16</v>
      </c>
      <c r="G1971" s="3"/>
      <c r="H1971" s="3" t="s">
        <v>18</v>
      </c>
      <c r="I1971" s="4" t="n">
        <v>39782.9583333333</v>
      </c>
      <c r="J1971" s="3" t="s">
        <v>19</v>
      </c>
      <c r="K1971" s="3" t="s">
        <v>20</v>
      </c>
      <c r="L1971" s="5" t="s">
        <v>5374</v>
      </c>
    </row>
    <row r="1972" customFormat="false" ht="11.9" hidden="false" customHeight="true" outlineLevel="0" collapsed="false">
      <c r="A1972" s="3" t="str">
        <f aca="false">HYPERLINK("https://www.fabsurplus.com/sdi_catalog/salesItemDetails.do?id=84222")</f>
        <v>https://www.fabsurplus.com/sdi_catalog/salesItemDetails.do?id=84222</v>
      </c>
      <c r="B1972" s="3" t="s">
        <v>5375</v>
      </c>
      <c r="C1972" s="3" t="s">
        <v>5368</v>
      </c>
      <c r="D1972" s="3" t="s">
        <v>5376</v>
      </c>
      <c r="E1972" s="3" t="s">
        <v>5370</v>
      </c>
      <c r="F1972" s="3" t="s">
        <v>16</v>
      </c>
      <c r="G1972" s="3" t="s">
        <v>26</v>
      </c>
      <c r="H1972" s="3" t="s">
        <v>18</v>
      </c>
      <c r="I1972" s="4" t="n">
        <v>39753</v>
      </c>
      <c r="J1972" s="3" t="s">
        <v>19</v>
      </c>
      <c r="K1972" s="3" t="s">
        <v>20</v>
      </c>
      <c r="L1972" s="5" t="s">
        <v>5377</v>
      </c>
    </row>
    <row r="1973" customFormat="false" ht="11.9" hidden="false" customHeight="true" outlineLevel="0" collapsed="false">
      <c r="A1973" s="2" t="str">
        <f aca="false">HYPERLINK("https://www.fabsurplus.com/sdi_catalog/salesItemDetails.do?id=83626")</f>
        <v>https://www.fabsurplus.com/sdi_catalog/salesItemDetails.do?id=83626</v>
      </c>
      <c r="B1973" s="2" t="s">
        <v>5378</v>
      </c>
      <c r="C1973" s="2" t="s">
        <v>5368</v>
      </c>
      <c r="D1973" s="2" t="s">
        <v>5379</v>
      </c>
      <c r="E1973" s="2" t="s">
        <v>5380</v>
      </c>
      <c r="F1973" s="2" t="s">
        <v>16</v>
      </c>
      <c r="G1973" s="2"/>
      <c r="H1973" s="2" t="s">
        <v>18</v>
      </c>
      <c r="I1973" s="7" t="n">
        <v>37955.9583333333</v>
      </c>
      <c r="J1973" s="2" t="s">
        <v>19</v>
      </c>
      <c r="K1973" s="2" t="s">
        <v>20</v>
      </c>
      <c r="L1973" s="6" t="s">
        <v>5381</v>
      </c>
    </row>
    <row r="1974" customFormat="false" ht="11.9" hidden="false" customHeight="true" outlineLevel="0" collapsed="false">
      <c r="A1974" s="2" t="str">
        <f aca="false">HYPERLINK("https://www.fabsurplus.com/sdi_catalog/salesItemDetails.do?id=83618")</f>
        <v>https://www.fabsurplus.com/sdi_catalog/salesItemDetails.do?id=83618</v>
      </c>
      <c r="B1974" s="2" t="s">
        <v>5382</v>
      </c>
      <c r="C1974" s="2" t="s">
        <v>5368</v>
      </c>
      <c r="D1974" s="2" t="s">
        <v>5383</v>
      </c>
      <c r="E1974" s="2" t="s">
        <v>5370</v>
      </c>
      <c r="F1974" s="2" t="s">
        <v>16</v>
      </c>
      <c r="G1974" s="2"/>
      <c r="H1974" s="2" t="s">
        <v>18</v>
      </c>
      <c r="I1974" s="7" t="n">
        <v>39782.9583333333</v>
      </c>
      <c r="J1974" s="2" t="s">
        <v>19</v>
      </c>
      <c r="K1974" s="2" t="s">
        <v>20</v>
      </c>
      <c r="L1974" s="6" t="s">
        <v>5384</v>
      </c>
    </row>
    <row r="1975" customFormat="false" ht="11.9" hidden="false" customHeight="true" outlineLevel="0" collapsed="false">
      <c r="A1975" s="2" t="str">
        <f aca="false">HYPERLINK("https://www.fabsurplus.com/sdi_catalog/salesItemDetails.do?id=83583")</f>
        <v>https://www.fabsurplus.com/sdi_catalog/salesItemDetails.do?id=83583</v>
      </c>
      <c r="B1975" s="2" t="s">
        <v>5385</v>
      </c>
      <c r="C1975" s="2" t="s">
        <v>5386</v>
      </c>
      <c r="D1975" s="2" t="s">
        <v>5387</v>
      </c>
      <c r="E1975" s="2" t="s">
        <v>5388</v>
      </c>
      <c r="F1975" s="2" t="s">
        <v>16</v>
      </c>
      <c r="G1975" s="2" t="s">
        <v>5389</v>
      </c>
      <c r="H1975" s="2" t="s">
        <v>27</v>
      </c>
      <c r="I1975" s="2"/>
      <c r="J1975" s="2" t="s">
        <v>19</v>
      </c>
      <c r="K1975" s="2" t="s">
        <v>20</v>
      </c>
      <c r="L1975" s="2" t="s">
        <v>5388</v>
      </c>
    </row>
    <row r="1976" customFormat="false" ht="11.9" hidden="false" customHeight="true" outlineLevel="0" collapsed="false">
      <c r="A1976" s="3" t="str">
        <f aca="false">HYPERLINK("https://www.fabsurplus.com/sdi_catalog/salesItemDetails.do?id=77151")</f>
        <v>https://www.fabsurplus.com/sdi_catalog/salesItemDetails.do?id=77151</v>
      </c>
      <c r="B1976" s="3" t="s">
        <v>5390</v>
      </c>
      <c r="C1976" s="3" t="s">
        <v>5391</v>
      </c>
      <c r="D1976" s="3" t="s">
        <v>5392</v>
      </c>
      <c r="E1976" s="3" t="s">
        <v>5393</v>
      </c>
      <c r="F1976" s="3" t="s">
        <v>16</v>
      </c>
      <c r="G1976" s="3" t="s">
        <v>26</v>
      </c>
      <c r="H1976" s="3" t="s">
        <v>18</v>
      </c>
      <c r="I1976" s="4" t="n">
        <v>39448</v>
      </c>
      <c r="J1976" s="3" t="s">
        <v>19</v>
      </c>
      <c r="K1976" s="3" t="s">
        <v>20</v>
      </c>
      <c r="L1976" s="5" t="s">
        <v>5394</v>
      </c>
    </row>
    <row r="1977" customFormat="false" ht="11.9" hidden="false" customHeight="true" outlineLevel="0" collapsed="false">
      <c r="A1977" s="2" t="str">
        <f aca="false">HYPERLINK("https://www.fabsurplus.com/sdi_catalog/salesItemDetails.do?id=86677")</f>
        <v>https://www.fabsurplus.com/sdi_catalog/salesItemDetails.do?id=86677</v>
      </c>
      <c r="B1977" s="2" t="s">
        <v>5395</v>
      </c>
      <c r="C1977" s="2" t="s">
        <v>5396</v>
      </c>
      <c r="D1977" s="2" t="s">
        <v>5397</v>
      </c>
      <c r="E1977" s="2" t="s">
        <v>5398</v>
      </c>
      <c r="F1977" s="2" t="s">
        <v>16</v>
      </c>
      <c r="G1977" s="2" t="s">
        <v>26</v>
      </c>
      <c r="H1977" s="2" t="s">
        <v>27</v>
      </c>
      <c r="I1977" s="7" t="n">
        <v>39233.9166666667</v>
      </c>
      <c r="J1977" s="2" t="s">
        <v>19</v>
      </c>
      <c r="K1977" s="2" t="s">
        <v>20</v>
      </c>
      <c r="L1977" s="6" t="s">
        <v>5399</v>
      </c>
    </row>
    <row r="1978" customFormat="false" ht="11.9" hidden="false" customHeight="true" outlineLevel="0" collapsed="false">
      <c r="A1978" s="3" t="str">
        <f aca="false">HYPERLINK("https://www.fabsurplus.com/sdi_catalog/salesItemDetails.do?id=84552")</f>
        <v>https://www.fabsurplus.com/sdi_catalog/salesItemDetails.do?id=84552</v>
      </c>
      <c r="B1978" s="3" t="s">
        <v>5400</v>
      </c>
      <c r="C1978" s="3" t="s">
        <v>5401</v>
      </c>
      <c r="D1978" s="3" t="s">
        <v>5402</v>
      </c>
      <c r="E1978" s="3" t="s">
        <v>5403</v>
      </c>
      <c r="F1978" s="3" t="s">
        <v>16</v>
      </c>
      <c r="G1978" s="3" t="s">
        <v>17</v>
      </c>
      <c r="H1978" s="3" t="s">
        <v>35</v>
      </c>
      <c r="I1978" s="3"/>
      <c r="J1978" s="3" t="s">
        <v>19</v>
      </c>
      <c r="K1978" s="3" t="s">
        <v>20</v>
      </c>
      <c r="L1978" s="5" t="s">
        <v>5404</v>
      </c>
    </row>
    <row r="1979" customFormat="false" ht="11.9" hidden="false" customHeight="true" outlineLevel="0" collapsed="false">
      <c r="A1979" s="3" t="str">
        <f aca="false">HYPERLINK("https://www.fabsurplus.com/sdi_catalog/salesItemDetails.do?id=115394")</f>
        <v>https://www.fabsurplus.com/sdi_catalog/salesItemDetails.do?id=115394</v>
      </c>
      <c r="B1979" s="3" t="s">
        <v>5405</v>
      </c>
      <c r="C1979" s="3" t="s">
        <v>5406</v>
      </c>
      <c r="D1979" s="3" t="s">
        <v>5407</v>
      </c>
      <c r="E1979" s="3" t="s">
        <v>5408</v>
      </c>
      <c r="F1979" s="3" t="s">
        <v>77</v>
      </c>
      <c r="G1979" s="3" t="s">
        <v>26</v>
      </c>
      <c r="H1979" s="3"/>
      <c r="I1979" s="3"/>
      <c r="J1979" s="3" t="s">
        <v>19</v>
      </c>
      <c r="K1979" s="3"/>
      <c r="L1979" s="3" t="s">
        <v>63</v>
      </c>
    </row>
    <row r="1980" customFormat="false" ht="11.9" hidden="false" customHeight="true" outlineLevel="0" collapsed="false">
      <c r="A1980" s="2" t="str">
        <f aca="false">HYPERLINK("https://www.fabsurplus.com/sdi_catalog/salesItemDetails.do?id=84231")</f>
        <v>https://www.fabsurplus.com/sdi_catalog/salesItemDetails.do?id=84231</v>
      </c>
      <c r="B1980" s="2" t="s">
        <v>5409</v>
      </c>
      <c r="C1980" s="2" t="s">
        <v>5410</v>
      </c>
      <c r="D1980" s="2" t="s">
        <v>5411</v>
      </c>
      <c r="E1980" s="2" t="s">
        <v>5412</v>
      </c>
      <c r="F1980" s="2" t="s">
        <v>77</v>
      </c>
      <c r="G1980" s="2" t="s">
        <v>26</v>
      </c>
      <c r="H1980" s="2" t="s">
        <v>35</v>
      </c>
      <c r="I1980" s="2"/>
      <c r="J1980" s="2" t="s">
        <v>19</v>
      </c>
      <c r="K1980" s="2" t="s">
        <v>20</v>
      </c>
      <c r="L1980" s="6" t="s">
        <v>5413</v>
      </c>
    </row>
    <row r="1981" customFormat="false" ht="11.9" hidden="false" customHeight="true" outlineLevel="0" collapsed="false">
      <c r="A1981" s="3" t="str">
        <f aca="false">HYPERLINK("https://www.fabsurplus.com/sdi_catalog/salesItemDetails.do?id=84388")</f>
        <v>https://www.fabsurplus.com/sdi_catalog/salesItemDetails.do?id=84388</v>
      </c>
      <c r="B1981" s="3" t="s">
        <v>5414</v>
      </c>
      <c r="C1981" s="3" t="s">
        <v>5415</v>
      </c>
      <c r="D1981" s="3" t="s">
        <v>5416</v>
      </c>
      <c r="E1981" s="3" t="s">
        <v>5417</v>
      </c>
      <c r="F1981" s="3" t="s">
        <v>101</v>
      </c>
      <c r="G1981" s="3"/>
      <c r="H1981" s="3" t="s">
        <v>18</v>
      </c>
      <c r="I1981" s="3"/>
      <c r="J1981" s="3" t="s">
        <v>19</v>
      </c>
      <c r="K1981" s="3" t="s">
        <v>20</v>
      </c>
      <c r="L1981" s="5" t="s">
        <v>5418</v>
      </c>
    </row>
    <row r="1982" customFormat="false" ht="11.9" hidden="false" customHeight="true" outlineLevel="0" collapsed="false">
      <c r="A1982" s="2" t="str">
        <f aca="false">HYPERLINK("https://www.fabsurplus.com/sdi_catalog/salesItemDetails.do?id=84392")</f>
        <v>https://www.fabsurplus.com/sdi_catalog/salesItemDetails.do?id=84392</v>
      </c>
      <c r="B1982" s="2" t="s">
        <v>5419</v>
      </c>
      <c r="C1982" s="2" t="s">
        <v>5415</v>
      </c>
      <c r="D1982" s="2" t="s">
        <v>5420</v>
      </c>
      <c r="E1982" s="2" t="s">
        <v>5417</v>
      </c>
      <c r="F1982" s="2" t="s">
        <v>199</v>
      </c>
      <c r="G1982" s="2"/>
      <c r="H1982" s="2" t="s">
        <v>18</v>
      </c>
      <c r="I1982" s="2"/>
      <c r="J1982" s="2" t="s">
        <v>19</v>
      </c>
      <c r="K1982" s="2" t="s">
        <v>20</v>
      </c>
      <c r="L1982" s="6" t="s">
        <v>5421</v>
      </c>
    </row>
    <row r="1983" customFormat="false" ht="11.9" hidden="false" customHeight="true" outlineLevel="0" collapsed="false">
      <c r="A1983" s="3" t="str">
        <f aca="false">HYPERLINK("https://www.fabsurplus.com/sdi_catalog/salesItemDetails.do?id=84393")</f>
        <v>https://www.fabsurplus.com/sdi_catalog/salesItemDetails.do?id=84393</v>
      </c>
      <c r="B1983" s="3" t="s">
        <v>5422</v>
      </c>
      <c r="C1983" s="3" t="s">
        <v>5415</v>
      </c>
      <c r="D1983" s="3" t="s">
        <v>5420</v>
      </c>
      <c r="E1983" s="3" t="s">
        <v>5417</v>
      </c>
      <c r="F1983" s="3" t="s">
        <v>16</v>
      </c>
      <c r="G1983" s="3"/>
      <c r="H1983" s="3" t="s">
        <v>18</v>
      </c>
      <c r="I1983" s="3"/>
      <c r="J1983" s="3" t="s">
        <v>19</v>
      </c>
      <c r="K1983" s="3" t="s">
        <v>20</v>
      </c>
      <c r="L1983" s="5" t="s">
        <v>5423</v>
      </c>
    </row>
    <row r="1984" customFormat="false" ht="11.9" hidden="false" customHeight="true" outlineLevel="0" collapsed="false">
      <c r="A1984" s="2" t="str">
        <f aca="false">HYPERLINK("https://www.fabsurplus.com/sdi_catalog/salesItemDetails.do?id=84394")</f>
        <v>https://www.fabsurplus.com/sdi_catalog/salesItemDetails.do?id=84394</v>
      </c>
      <c r="B1984" s="2" t="s">
        <v>5424</v>
      </c>
      <c r="C1984" s="2" t="s">
        <v>5415</v>
      </c>
      <c r="D1984" s="2" t="s">
        <v>5420</v>
      </c>
      <c r="E1984" s="2" t="s">
        <v>5417</v>
      </c>
      <c r="F1984" s="2" t="s">
        <v>69</v>
      </c>
      <c r="G1984" s="2"/>
      <c r="H1984" s="2" t="s">
        <v>18</v>
      </c>
      <c r="I1984" s="2"/>
      <c r="J1984" s="2" t="s">
        <v>19</v>
      </c>
      <c r="K1984" s="2" t="s">
        <v>20</v>
      </c>
      <c r="L1984" s="6" t="s">
        <v>5425</v>
      </c>
    </row>
    <row r="1985" customFormat="false" ht="11.9" hidden="false" customHeight="true" outlineLevel="0" collapsed="false">
      <c r="A1985" s="2" t="str">
        <f aca="false">HYPERLINK("https://www.fabsurplus.com/sdi_catalog/salesItemDetails.do?id=84076")</f>
        <v>https://www.fabsurplus.com/sdi_catalog/salesItemDetails.do?id=84076</v>
      </c>
      <c r="B1985" s="2" t="s">
        <v>5426</v>
      </c>
      <c r="C1985" s="2" t="s">
        <v>5427</v>
      </c>
      <c r="D1985" s="2" t="s">
        <v>5428</v>
      </c>
      <c r="E1985" s="2" t="s">
        <v>5429</v>
      </c>
      <c r="F1985" s="2" t="s">
        <v>16</v>
      </c>
      <c r="G1985" s="2"/>
      <c r="H1985" s="2" t="s">
        <v>944</v>
      </c>
      <c r="I1985" s="7" t="n">
        <v>35338.9166666667</v>
      </c>
      <c r="J1985" s="2" t="s">
        <v>19</v>
      </c>
      <c r="K1985" s="2" t="s">
        <v>20</v>
      </c>
      <c r="L1985" s="6" t="s">
        <v>5430</v>
      </c>
    </row>
    <row r="1986" customFormat="false" ht="11.9" hidden="false" customHeight="true" outlineLevel="0" collapsed="false">
      <c r="A1986" s="2" t="str">
        <f aca="false">HYPERLINK("https://www.fabsurplus.com/sdi_catalog/salesItemDetails.do?id=106142")</f>
        <v>https://www.fabsurplus.com/sdi_catalog/salesItemDetails.do?id=106142</v>
      </c>
      <c r="B1986" s="2" t="s">
        <v>5431</v>
      </c>
      <c r="C1986" s="2" t="s">
        <v>5427</v>
      </c>
      <c r="D1986" s="2" t="s">
        <v>5432</v>
      </c>
      <c r="E1986" s="2" t="s">
        <v>5433</v>
      </c>
      <c r="F1986" s="2" t="s">
        <v>77</v>
      </c>
      <c r="G1986" s="2" t="s">
        <v>26</v>
      </c>
      <c r="H1986" s="2" t="s">
        <v>27</v>
      </c>
      <c r="I1986" s="2"/>
      <c r="J1986" s="2" t="s">
        <v>19</v>
      </c>
      <c r="K1986" s="2" t="s">
        <v>20</v>
      </c>
      <c r="L1986" s="6" t="s">
        <v>5434</v>
      </c>
    </row>
    <row r="1987" customFormat="false" ht="11.9" hidden="false" customHeight="true" outlineLevel="0" collapsed="false">
      <c r="A1987" s="2" t="str">
        <f aca="false">HYPERLINK("https://www.fabsurplus.com/sdi_catalog/salesItemDetails.do?id=31645")</f>
        <v>https://www.fabsurplus.com/sdi_catalog/salesItemDetails.do?id=31645</v>
      </c>
      <c r="B1987" s="2" t="s">
        <v>5435</v>
      </c>
      <c r="C1987" s="2" t="s">
        <v>5427</v>
      </c>
      <c r="D1987" s="2" t="s">
        <v>5436</v>
      </c>
      <c r="E1987" s="2" t="s">
        <v>5437</v>
      </c>
      <c r="F1987" s="2" t="s">
        <v>101</v>
      </c>
      <c r="G1987" s="2" t="s">
        <v>26</v>
      </c>
      <c r="H1987" s="2" t="s">
        <v>27</v>
      </c>
      <c r="I1987" s="7" t="n">
        <v>33390</v>
      </c>
      <c r="J1987" s="2" t="s">
        <v>19</v>
      </c>
      <c r="K1987" s="2" t="s">
        <v>20</v>
      </c>
      <c r="L1987" s="6" t="s">
        <v>5438</v>
      </c>
    </row>
    <row r="1988" customFormat="false" ht="11.9" hidden="false" customHeight="true" outlineLevel="0" collapsed="false">
      <c r="A1988" s="3" t="str">
        <f aca="false">HYPERLINK("https://www.fabsurplus.com/sdi_catalog/salesItemDetails.do?id=27809")</f>
        <v>https://www.fabsurplus.com/sdi_catalog/salesItemDetails.do?id=27809</v>
      </c>
      <c r="B1988" s="3" t="s">
        <v>5439</v>
      </c>
      <c r="C1988" s="3" t="s">
        <v>5427</v>
      </c>
      <c r="D1988" s="3" t="s">
        <v>5440</v>
      </c>
      <c r="E1988" s="3" t="s">
        <v>5441</v>
      </c>
      <c r="F1988" s="3" t="s">
        <v>16</v>
      </c>
      <c r="G1988" s="3" t="s">
        <v>41</v>
      </c>
      <c r="H1988" s="3" t="s">
        <v>35</v>
      </c>
      <c r="I1988" s="4" t="n">
        <v>33725</v>
      </c>
      <c r="J1988" s="3" t="s">
        <v>19</v>
      </c>
      <c r="K1988" s="3" t="s">
        <v>20</v>
      </c>
      <c r="L1988" s="5" t="s">
        <v>5442</v>
      </c>
    </row>
    <row r="1989" customFormat="false" ht="11.9" hidden="false" customHeight="true" outlineLevel="0" collapsed="false">
      <c r="A1989" s="3" t="str">
        <f aca="false">HYPERLINK("https://www.fabsurplus.com/sdi_catalog/salesItemDetails.do?id=87086")</f>
        <v>https://www.fabsurplus.com/sdi_catalog/salesItemDetails.do?id=87086</v>
      </c>
      <c r="B1989" s="3" t="s">
        <v>5443</v>
      </c>
      <c r="C1989" s="3" t="s">
        <v>5427</v>
      </c>
      <c r="D1989" s="3" t="s">
        <v>5444</v>
      </c>
      <c r="E1989" s="3" t="s">
        <v>5445</v>
      </c>
      <c r="F1989" s="3" t="s">
        <v>16</v>
      </c>
      <c r="G1989" s="3" t="s">
        <v>3114</v>
      </c>
      <c r="H1989" s="3" t="s">
        <v>27</v>
      </c>
      <c r="I1989" s="3"/>
      <c r="J1989" s="3" t="s">
        <v>19</v>
      </c>
      <c r="K1989" s="3" t="s">
        <v>20</v>
      </c>
      <c r="L1989" s="5" t="s">
        <v>5446</v>
      </c>
    </row>
    <row r="1990" customFormat="false" ht="11.9" hidden="false" customHeight="true" outlineLevel="0" collapsed="false">
      <c r="A1990" s="3" t="str">
        <f aca="false">HYPERLINK("https://www.fabsurplus.com/sdi_catalog/salesItemDetails.do?id=106106")</f>
        <v>https://www.fabsurplus.com/sdi_catalog/salesItemDetails.do?id=106106</v>
      </c>
      <c r="B1990" s="3" t="s">
        <v>5447</v>
      </c>
      <c r="C1990" s="3" t="s">
        <v>5427</v>
      </c>
      <c r="D1990" s="3" t="s">
        <v>5448</v>
      </c>
      <c r="E1990" s="3" t="s">
        <v>5449</v>
      </c>
      <c r="F1990" s="3" t="s">
        <v>16</v>
      </c>
      <c r="G1990" s="3" t="s">
        <v>26</v>
      </c>
      <c r="H1990" s="3" t="s">
        <v>27</v>
      </c>
      <c r="I1990" s="3"/>
      <c r="J1990" s="3" t="s">
        <v>19</v>
      </c>
      <c r="K1990" s="3" t="s">
        <v>20</v>
      </c>
      <c r="L1990" s="3" t="s">
        <v>5450</v>
      </c>
    </row>
    <row r="1991" customFormat="false" ht="11.9" hidden="false" customHeight="true" outlineLevel="0" collapsed="false">
      <c r="A1991" s="3" t="str">
        <f aca="false">HYPERLINK("https://www.fabsurplus.com/sdi_catalog/salesItemDetails.do?id=106081")</f>
        <v>https://www.fabsurplus.com/sdi_catalog/salesItemDetails.do?id=106081</v>
      </c>
      <c r="B1991" s="3" t="s">
        <v>5451</v>
      </c>
      <c r="C1991" s="3" t="s">
        <v>5427</v>
      </c>
      <c r="D1991" s="3" t="s">
        <v>5452</v>
      </c>
      <c r="E1991" s="3" t="s">
        <v>5453</v>
      </c>
      <c r="F1991" s="3" t="s">
        <v>16</v>
      </c>
      <c r="G1991" s="3" t="s">
        <v>26</v>
      </c>
      <c r="H1991" s="3" t="s">
        <v>27</v>
      </c>
      <c r="I1991" s="3"/>
      <c r="J1991" s="3" t="s">
        <v>19</v>
      </c>
      <c r="K1991" s="3" t="s">
        <v>20</v>
      </c>
      <c r="L1991" s="5" t="s">
        <v>5454</v>
      </c>
    </row>
    <row r="1992" customFormat="false" ht="11.9" hidden="false" customHeight="true" outlineLevel="0" collapsed="false">
      <c r="A1992" s="2" t="str">
        <f aca="false">HYPERLINK("https://www.fabsurplus.com/sdi_catalog/salesItemDetails.do?id=106109")</f>
        <v>https://www.fabsurplus.com/sdi_catalog/salesItemDetails.do?id=106109</v>
      </c>
      <c r="B1992" s="2" t="s">
        <v>5455</v>
      </c>
      <c r="C1992" s="2" t="s">
        <v>5427</v>
      </c>
      <c r="D1992" s="2" t="s">
        <v>5456</v>
      </c>
      <c r="E1992" s="2" t="s">
        <v>5457</v>
      </c>
      <c r="F1992" s="2" t="s">
        <v>16</v>
      </c>
      <c r="G1992" s="2" t="s">
        <v>26</v>
      </c>
      <c r="H1992" s="2" t="s">
        <v>27</v>
      </c>
      <c r="I1992" s="2"/>
      <c r="J1992" s="2" t="s">
        <v>19</v>
      </c>
      <c r="K1992" s="2" t="s">
        <v>20</v>
      </c>
      <c r="L1992" s="2" t="s">
        <v>5450</v>
      </c>
    </row>
    <row r="1993" customFormat="false" ht="11.9" hidden="false" customHeight="true" outlineLevel="0" collapsed="false">
      <c r="A1993" s="2" t="str">
        <f aca="false">HYPERLINK("https://www.fabsurplus.com/sdi_catalog/salesItemDetails.do?id=106080")</f>
        <v>https://www.fabsurplus.com/sdi_catalog/salesItemDetails.do?id=106080</v>
      </c>
      <c r="B1993" s="2" t="s">
        <v>5458</v>
      </c>
      <c r="C1993" s="2" t="s">
        <v>5427</v>
      </c>
      <c r="D1993" s="2" t="s">
        <v>5459</v>
      </c>
      <c r="E1993" s="2" t="s">
        <v>5460</v>
      </c>
      <c r="F1993" s="2" t="s">
        <v>16</v>
      </c>
      <c r="G1993" s="2" t="s">
        <v>26</v>
      </c>
      <c r="H1993" s="2" t="s">
        <v>27</v>
      </c>
      <c r="I1993" s="2"/>
      <c r="J1993" s="2" t="s">
        <v>19</v>
      </c>
      <c r="K1993" s="2" t="s">
        <v>20</v>
      </c>
      <c r="L1993" s="6" t="s">
        <v>5454</v>
      </c>
    </row>
    <row r="1994" customFormat="false" ht="11.9" hidden="false" customHeight="true" outlineLevel="0" collapsed="false">
      <c r="A1994" s="3" t="str">
        <f aca="false">HYPERLINK("https://www.fabsurplus.com/sdi_catalog/salesItemDetails.do?id=106108")</f>
        <v>https://www.fabsurplus.com/sdi_catalog/salesItemDetails.do?id=106108</v>
      </c>
      <c r="B1994" s="3" t="s">
        <v>5461</v>
      </c>
      <c r="C1994" s="3" t="s">
        <v>5427</v>
      </c>
      <c r="D1994" s="3" t="s">
        <v>5462</v>
      </c>
      <c r="E1994" s="3" t="s">
        <v>5463</v>
      </c>
      <c r="F1994" s="3" t="s">
        <v>16</v>
      </c>
      <c r="G1994" s="3" t="s">
        <v>26</v>
      </c>
      <c r="H1994" s="3" t="s">
        <v>27</v>
      </c>
      <c r="I1994" s="3"/>
      <c r="J1994" s="3" t="s">
        <v>19</v>
      </c>
      <c r="K1994" s="3" t="s">
        <v>20</v>
      </c>
      <c r="L1994" s="3" t="s">
        <v>5450</v>
      </c>
    </row>
    <row r="1995" customFormat="false" ht="11.9" hidden="false" customHeight="true" outlineLevel="0" collapsed="false">
      <c r="A1995" s="2" t="str">
        <f aca="false">HYPERLINK("https://www.fabsurplus.com/sdi_catalog/salesItemDetails.do?id=106133")</f>
        <v>https://www.fabsurplus.com/sdi_catalog/salesItemDetails.do?id=106133</v>
      </c>
      <c r="B1995" s="2" t="s">
        <v>5464</v>
      </c>
      <c r="C1995" s="2" t="s">
        <v>5427</v>
      </c>
      <c r="D1995" s="2" t="s">
        <v>5465</v>
      </c>
      <c r="E1995" s="2" t="s">
        <v>5466</v>
      </c>
      <c r="F1995" s="2" t="s">
        <v>16</v>
      </c>
      <c r="G1995" s="2" t="s">
        <v>26</v>
      </c>
      <c r="H1995" s="2" t="s">
        <v>27</v>
      </c>
      <c r="I1995" s="2"/>
      <c r="J1995" s="2" t="s">
        <v>19</v>
      </c>
      <c r="K1995" s="2" t="s">
        <v>20</v>
      </c>
      <c r="L1995" s="2" t="s">
        <v>5450</v>
      </c>
    </row>
    <row r="1996" customFormat="false" ht="11.9" hidden="false" customHeight="true" outlineLevel="0" collapsed="false">
      <c r="A1996" s="3" t="str">
        <f aca="false">HYPERLINK("https://www.fabsurplus.com/sdi_catalog/salesItemDetails.do?id=106124")</f>
        <v>https://www.fabsurplus.com/sdi_catalog/salesItemDetails.do?id=106124</v>
      </c>
      <c r="B1996" s="3" t="s">
        <v>5467</v>
      </c>
      <c r="C1996" s="3" t="s">
        <v>5427</v>
      </c>
      <c r="D1996" s="3" t="s">
        <v>5468</v>
      </c>
      <c r="E1996" s="3" t="s">
        <v>5469</v>
      </c>
      <c r="F1996" s="3" t="s">
        <v>16</v>
      </c>
      <c r="G1996" s="3" t="s">
        <v>26</v>
      </c>
      <c r="H1996" s="3" t="s">
        <v>27</v>
      </c>
      <c r="I1996" s="4" t="n">
        <v>33482</v>
      </c>
      <c r="J1996" s="3" t="s">
        <v>19</v>
      </c>
      <c r="K1996" s="3" t="s">
        <v>20</v>
      </c>
      <c r="L1996" s="5" t="s">
        <v>5470</v>
      </c>
    </row>
    <row r="1997" customFormat="false" ht="11.9" hidden="false" customHeight="true" outlineLevel="0" collapsed="false">
      <c r="A1997" s="3" t="str">
        <f aca="false">HYPERLINK("https://www.fabsurplus.com/sdi_catalog/salesItemDetails.do?id=106126")</f>
        <v>https://www.fabsurplus.com/sdi_catalog/salesItemDetails.do?id=106126</v>
      </c>
      <c r="B1997" s="3" t="s">
        <v>5471</v>
      </c>
      <c r="C1997" s="3" t="s">
        <v>5427</v>
      </c>
      <c r="D1997" s="3" t="s">
        <v>5472</v>
      </c>
      <c r="E1997" s="3" t="s">
        <v>5473</v>
      </c>
      <c r="F1997" s="3" t="s">
        <v>16</v>
      </c>
      <c r="G1997" s="3" t="s">
        <v>26</v>
      </c>
      <c r="H1997" s="3" t="s">
        <v>27</v>
      </c>
      <c r="I1997" s="3"/>
      <c r="J1997" s="3" t="s">
        <v>19</v>
      </c>
      <c r="K1997" s="3" t="s">
        <v>20</v>
      </c>
      <c r="L1997" s="3" t="s">
        <v>5450</v>
      </c>
    </row>
    <row r="1998" customFormat="false" ht="11.9" hidden="false" customHeight="true" outlineLevel="0" collapsed="false">
      <c r="A1998" s="3" t="str">
        <f aca="false">HYPERLINK("https://www.fabsurplus.com/sdi_catalog/salesItemDetails.do?id=106128")</f>
        <v>https://www.fabsurplus.com/sdi_catalog/salesItemDetails.do?id=106128</v>
      </c>
      <c r="B1998" s="3" t="s">
        <v>5474</v>
      </c>
      <c r="C1998" s="3" t="s">
        <v>5427</v>
      </c>
      <c r="D1998" s="3" t="s">
        <v>5472</v>
      </c>
      <c r="E1998" s="3" t="s">
        <v>5473</v>
      </c>
      <c r="F1998" s="3" t="s">
        <v>16</v>
      </c>
      <c r="G1998" s="3" t="s">
        <v>26</v>
      </c>
      <c r="H1998" s="3" t="s">
        <v>27</v>
      </c>
      <c r="I1998" s="3"/>
      <c r="J1998" s="3" t="s">
        <v>19</v>
      </c>
      <c r="K1998" s="3" t="s">
        <v>20</v>
      </c>
      <c r="L1998" s="3" t="s">
        <v>5450</v>
      </c>
    </row>
    <row r="1999" customFormat="false" ht="11.9" hidden="false" customHeight="true" outlineLevel="0" collapsed="false">
      <c r="A1999" s="3" t="str">
        <f aca="false">HYPERLINK("https://www.fabsurplus.com/sdi_catalog/salesItemDetails.do?id=106083")</f>
        <v>https://www.fabsurplus.com/sdi_catalog/salesItemDetails.do?id=106083</v>
      </c>
      <c r="B1999" s="3" t="s">
        <v>5475</v>
      </c>
      <c r="C1999" s="3" t="s">
        <v>5427</v>
      </c>
      <c r="D1999" s="3" t="s">
        <v>5476</v>
      </c>
      <c r="E1999" s="3" t="s">
        <v>5477</v>
      </c>
      <c r="F1999" s="3" t="s">
        <v>16</v>
      </c>
      <c r="G1999" s="3" t="s">
        <v>26</v>
      </c>
      <c r="H1999" s="3" t="s">
        <v>27</v>
      </c>
      <c r="I1999" s="3"/>
      <c r="J1999" s="3" t="s">
        <v>19</v>
      </c>
      <c r="K1999" s="3" t="s">
        <v>20</v>
      </c>
      <c r="L1999" s="5" t="s">
        <v>5454</v>
      </c>
    </row>
    <row r="2000" customFormat="false" ht="11.9" hidden="false" customHeight="true" outlineLevel="0" collapsed="false">
      <c r="A2000" s="2" t="str">
        <f aca="false">HYPERLINK("https://www.fabsurplus.com/sdi_catalog/salesItemDetails.do?id=106113")</f>
        <v>https://www.fabsurplus.com/sdi_catalog/salesItemDetails.do?id=106113</v>
      </c>
      <c r="B2000" s="2" t="s">
        <v>5478</v>
      </c>
      <c r="C2000" s="2" t="s">
        <v>5427</v>
      </c>
      <c r="D2000" s="2" t="s">
        <v>5479</v>
      </c>
      <c r="E2000" s="2" t="s">
        <v>5480</v>
      </c>
      <c r="F2000" s="2" t="s">
        <v>16</v>
      </c>
      <c r="G2000" s="2" t="s">
        <v>26</v>
      </c>
      <c r="H2000" s="2" t="s">
        <v>27</v>
      </c>
      <c r="I2000" s="2"/>
      <c r="J2000" s="2" t="s">
        <v>19</v>
      </c>
      <c r="K2000" s="2" t="s">
        <v>20</v>
      </c>
      <c r="L2000" s="2" t="s">
        <v>5450</v>
      </c>
    </row>
    <row r="2001" customFormat="false" ht="11.9" hidden="false" customHeight="true" outlineLevel="0" collapsed="false">
      <c r="A2001" s="3" t="str">
        <f aca="false">HYPERLINK("https://www.fabsurplus.com/sdi_catalog/salesItemDetails.do?id=106114")</f>
        <v>https://www.fabsurplus.com/sdi_catalog/salesItemDetails.do?id=106114</v>
      </c>
      <c r="B2001" s="3" t="s">
        <v>5481</v>
      </c>
      <c r="C2001" s="3" t="s">
        <v>5427</v>
      </c>
      <c r="D2001" s="3" t="s">
        <v>5479</v>
      </c>
      <c r="E2001" s="3" t="s">
        <v>5480</v>
      </c>
      <c r="F2001" s="3" t="s">
        <v>16</v>
      </c>
      <c r="G2001" s="3" t="s">
        <v>26</v>
      </c>
      <c r="H2001" s="3" t="s">
        <v>27</v>
      </c>
      <c r="I2001" s="3"/>
      <c r="J2001" s="3" t="s">
        <v>19</v>
      </c>
      <c r="K2001" s="3" t="s">
        <v>20</v>
      </c>
      <c r="L2001" s="3" t="s">
        <v>5450</v>
      </c>
    </row>
    <row r="2002" customFormat="false" ht="11.9" hidden="false" customHeight="true" outlineLevel="0" collapsed="false">
      <c r="A2002" s="2" t="str">
        <f aca="false">HYPERLINK("https://www.fabsurplus.com/sdi_catalog/salesItemDetails.do?id=106115")</f>
        <v>https://www.fabsurplus.com/sdi_catalog/salesItemDetails.do?id=106115</v>
      </c>
      <c r="B2002" s="2" t="s">
        <v>5482</v>
      </c>
      <c r="C2002" s="2" t="s">
        <v>5427</v>
      </c>
      <c r="D2002" s="2" t="s">
        <v>5479</v>
      </c>
      <c r="E2002" s="2" t="s">
        <v>5480</v>
      </c>
      <c r="F2002" s="2" t="s">
        <v>16</v>
      </c>
      <c r="G2002" s="2" t="s">
        <v>26</v>
      </c>
      <c r="H2002" s="2" t="s">
        <v>27</v>
      </c>
      <c r="I2002" s="2"/>
      <c r="J2002" s="2" t="s">
        <v>19</v>
      </c>
      <c r="K2002" s="2" t="s">
        <v>20</v>
      </c>
      <c r="L2002" s="2" t="s">
        <v>5450</v>
      </c>
    </row>
    <row r="2003" customFormat="false" ht="11.9" hidden="false" customHeight="true" outlineLevel="0" collapsed="false">
      <c r="A2003" s="2" t="str">
        <f aca="false">HYPERLINK("https://www.fabsurplus.com/sdi_catalog/salesItemDetails.do?id=106131")</f>
        <v>https://www.fabsurplus.com/sdi_catalog/salesItemDetails.do?id=106131</v>
      </c>
      <c r="B2003" s="2" t="s">
        <v>5483</v>
      </c>
      <c r="C2003" s="2" t="s">
        <v>5427</v>
      </c>
      <c r="D2003" s="2" t="s">
        <v>5484</v>
      </c>
      <c r="E2003" s="2" t="s">
        <v>5485</v>
      </c>
      <c r="F2003" s="2" t="s">
        <v>16</v>
      </c>
      <c r="G2003" s="2" t="s">
        <v>26</v>
      </c>
      <c r="H2003" s="2" t="s">
        <v>27</v>
      </c>
      <c r="I2003" s="2"/>
      <c r="J2003" s="2" t="s">
        <v>19</v>
      </c>
      <c r="K2003" s="2" t="s">
        <v>20</v>
      </c>
      <c r="L2003" s="2" t="s">
        <v>5450</v>
      </c>
    </row>
    <row r="2004" customFormat="false" ht="11.9" hidden="false" customHeight="true" outlineLevel="0" collapsed="false">
      <c r="A2004" s="2" t="str">
        <f aca="false">HYPERLINK("https://www.fabsurplus.com/sdi_catalog/salesItemDetails.do?id=106107")</f>
        <v>https://www.fabsurplus.com/sdi_catalog/salesItemDetails.do?id=106107</v>
      </c>
      <c r="B2004" s="2" t="s">
        <v>5486</v>
      </c>
      <c r="C2004" s="2" t="s">
        <v>5427</v>
      </c>
      <c r="D2004" s="2" t="s">
        <v>5487</v>
      </c>
      <c r="E2004" s="2" t="s">
        <v>5488</v>
      </c>
      <c r="F2004" s="2" t="s">
        <v>16</v>
      </c>
      <c r="G2004" s="2" t="s">
        <v>26</v>
      </c>
      <c r="H2004" s="2" t="s">
        <v>27</v>
      </c>
      <c r="I2004" s="2"/>
      <c r="J2004" s="2" t="s">
        <v>19</v>
      </c>
      <c r="K2004" s="2" t="s">
        <v>20</v>
      </c>
      <c r="L2004" s="2" t="s">
        <v>5450</v>
      </c>
    </row>
    <row r="2005" customFormat="false" ht="11.9" hidden="false" customHeight="true" outlineLevel="0" collapsed="false">
      <c r="A2005" s="3" t="str">
        <f aca="false">HYPERLINK("https://www.fabsurplus.com/sdi_catalog/salesItemDetails.do?id=106112")</f>
        <v>https://www.fabsurplus.com/sdi_catalog/salesItemDetails.do?id=106112</v>
      </c>
      <c r="B2005" s="3" t="s">
        <v>5489</v>
      </c>
      <c r="C2005" s="3" t="s">
        <v>5427</v>
      </c>
      <c r="D2005" s="3" t="s">
        <v>5490</v>
      </c>
      <c r="E2005" s="3" t="s">
        <v>5491</v>
      </c>
      <c r="F2005" s="3" t="s">
        <v>16</v>
      </c>
      <c r="G2005" s="3" t="s">
        <v>26</v>
      </c>
      <c r="H2005" s="3" t="s">
        <v>27</v>
      </c>
      <c r="I2005" s="3"/>
      <c r="J2005" s="3" t="s">
        <v>19</v>
      </c>
      <c r="K2005" s="3" t="s">
        <v>20</v>
      </c>
      <c r="L2005" s="3" t="s">
        <v>5450</v>
      </c>
    </row>
    <row r="2006" customFormat="false" ht="11.9" hidden="false" customHeight="true" outlineLevel="0" collapsed="false">
      <c r="A2006" s="2" t="str">
        <f aca="false">HYPERLINK("https://www.fabsurplus.com/sdi_catalog/salesItemDetails.do?id=106119")</f>
        <v>https://www.fabsurplus.com/sdi_catalog/salesItemDetails.do?id=106119</v>
      </c>
      <c r="B2006" s="2" t="s">
        <v>5492</v>
      </c>
      <c r="C2006" s="2" t="s">
        <v>5427</v>
      </c>
      <c r="D2006" s="2" t="s">
        <v>5490</v>
      </c>
      <c r="E2006" s="2" t="s">
        <v>5491</v>
      </c>
      <c r="F2006" s="2" t="s">
        <v>16</v>
      </c>
      <c r="G2006" s="2" t="s">
        <v>26</v>
      </c>
      <c r="H2006" s="2" t="s">
        <v>27</v>
      </c>
      <c r="I2006" s="2"/>
      <c r="J2006" s="2" t="s">
        <v>19</v>
      </c>
      <c r="K2006" s="2" t="s">
        <v>20</v>
      </c>
      <c r="L2006" s="2" t="s">
        <v>5450</v>
      </c>
    </row>
    <row r="2007" customFormat="false" ht="11.9" hidden="false" customHeight="true" outlineLevel="0" collapsed="false">
      <c r="A2007" s="2" t="str">
        <f aca="false">HYPERLINK("https://www.fabsurplus.com/sdi_catalog/salesItemDetails.do?id=106117")</f>
        <v>https://www.fabsurplus.com/sdi_catalog/salesItemDetails.do?id=106117</v>
      </c>
      <c r="B2007" s="2" t="s">
        <v>5493</v>
      </c>
      <c r="C2007" s="2" t="s">
        <v>5427</v>
      </c>
      <c r="D2007" s="2" t="s">
        <v>5490</v>
      </c>
      <c r="E2007" s="2" t="s">
        <v>5494</v>
      </c>
      <c r="F2007" s="2" t="s">
        <v>16</v>
      </c>
      <c r="G2007" s="2" t="s">
        <v>26</v>
      </c>
      <c r="H2007" s="2" t="s">
        <v>27</v>
      </c>
      <c r="I2007" s="2"/>
      <c r="J2007" s="2" t="s">
        <v>19</v>
      </c>
      <c r="K2007" s="2" t="s">
        <v>20</v>
      </c>
      <c r="L2007" s="2" t="s">
        <v>5450</v>
      </c>
    </row>
    <row r="2008" customFormat="false" ht="11.9" hidden="false" customHeight="true" outlineLevel="0" collapsed="false">
      <c r="A2008" s="3" t="str">
        <f aca="false">HYPERLINK("https://www.fabsurplus.com/sdi_catalog/salesItemDetails.do?id=106110")</f>
        <v>https://www.fabsurplus.com/sdi_catalog/salesItemDetails.do?id=106110</v>
      </c>
      <c r="B2008" s="3" t="s">
        <v>5495</v>
      </c>
      <c r="C2008" s="3" t="s">
        <v>5427</v>
      </c>
      <c r="D2008" s="3" t="s">
        <v>5490</v>
      </c>
      <c r="E2008" s="3" t="s">
        <v>5496</v>
      </c>
      <c r="F2008" s="3" t="s">
        <v>16</v>
      </c>
      <c r="G2008" s="3" t="s">
        <v>26</v>
      </c>
      <c r="H2008" s="3" t="s">
        <v>27</v>
      </c>
      <c r="I2008" s="4" t="n">
        <v>33390</v>
      </c>
      <c r="J2008" s="3" t="s">
        <v>19</v>
      </c>
      <c r="K2008" s="3" t="s">
        <v>20</v>
      </c>
      <c r="L2008" s="5" t="s">
        <v>5497</v>
      </c>
    </row>
    <row r="2009" customFormat="false" ht="11.9" hidden="false" customHeight="true" outlineLevel="0" collapsed="false">
      <c r="A2009" s="3" t="str">
        <f aca="false">HYPERLINK("https://www.fabsurplus.com/sdi_catalog/salesItemDetails.do?id=106118")</f>
        <v>https://www.fabsurplus.com/sdi_catalog/salesItemDetails.do?id=106118</v>
      </c>
      <c r="B2009" s="3" t="s">
        <v>5498</v>
      </c>
      <c r="C2009" s="3" t="s">
        <v>5427</v>
      </c>
      <c r="D2009" s="3" t="s">
        <v>5499</v>
      </c>
      <c r="E2009" s="3" t="s">
        <v>5500</v>
      </c>
      <c r="F2009" s="3" t="s">
        <v>16</v>
      </c>
      <c r="G2009" s="3" t="s">
        <v>26</v>
      </c>
      <c r="H2009" s="3" t="s">
        <v>27</v>
      </c>
      <c r="I2009" s="3"/>
      <c r="J2009" s="3" t="s">
        <v>19</v>
      </c>
      <c r="K2009" s="3" t="s">
        <v>20</v>
      </c>
      <c r="L2009" s="3" t="s">
        <v>5450</v>
      </c>
    </row>
    <row r="2010" customFormat="false" ht="11.9" hidden="false" customHeight="true" outlineLevel="0" collapsed="false">
      <c r="A2010" s="2" t="str">
        <f aca="false">HYPERLINK("https://www.fabsurplus.com/sdi_catalog/salesItemDetails.do?id=106111")</f>
        <v>https://www.fabsurplus.com/sdi_catalog/salesItemDetails.do?id=106111</v>
      </c>
      <c r="B2010" s="2" t="s">
        <v>5501</v>
      </c>
      <c r="C2010" s="2" t="s">
        <v>5427</v>
      </c>
      <c r="D2010" s="2" t="s">
        <v>5502</v>
      </c>
      <c r="E2010" s="2" t="s">
        <v>5503</v>
      </c>
      <c r="F2010" s="2" t="s">
        <v>16</v>
      </c>
      <c r="G2010" s="2" t="s">
        <v>26</v>
      </c>
      <c r="H2010" s="2" t="s">
        <v>27</v>
      </c>
      <c r="I2010" s="2"/>
      <c r="J2010" s="2" t="s">
        <v>19</v>
      </c>
      <c r="K2010" s="2" t="s">
        <v>20</v>
      </c>
      <c r="L2010" s="2" t="s">
        <v>5450</v>
      </c>
    </row>
    <row r="2011" customFormat="false" ht="11.9" hidden="false" customHeight="true" outlineLevel="0" collapsed="false">
      <c r="A2011" s="3" t="str">
        <f aca="false">HYPERLINK("https://www.fabsurplus.com/sdi_catalog/salesItemDetails.do?id=106130")</f>
        <v>https://www.fabsurplus.com/sdi_catalog/salesItemDetails.do?id=106130</v>
      </c>
      <c r="B2011" s="3" t="s">
        <v>5504</v>
      </c>
      <c r="C2011" s="3" t="s">
        <v>5427</v>
      </c>
      <c r="D2011" s="3" t="s">
        <v>5505</v>
      </c>
      <c r="E2011" s="3" t="s">
        <v>5506</v>
      </c>
      <c r="F2011" s="3" t="s">
        <v>16</v>
      </c>
      <c r="G2011" s="3" t="s">
        <v>26</v>
      </c>
      <c r="H2011" s="3" t="s">
        <v>27</v>
      </c>
      <c r="I2011" s="3"/>
      <c r="J2011" s="3" t="s">
        <v>19</v>
      </c>
      <c r="K2011" s="3" t="s">
        <v>20</v>
      </c>
      <c r="L2011" s="3" t="s">
        <v>5450</v>
      </c>
    </row>
    <row r="2012" customFormat="false" ht="11.9" hidden="false" customHeight="true" outlineLevel="0" collapsed="false">
      <c r="A2012" s="2" t="str">
        <f aca="false">HYPERLINK("https://www.fabsurplus.com/sdi_catalog/salesItemDetails.do?id=106082")</f>
        <v>https://www.fabsurplus.com/sdi_catalog/salesItemDetails.do?id=106082</v>
      </c>
      <c r="B2012" s="2" t="s">
        <v>5507</v>
      </c>
      <c r="C2012" s="2" t="s">
        <v>5427</v>
      </c>
      <c r="D2012" s="2" t="s">
        <v>5508</v>
      </c>
      <c r="E2012" s="2" t="s">
        <v>5509</v>
      </c>
      <c r="F2012" s="2" t="s">
        <v>16</v>
      </c>
      <c r="G2012" s="2" t="s">
        <v>26</v>
      </c>
      <c r="H2012" s="2" t="s">
        <v>27</v>
      </c>
      <c r="I2012" s="2"/>
      <c r="J2012" s="2" t="s">
        <v>19</v>
      </c>
      <c r="K2012" s="2" t="s">
        <v>20</v>
      </c>
      <c r="L2012" s="6" t="s">
        <v>5454</v>
      </c>
    </row>
    <row r="2013" customFormat="false" ht="11.9" hidden="false" customHeight="true" outlineLevel="0" collapsed="false">
      <c r="A2013" s="2" t="str">
        <f aca="false">HYPERLINK("https://www.fabsurplus.com/sdi_catalog/salesItemDetails.do?id=106127")</f>
        <v>https://www.fabsurplus.com/sdi_catalog/salesItemDetails.do?id=106127</v>
      </c>
      <c r="B2013" s="2" t="s">
        <v>5510</v>
      </c>
      <c r="C2013" s="2" t="s">
        <v>5427</v>
      </c>
      <c r="D2013" s="2" t="s">
        <v>5511</v>
      </c>
      <c r="E2013" s="2" t="s">
        <v>5512</v>
      </c>
      <c r="F2013" s="2" t="s">
        <v>16</v>
      </c>
      <c r="G2013" s="2" t="s">
        <v>26</v>
      </c>
      <c r="H2013" s="2" t="s">
        <v>27</v>
      </c>
      <c r="I2013" s="2"/>
      <c r="J2013" s="2" t="s">
        <v>19</v>
      </c>
      <c r="K2013" s="2" t="s">
        <v>20</v>
      </c>
      <c r="L2013" s="2" t="s">
        <v>5450</v>
      </c>
    </row>
    <row r="2014" customFormat="false" ht="11.9" hidden="false" customHeight="true" outlineLevel="0" collapsed="false">
      <c r="A2014" s="2" t="str">
        <f aca="false">HYPERLINK("https://www.fabsurplus.com/sdi_catalog/salesItemDetails.do?id=106121")</f>
        <v>https://www.fabsurplus.com/sdi_catalog/salesItemDetails.do?id=106121</v>
      </c>
      <c r="B2014" s="2" t="s">
        <v>5513</v>
      </c>
      <c r="C2014" s="2" t="s">
        <v>5427</v>
      </c>
      <c r="D2014" s="2" t="s">
        <v>5514</v>
      </c>
      <c r="E2014" s="2" t="s">
        <v>5515</v>
      </c>
      <c r="F2014" s="2" t="s">
        <v>16</v>
      </c>
      <c r="G2014" s="2" t="s">
        <v>26</v>
      </c>
      <c r="H2014" s="2" t="s">
        <v>27</v>
      </c>
      <c r="I2014" s="2"/>
      <c r="J2014" s="2" t="s">
        <v>19</v>
      </c>
      <c r="K2014" s="2" t="s">
        <v>20</v>
      </c>
      <c r="L2014" s="2" t="s">
        <v>5450</v>
      </c>
    </row>
    <row r="2015" customFormat="false" ht="11.9" hidden="false" customHeight="true" outlineLevel="0" collapsed="false">
      <c r="A2015" s="2" t="str">
        <f aca="false">HYPERLINK("https://www.fabsurplus.com/sdi_catalog/salesItemDetails.do?id=106135")</f>
        <v>https://www.fabsurplus.com/sdi_catalog/salesItemDetails.do?id=106135</v>
      </c>
      <c r="B2015" s="2" t="s">
        <v>5516</v>
      </c>
      <c r="C2015" s="2" t="s">
        <v>5427</v>
      </c>
      <c r="D2015" s="2" t="s">
        <v>5517</v>
      </c>
      <c r="E2015" s="2" t="s">
        <v>5518</v>
      </c>
      <c r="F2015" s="2" t="s">
        <v>77</v>
      </c>
      <c r="G2015" s="2" t="s">
        <v>26</v>
      </c>
      <c r="H2015" s="2" t="s">
        <v>27</v>
      </c>
      <c r="I2015" s="2"/>
      <c r="J2015" s="2" t="s">
        <v>19</v>
      </c>
      <c r="K2015" s="2" t="s">
        <v>20</v>
      </c>
      <c r="L2015" s="6" t="s">
        <v>5519</v>
      </c>
    </row>
    <row r="2016" customFormat="false" ht="11.9" hidden="false" customHeight="true" outlineLevel="0" collapsed="false">
      <c r="A2016" s="3" t="str">
        <f aca="false">HYPERLINK("https://www.fabsurplus.com/sdi_catalog/salesItemDetails.do?id=106136")</f>
        <v>https://www.fabsurplus.com/sdi_catalog/salesItemDetails.do?id=106136</v>
      </c>
      <c r="B2016" s="3" t="s">
        <v>5520</v>
      </c>
      <c r="C2016" s="3" t="s">
        <v>5427</v>
      </c>
      <c r="D2016" s="3" t="s">
        <v>5521</v>
      </c>
      <c r="E2016" s="3" t="s">
        <v>5522</v>
      </c>
      <c r="F2016" s="3" t="s">
        <v>77</v>
      </c>
      <c r="G2016" s="3" t="s">
        <v>26</v>
      </c>
      <c r="H2016" s="3" t="s">
        <v>27</v>
      </c>
      <c r="I2016" s="3"/>
      <c r="J2016" s="3" t="s">
        <v>19</v>
      </c>
      <c r="K2016" s="3" t="s">
        <v>20</v>
      </c>
      <c r="L2016" s="5" t="s">
        <v>5523</v>
      </c>
    </row>
    <row r="2017" customFormat="false" ht="11.9" hidden="false" customHeight="true" outlineLevel="0" collapsed="false">
      <c r="A2017" s="3" t="str">
        <f aca="false">HYPERLINK("https://www.fabsurplus.com/sdi_catalog/salesItemDetails.do?id=106066")</f>
        <v>https://www.fabsurplus.com/sdi_catalog/salesItemDetails.do?id=106066</v>
      </c>
      <c r="B2017" s="3" t="s">
        <v>5524</v>
      </c>
      <c r="C2017" s="3" t="s">
        <v>5427</v>
      </c>
      <c r="D2017" s="3" t="s">
        <v>5525</v>
      </c>
      <c r="E2017" s="3" t="s">
        <v>5526</v>
      </c>
      <c r="F2017" s="3" t="s">
        <v>16</v>
      </c>
      <c r="G2017" s="3" t="s">
        <v>17</v>
      </c>
      <c r="H2017" s="3" t="s">
        <v>27</v>
      </c>
      <c r="I2017" s="4" t="n">
        <v>33025</v>
      </c>
      <c r="J2017" s="3" t="s">
        <v>19</v>
      </c>
      <c r="K2017" s="3" t="s">
        <v>20</v>
      </c>
      <c r="L2017" s="5" t="s">
        <v>5527</v>
      </c>
    </row>
    <row r="2018" customFormat="false" ht="11.9" hidden="false" customHeight="true" outlineLevel="0" collapsed="false">
      <c r="A2018" s="3" t="str">
        <f aca="false">HYPERLINK("https://www.fabsurplus.com/sdi_catalog/salesItemDetails.do?id=106138")</f>
        <v>https://www.fabsurplus.com/sdi_catalog/salesItemDetails.do?id=106138</v>
      </c>
      <c r="B2018" s="3" t="s">
        <v>5528</v>
      </c>
      <c r="C2018" s="3" t="s">
        <v>5427</v>
      </c>
      <c r="D2018" s="3" t="s">
        <v>5529</v>
      </c>
      <c r="E2018" s="3" t="s">
        <v>5530</v>
      </c>
      <c r="F2018" s="3" t="s">
        <v>16</v>
      </c>
      <c r="G2018" s="3" t="s">
        <v>26</v>
      </c>
      <c r="H2018" s="3" t="s">
        <v>27</v>
      </c>
      <c r="I2018" s="4" t="n">
        <v>33848</v>
      </c>
      <c r="J2018" s="3" t="s">
        <v>19</v>
      </c>
      <c r="K2018" s="3" t="s">
        <v>20</v>
      </c>
      <c r="L2018" s="5" t="s">
        <v>5531</v>
      </c>
    </row>
    <row r="2019" customFormat="false" ht="11.9" hidden="false" customHeight="true" outlineLevel="0" collapsed="false">
      <c r="A2019" s="2" t="str">
        <f aca="false">HYPERLINK("https://www.fabsurplus.com/sdi_catalog/salesItemDetails.do?id=106123")</f>
        <v>https://www.fabsurplus.com/sdi_catalog/salesItemDetails.do?id=106123</v>
      </c>
      <c r="B2019" s="2" t="s">
        <v>5532</v>
      </c>
      <c r="C2019" s="2" t="s">
        <v>5427</v>
      </c>
      <c r="D2019" s="2" t="s">
        <v>5533</v>
      </c>
      <c r="E2019" s="2" t="s">
        <v>5534</v>
      </c>
      <c r="F2019" s="2" t="s">
        <v>16</v>
      </c>
      <c r="G2019" s="2" t="s">
        <v>26</v>
      </c>
      <c r="H2019" s="2" t="s">
        <v>27</v>
      </c>
      <c r="I2019" s="2"/>
      <c r="J2019" s="2" t="s">
        <v>19</v>
      </c>
      <c r="K2019" s="2" t="s">
        <v>20</v>
      </c>
      <c r="L2019" s="2" t="s">
        <v>5450</v>
      </c>
    </row>
    <row r="2020" customFormat="false" ht="11.9" hidden="false" customHeight="true" outlineLevel="0" collapsed="false">
      <c r="A2020" s="3" t="str">
        <f aca="false">HYPERLINK("https://www.fabsurplus.com/sdi_catalog/salesItemDetails.do?id=106122")</f>
        <v>https://www.fabsurplus.com/sdi_catalog/salesItemDetails.do?id=106122</v>
      </c>
      <c r="B2020" s="3" t="s">
        <v>5535</v>
      </c>
      <c r="C2020" s="3" t="s">
        <v>5427</v>
      </c>
      <c r="D2020" s="3" t="s">
        <v>5536</v>
      </c>
      <c r="E2020" s="3" t="s">
        <v>5537</v>
      </c>
      <c r="F2020" s="3" t="s">
        <v>16</v>
      </c>
      <c r="G2020" s="3" t="s">
        <v>26</v>
      </c>
      <c r="H2020" s="3" t="s">
        <v>27</v>
      </c>
      <c r="I2020" s="3"/>
      <c r="J2020" s="3" t="s">
        <v>19</v>
      </c>
      <c r="K2020" s="3" t="s">
        <v>20</v>
      </c>
      <c r="L2020" s="3" t="s">
        <v>5450</v>
      </c>
    </row>
    <row r="2021" customFormat="false" ht="11.9" hidden="false" customHeight="true" outlineLevel="0" collapsed="false">
      <c r="A2021" s="2" t="str">
        <f aca="false">HYPERLINK("https://www.fabsurplus.com/sdi_catalog/salesItemDetails.do?id=106140")</f>
        <v>https://www.fabsurplus.com/sdi_catalog/salesItemDetails.do?id=106140</v>
      </c>
      <c r="B2021" s="2" t="s">
        <v>5538</v>
      </c>
      <c r="C2021" s="2" t="s">
        <v>5427</v>
      </c>
      <c r="D2021" s="2" t="s">
        <v>5539</v>
      </c>
      <c r="E2021" s="2" t="s">
        <v>5540</v>
      </c>
      <c r="F2021" s="2" t="s">
        <v>16</v>
      </c>
      <c r="G2021" s="2" t="s">
        <v>26</v>
      </c>
      <c r="H2021" s="2" t="s">
        <v>27</v>
      </c>
      <c r="I2021" s="2"/>
      <c r="J2021" s="2" t="s">
        <v>19</v>
      </c>
      <c r="K2021" s="2" t="s">
        <v>20</v>
      </c>
      <c r="L2021" s="2" t="s">
        <v>5450</v>
      </c>
    </row>
    <row r="2022" customFormat="false" ht="11.9" hidden="false" customHeight="true" outlineLevel="0" collapsed="false">
      <c r="A2022" s="3" t="str">
        <f aca="false">HYPERLINK("https://www.fabsurplus.com/sdi_catalog/salesItemDetails.do?id=106134")</f>
        <v>https://www.fabsurplus.com/sdi_catalog/salesItemDetails.do?id=106134</v>
      </c>
      <c r="B2022" s="3" t="s">
        <v>5541</v>
      </c>
      <c r="C2022" s="3" t="s">
        <v>5427</v>
      </c>
      <c r="D2022" s="3" t="s">
        <v>5542</v>
      </c>
      <c r="E2022" s="3" t="s">
        <v>5543</v>
      </c>
      <c r="F2022" s="3" t="s">
        <v>16</v>
      </c>
      <c r="G2022" s="3" t="s">
        <v>26</v>
      </c>
      <c r="H2022" s="3" t="s">
        <v>27</v>
      </c>
      <c r="I2022" s="3"/>
      <c r="J2022" s="3" t="s">
        <v>19</v>
      </c>
      <c r="K2022" s="3" t="s">
        <v>20</v>
      </c>
      <c r="L2022" s="3" t="s">
        <v>5450</v>
      </c>
    </row>
    <row r="2023" customFormat="false" ht="11.9" hidden="false" customHeight="true" outlineLevel="0" collapsed="false">
      <c r="A2023" s="3" t="str">
        <f aca="false">HYPERLINK("https://www.fabsurplus.com/sdi_catalog/salesItemDetails.do?id=106132")</f>
        <v>https://www.fabsurplus.com/sdi_catalog/salesItemDetails.do?id=106132</v>
      </c>
      <c r="B2023" s="3" t="s">
        <v>5544</v>
      </c>
      <c r="C2023" s="3" t="s">
        <v>5427</v>
      </c>
      <c r="D2023" s="3" t="s">
        <v>5545</v>
      </c>
      <c r="E2023" s="3" t="s">
        <v>5546</v>
      </c>
      <c r="F2023" s="3" t="s">
        <v>16</v>
      </c>
      <c r="G2023" s="3" t="s">
        <v>26</v>
      </c>
      <c r="H2023" s="3" t="s">
        <v>27</v>
      </c>
      <c r="I2023" s="3"/>
      <c r="J2023" s="3" t="s">
        <v>19</v>
      </c>
      <c r="K2023" s="3" t="s">
        <v>20</v>
      </c>
      <c r="L2023" s="3" t="s">
        <v>5450</v>
      </c>
    </row>
    <row r="2024" customFormat="false" ht="11.9" hidden="false" customHeight="true" outlineLevel="0" collapsed="false">
      <c r="A2024" s="3" t="str">
        <f aca="false">HYPERLINK("https://www.fabsurplus.com/sdi_catalog/salesItemDetails.do?id=106120")</f>
        <v>https://www.fabsurplus.com/sdi_catalog/salesItemDetails.do?id=106120</v>
      </c>
      <c r="B2024" s="3" t="s">
        <v>5547</v>
      </c>
      <c r="C2024" s="3" t="s">
        <v>5427</v>
      </c>
      <c r="D2024" s="3" t="s">
        <v>5548</v>
      </c>
      <c r="E2024" s="3" t="s">
        <v>5549</v>
      </c>
      <c r="F2024" s="3" t="s">
        <v>16</v>
      </c>
      <c r="G2024" s="3" t="s">
        <v>26</v>
      </c>
      <c r="H2024" s="3" t="s">
        <v>27</v>
      </c>
      <c r="I2024" s="3"/>
      <c r="J2024" s="3" t="s">
        <v>19</v>
      </c>
      <c r="K2024" s="3" t="s">
        <v>20</v>
      </c>
      <c r="L2024" s="3" t="s">
        <v>5450</v>
      </c>
    </row>
    <row r="2025" customFormat="false" ht="11.9" hidden="false" customHeight="true" outlineLevel="0" collapsed="false">
      <c r="A2025" s="2" t="str">
        <f aca="false">HYPERLINK("https://www.fabsurplus.com/sdi_catalog/salesItemDetails.do?id=106137")</f>
        <v>https://www.fabsurplus.com/sdi_catalog/salesItemDetails.do?id=106137</v>
      </c>
      <c r="B2025" s="2" t="s">
        <v>5550</v>
      </c>
      <c r="C2025" s="2" t="s">
        <v>5427</v>
      </c>
      <c r="D2025" s="2" t="s">
        <v>5551</v>
      </c>
      <c r="E2025" s="2" t="s">
        <v>5552</v>
      </c>
      <c r="F2025" s="2" t="s">
        <v>16</v>
      </c>
      <c r="G2025" s="2" t="s">
        <v>26</v>
      </c>
      <c r="H2025" s="2" t="s">
        <v>27</v>
      </c>
      <c r="I2025" s="2"/>
      <c r="J2025" s="2" t="s">
        <v>19</v>
      </c>
      <c r="K2025" s="2" t="s">
        <v>20</v>
      </c>
      <c r="L2025" s="6" t="s">
        <v>5553</v>
      </c>
    </row>
    <row r="2026" customFormat="false" ht="11.9" hidden="false" customHeight="true" outlineLevel="0" collapsed="false">
      <c r="A2026" s="3" t="str">
        <f aca="false">HYPERLINK("https://www.fabsurplus.com/sdi_catalog/salesItemDetails.do?id=106116")</f>
        <v>https://www.fabsurplus.com/sdi_catalog/salesItemDetails.do?id=106116</v>
      </c>
      <c r="B2026" s="3" t="s">
        <v>5554</v>
      </c>
      <c r="C2026" s="3" t="s">
        <v>5427</v>
      </c>
      <c r="D2026" s="3" t="s">
        <v>5555</v>
      </c>
      <c r="E2026" s="3" t="s">
        <v>5556</v>
      </c>
      <c r="F2026" s="3" t="s">
        <v>16</v>
      </c>
      <c r="G2026" s="3" t="s">
        <v>26</v>
      </c>
      <c r="H2026" s="3" t="s">
        <v>27</v>
      </c>
      <c r="I2026" s="3"/>
      <c r="J2026" s="3" t="s">
        <v>19</v>
      </c>
      <c r="K2026" s="3" t="s">
        <v>20</v>
      </c>
      <c r="L2026" s="3" t="s">
        <v>5450</v>
      </c>
    </row>
    <row r="2027" customFormat="false" ht="11.9" hidden="false" customHeight="true" outlineLevel="0" collapsed="false">
      <c r="A2027" s="2" t="str">
        <f aca="false">HYPERLINK("https://www.fabsurplus.com/sdi_catalog/salesItemDetails.do?id=106129")</f>
        <v>https://www.fabsurplus.com/sdi_catalog/salesItemDetails.do?id=106129</v>
      </c>
      <c r="B2027" s="2" t="s">
        <v>5557</v>
      </c>
      <c r="C2027" s="2" t="s">
        <v>5427</v>
      </c>
      <c r="D2027" s="2" t="s">
        <v>5558</v>
      </c>
      <c r="E2027" s="2" t="s">
        <v>5559</v>
      </c>
      <c r="F2027" s="2" t="s">
        <v>16</v>
      </c>
      <c r="G2027" s="2" t="s">
        <v>26</v>
      </c>
      <c r="H2027" s="2" t="s">
        <v>27</v>
      </c>
      <c r="I2027" s="2"/>
      <c r="J2027" s="2" t="s">
        <v>19</v>
      </c>
      <c r="K2027" s="2" t="s">
        <v>20</v>
      </c>
      <c r="L2027" s="2" t="s">
        <v>5450</v>
      </c>
    </row>
    <row r="2028" customFormat="false" ht="11.9" hidden="false" customHeight="true" outlineLevel="0" collapsed="false">
      <c r="A2028" s="2" t="str">
        <f aca="false">HYPERLINK("https://www.fabsurplus.com/sdi_catalog/salesItemDetails.do?id=106125")</f>
        <v>https://www.fabsurplus.com/sdi_catalog/salesItemDetails.do?id=106125</v>
      </c>
      <c r="B2028" s="2" t="s">
        <v>5560</v>
      </c>
      <c r="C2028" s="2" t="s">
        <v>5427</v>
      </c>
      <c r="D2028" s="2" t="s">
        <v>5561</v>
      </c>
      <c r="E2028" s="2" t="s">
        <v>5562</v>
      </c>
      <c r="F2028" s="2" t="s">
        <v>16</v>
      </c>
      <c r="G2028" s="2" t="s">
        <v>26</v>
      </c>
      <c r="H2028" s="2" t="s">
        <v>27</v>
      </c>
      <c r="I2028" s="2"/>
      <c r="J2028" s="2" t="s">
        <v>19</v>
      </c>
      <c r="K2028" s="2" t="s">
        <v>20</v>
      </c>
      <c r="L2028" s="2" t="s">
        <v>5450</v>
      </c>
    </row>
    <row r="2029" customFormat="false" ht="11.9" hidden="false" customHeight="true" outlineLevel="0" collapsed="false">
      <c r="A2029" s="3" t="str">
        <f aca="false">HYPERLINK("https://www.fabsurplus.com/sdi_catalog/salesItemDetails.do?id=1736")</f>
        <v>https://www.fabsurplus.com/sdi_catalog/salesItemDetails.do?id=1736</v>
      </c>
      <c r="B2029" s="3" t="s">
        <v>5563</v>
      </c>
      <c r="C2029" s="3" t="s">
        <v>5427</v>
      </c>
      <c r="D2029" s="3" t="s">
        <v>5564</v>
      </c>
      <c r="E2029" s="3" t="s">
        <v>5565</v>
      </c>
      <c r="F2029" s="3" t="s">
        <v>16</v>
      </c>
      <c r="G2029" s="3" t="s">
        <v>41</v>
      </c>
      <c r="H2029" s="3" t="s">
        <v>35</v>
      </c>
      <c r="I2029" s="4" t="n">
        <v>31048</v>
      </c>
      <c r="J2029" s="3" t="s">
        <v>19</v>
      </c>
      <c r="K2029" s="3" t="s">
        <v>20</v>
      </c>
      <c r="L2029" s="3" t="s">
        <v>5566</v>
      </c>
    </row>
    <row r="2030" customFormat="false" ht="11.9" hidden="false" customHeight="true" outlineLevel="0" collapsed="false">
      <c r="A2030" s="2" t="str">
        <f aca="false">HYPERLINK("https://www.fabsurplus.com/sdi_catalog/salesItemDetails.do?id=4288")</f>
        <v>https://www.fabsurplus.com/sdi_catalog/salesItemDetails.do?id=4288</v>
      </c>
      <c r="B2030" s="2" t="s">
        <v>5567</v>
      </c>
      <c r="C2030" s="2" t="s">
        <v>5427</v>
      </c>
      <c r="D2030" s="2" t="s">
        <v>5568</v>
      </c>
      <c r="E2030" s="2" t="s">
        <v>5569</v>
      </c>
      <c r="F2030" s="2" t="s">
        <v>16</v>
      </c>
      <c r="G2030" s="2" t="s">
        <v>26</v>
      </c>
      <c r="H2030" s="2"/>
      <c r="I2030" s="2"/>
      <c r="J2030" s="2" t="s">
        <v>19</v>
      </c>
      <c r="K2030" s="2"/>
      <c r="L2030" s="2"/>
    </row>
    <row r="2031" customFormat="false" ht="11.9" hidden="false" customHeight="true" outlineLevel="0" collapsed="false">
      <c r="A2031" s="2" t="str">
        <f aca="false">HYPERLINK("https://www.fabsurplus.com/sdi_catalog/salesItemDetails.do?id=106084")</f>
        <v>https://www.fabsurplus.com/sdi_catalog/salesItemDetails.do?id=106084</v>
      </c>
      <c r="B2031" s="2" t="s">
        <v>5570</v>
      </c>
      <c r="C2031" s="2" t="s">
        <v>5427</v>
      </c>
      <c r="D2031" s="2" t="s">
        <v>5571</v>
      </c>
      <c r="E2031" s="2" t="s">
        <v>5572</v>
      </c>
      <c r="F2031" s="2" t="s">
        <v>16</v>
      </c>
      <c r="G2031" s="2" t="s">
        <v>26</v>
      </c>
      <c r="H2031" s="2" t="s">
        <v>27</v>
      </c>
      <c r="I2031" s="2"/>
      <c r="J2031" s="2" t="s">
        <v>19</v>
      </c>
      <c r="K2031" s="2" t="s">
        <v>20</v>
      </c>
      <c r="L2031" s="6" t="s">
        <v>5454</v>
      </c>
    </row>
    <row r="2032" customFormat="false" ht="11.9" hidden="false" customHeight="true" outlineLevel="0" collapsed="false">
      <c r="A2032" s="3" t="str">
        <f aca="false">HYPERLINK("https://www.fabsurplus.com/sdi_catalog/salesItemDetails.do?id=4289")</f>
        <v>https://www.fabsurplus.com/sdi_catalog/salesItemDetails.do?id=4289</v>
      </c>
      <c r="B2032" s="3" t="s">
        <v>5573</v>
      </c>
      <c r="C2032" s="3" t="s">
        <v>5427</v>
      </c>
      <c r="D2032" s="3" t="s">
        <v>5574</v>
      </c>
      <c r="E2032" s="3" t="s">
        <v>5575</v>
      </c>
      <c r="F2032" s="3" t="s">
        <v>77</v>
      </c>
      <c r="G2032" s="3" t="s">
        <v>26</v>
      </c>
      <c r="H2032" s="3"/>
      <c r="I2032" s="3"/>
      <c r="J2032" s="3" t="s">
        <v>19</v>
      </c>
      <c r="K2032" s="3"/>
      <c r="L2032" s="3"/>
    </row>
    <row r="2033" customFormat="false" ht="11.9" hidden="false" customHeight="true" outlineLevel="0" collapsed="false">
      <c r="A2033" s="3" t="str">
        <f aca="false">HYPERLINK("https://www.fabsurplus.com/sdi_catalog/salesItemDetails.do?id=106141")</f>
        <v>https://www.fabsurplus.com/sdi_catalog/salesItemDetails.do?id=106141</v>
      </c>
      <c r="B2033" s="3" t="s">
        <v>5576</v>
      </c>
      <c r="C2033" s="3" t="s">
        <v>5427</v>
      </c>
      <c r="D2033" s="3" t="s">
        <v>5577</v>
      </c>
      <c r="E2033" s="3" t="s">
        <v>5578</v>
      </c>
      <c r="F2033" s="3" t="s">
        <v>77</v>
      </c>
      <c r="G2033" s="3" t="s">
        <v>26</v>
      </c>
      <c r="H2033" s="3" t="s">
        <v>27</v>
      </c>
      <c r="I2033" s="3"/>
      <c r="J2033" s="3" t="s">
        <v>19</v>
      </c>
      <c r="K2033" s="3" t="s">
        <v>20</v>
      </c>
      <c r="L2033" s="3" t="s">
        <v>5450</v>
      </c>
    </row>
    <row r="2034" customFormat="false" ht="11.9" hidden="false" customHeight="true" outlineLevel="0" collapsed="false">
      <c r="A2034" s="2" t="str">
        <f aca="false">HYPERLINK("https://www.fabsurplus.com/sdi_catalog/salesItemDetails.do?id=84306")</f>
        <v>https://www.fabsurplus.com/sdi_catalog/salesItemDetails.do?id=84306</v>
      </c>
      <c r="B2034" s="2" t="s">
        <v>5579</v>
      </c>
      <c r="C2034" s="2" t="s">
        <v>5427</v>
      </c>
      <c r="D2034" s="2" t="s">
        <v>5580</v>
      </c>
      <c r="E2034" s="2" t="s">
        <v>5581</v>
      </c>
      <c r="F2034" s="2" t="s">
        <v>16</v>
      </c>
      <c r="G2034" s="2" t="s">
        <v>26</v>
      </c>
      <c r="H2034" s="2" t="s">
        <v>27</v>
      </c>
      <c r="I2034" s="2"/>
      <c r="J2034" s="2" t="s">
        <v>19</v>
      </c>
      <c r="K2034" s="2" t="s">
        <v>20</v>
      </c>
      <c r="L2034" s="2" t="s">
        <v>5582</v>
      </c>
    </row>
    <row r="2035" customFormat="false" ht="11.9" hidden="false" customHeight="true" outlineLevel="0" collapsed="false">
      <c r="A2035" s="3" t="str">
        <f aca="false">HYPERLINK("https://www.fabsurplus.com/sdi_catalog/salesItemDetails.do?id=84301")</f>
        <v>https://www.fabsurplus.com/sdi_catalog/salesItemDetails.do?id=84301</v>
      </c>
      <c r="B2035" s="3" t="s">
        <v>5583</v>
      </c>
      <c r="C2035" s="3" t="s">
        <v>5427</v>
      </c>
      <c r="D2035" s="3" t="s">
        <v>5584</v>
      </c>
      <c r="E2035" s="3" t="s">
        <v>5585</v>
      </c>
      <c r="F2035" s="3" t="s">
        <v>16</v>
      </c>
      <c r="G2035" s="3" t="s">
        <v>26</v>
      </c>
      <c r="H2035" s="3" t="s">
        <v>27</v>
      </c>
      <c r="I2035" s="3"/>
      <c r="J2035" s="3" t="s">
        <v>19</v>
      </c>
      <c r="K2035" s="3" t="s">
        <v>20</v>
      </c>
      <c r="L2035" s="3" t="s">
        <v>5582</v>
      </c>
    </row>
    <row r="2036" customFormat="false" ht="11.9" hidden="false" customHeight="true" outlineLevel="0" collapsed="false">
      <c r="A2036" s="2" t="str">
        <f aca="false">HYPERLINK("https://www.fabsurplus.com/sdi_catalog/salesItemDetails.do?id=84302")</f>
        <v>https://www.fabsurplus.com/sdi_catalog/salesItemDetails.do?id=84302</v>
      </c>
      <c r="B2036" s="2" t="s">
        <v>5586</v>
      </c>
      <c r="C2036" s="2" t="s">
        <v>5427</v>
      </c>
      <c r="D2036" s="2" t="s">
        <v>5587</v>
      </c>
      <c r="E2036" s="2" t="s">
        <v>5588</v>
      </c>
      <c r="F2036" s="2" t="s">
        <v>16</v>
      </c>
      <c r="G2036" s="2" t="s">
        <v>26</v>
      </c>
      <c r="H2036" s="2" t="s">
        <v>27</v>
      </c>
      <c r="I2036" s="2"/>
      <c r="J2036" s="2" t="s">
        <v>19</v>
      </c>
      <c r="K2036" s="2" t="s">
        <v>20</v>
      </c>
      <c r="L2036" s="2" t="s">
        <v>5582</v>
      </c>
    </row>
    <row r="2037" customFormat="false" ht="11.9" hidden="false" customHeight="true" outlineLevel="0" collapsed="false">
      <c r="A2037" s="3" t="str">
        <f aca="false">HYPERLINK("https://www.fabsurplus.com/sdi_catalog/salesItemDetails.do?id=84303")</f>
        <v>https://www.fabsurplus.com/sdi_catalog/salesItemDetails.do?id=84303</v>
      </c>
      <c r="B2037" s="3" t="s">
        <v>5589</v>
      </c>
      <c r="C2037" s="3" t="s">
        <v>5427</v>
      </c>
      <c r="D2037" s="3" t="s">
        <v>5590</v>
      </c>
      <c r="E2037" s="3" t="s">
        <v>5591</v>
      </c>
      <c r="F2037" s="3" t="s">
        <v>16</v>
      </c>
      <c r="G2037" s="3" t="s">
        <v>26</v>
      </c>
      <c r="H2037" s="3" t="s">
        <v>27</v>
      </c>
      <c r="I2037" s="3"/>
      <c r="J2037" s="3" t="s">
        <v>19</v>
      </c>
      <c r="K2037" s="3" t="s">
        <v>20</v>
      </c>
      <c r="L2037" s="3" t="s">
        <v>5582</v>
      </c>
    </row>
    <row r="2038" customFormat="false" ht="11.9" hidden="false" customHeight="true" outlineLevel="0" collapsed="false">
      <c r="A2038" s="3" t="str">
        <f aca="false">HYPERLINK("https://www.fabsurplus.com/sdi_catalog/salesItemDetails.do?id=84309")</f>
        <v>https://www.fabsurplus.com/sdi_catalog/salesItemDetails.do?id=84309</v>
      </c>
      <c r="B2038" s="3" t="s">
        <v>5592</v>
      </c>
      <c r="C2038" s="3" t="s">
        <v>5427</v>
      </c>
      <c r="D2038" s="3" t="s">
        <v>5593</v>
      </c>
      <c r="E2038" s="3" t="s">
        <v>5594</v>
      </c>
      <c r="F2038" s="3" t="s">
        <v>16</v>
      </c>
      <c r="G2038" s="3" t="s">
        <v>26</v>
      </c>
      <c r="H2038" s="3" t="s">
        <v>27</v>
      </c>
      <c r="I2038" s="3"/>
      <c r="J2038" s="3" t="s">
        <v>19</v>
      </c>
      <c r="K2038" s="3" t="s">
        <v>20</v>
      </c>
      <c r="L2038" s="3" t="s">
        <v>5582</v>
      </c>
    </row>
    <row r="2039" customFormat="false" ht="11.9" hidden="false" customHeight="true" outlineLevel="0" collapsed="false">
      <c r="A2039" s="3" t="str">
        <f aca="false">HYPERLINK("https://www.fabsurplus.com/sdi_catalog/salesItemDetails.do?id=84305")</f>
        <v>https://www.fabsurplus.com/sdi_catalog/salesItemDetails.do?id=84305</v>
      </c>
      <c r="B2039" s="3" t="s">
        <v>5595</v>
      </c>
      <c r="C2039" s="3" t="s">
        <v>5427</v>
      </c>
      <c r="D2039" s="3" t="s">
        <v>5596</v>
      </c>
      <c r="E2039" s="3" t="s">
        <v>5597</v>
      </c>
      <c r="F2039" s="3" t="s">
        <v>77</v>
      </c>
      <c r="G2039" s="3" t="s">
        <v>26</v>
      </c>
      <c r="H2039" s="3" t="s">
        <v>27</v>
      </c>
      <c r="I2039" s="3"/>
      <c r="J2039" s="3" t="s">
        <v>19</v>
      </c>
      <c r="K2039" s="3" t="s">
        <v>20</v>
      </c>
      <c r="L2039" s="3" t="s">
        <v>5582</v>
      </c>
    </row>
    <row r="2040" customFormat="false" ht="11.9" hidden="false" customHeight="true" outlineLevel="0" collapsed="false">
      <c r="A2040" s="2" t="str">
        <f aca="false">HYPERLINK("https://www.fabsurplus.com/sdi_catalog/salesItemDetails.do?id=84304")</f>
        <v>https://www.fabsurplus.com/sdi_catalog/salesItemDetails.do?id=84304</v>
      </c>
      <c r="B2040" s="2" t="s">
        <v>5598</v>
      </c>
      <c r="C2040" s="2" t="s">
        <v>5427</v>
      </c>
      <c r="D2040" s="2" t="s">
        <v>5599</v>
      </c>
      <c r="E2040" s="2" t="s">
        <v>5600</v>
      </c>
      <c r="F2040" s="2" t="s">
        <v>77</v>
      </c>
      <c r="G2040" s="2" t="s">
        <v>26</v>
      </c>
      <c r="H2040" s="2" t="s">
        <v>27</v>
      </c>
      <c r="I2040" s="2"/>
      <c r="J2040" s="2" t="s">
        <v>19</v>
      </c>
      <c r="K2040" s="2" t="s">
        <v>20</v>
      </c>
      <c r="L2040" s="6" t="s">
        <v>5601</v>
      </c>
    </row>
    <row r="2041" customFormat="false" ht="11.9" hidden="false" customHeight="true" outlineLevel="0" collapsed="false">
      <c r="A2041" s="2" t="str">
        <f aca="false">HYPERLINK("https://www.fabsurplus.com/sdi_catalog/salesItemDetails.do?id=84308")</f>
        <v>https://www.fabsurplus.com/sdi_catalog/salesItemDetails.do?id=84308</v>
      </c>
      <c r="B2041" s="2" t="s">
        <v>5602</v>
      </c>
      <c r="C2041" s="2" t="s">
        <v>5427</v>
      </c>
      <c r="D2041" s="2" t="s">
        <v>5603</v>
      </c>
      <c r="E2041" s="2" t="s">
        <v>5604</v>
      </c>
      <c r="F2041" s="2" t="s">
        <v>16</v>
      </c>
      <c r="G2041" s="2" t="s">
        <v>26</v>
      </c>
      <c r="H2041" s="2" t="s">
        <v>27</v>
      </c>
      <c r="I2041" s="2"/>
      <c r="J2041" s="2" t="s">
        <v>19</v>
      </c>
      <c r="K2041" s="2" t="s">
        <v>20</v>
      </c>
      <c r="L2041" s="2" t="s">
        <v>5582</v>
      </c>
    </row>
    <row r="2042" customFormat="false" ht="11.9" hidden="false" customHeight="true" outlineLevel="0" collapsed="false">
      <c r="A2042" s="3" t="str">
        <f aca="false">HYPERLINK("https://www.fabsurplus.com/sdi_catalog/salesItemDetails.do?id=84307")</f>
        <v>https://www.fabsurplus.com/sdi_catalog/salesItemDetails.do?id=84307</v>
      </c>
      <c r="B2042" s="3" t="s">
        <v>5605</v>
      </c>
      <c r="C2042" s="3" t="s">
        <v>5427</v>
      </c>
      <c r="D2042" s="3" t="s">
        <v>5606</v>
      </c>
      <c r="E2042" s="3" t="s">
        <v>5607</v>
      </c>
      <c r="F2042" s="3" t="s">
        <v>16</v>
      </c>
      <c r="G2042" s="3" t="s">
        <v>26</v>
      </c>
      <c r="H2042" s="3" t="s">
        <v>27</v>
      </c>
      <c r="I2042" s="3"/>
      <c r="J2042" s="3" t="s">
        <v>19</v>
      </c>
      <c r="K2042" s="3" t="s">
        <v>20</v>
      </c>
      <c r="L2042" s="3" t="s">
        <v>5582</v>
      </c>
    </row>
    <row r="2043" customFormat="false" ht="11.9" hidden="false" customHeight="true" outlineLevel="0" collapsed="false">
      <c r="A2043" s="2" t="str">
        <f aca="false">HYPERLINK("https://www.fabsurplus.com/sdi_catalog/salesItemDetails.do?id=108989")</f>
        <v>https://www.fabsurplus.com/sdi_catalog/salesItemDetails.do?id=108989</v>
      </c>
      <c r="B2043" s="2" t="s">
        <v>5608</v>
      </c>
      <c r="C2043" s="2" t="s">
        <v>5427</v>
      </c>
      <c r="D2043" s="2" t="s">
        <v>5609</v>
      </c>
      <c r="E2043" s="2" t="s">
        <v>5610</v>
      </c>
      <c r="F2043" s="2" t="s">
        <v>16</v>
      </c>
      <c r="G2043" s="2" t="s">
        <v>26</v>
      </c>
      <c r="H2043" s="2" t="s">
        <v>35</v>
      </c>
      <c r="I2043" s="7" t="n">
        <v>35278</v>
      </c>
      <c r="J2043" s="2" t="s">
        <v>19</v>
      </c>
      <c r="K2043" s="2" t="s">
        <v>20</v>
      </c>
      <c r="L2043" s="6" t="s">
        <v>5611</v>
      </c>
    </row>
    <row r="2044" customFormat="false" ht="11.9" hidden="false" customHeight="true" outlineLevel="0" collapsed="false">
      <c r="A2044" s="2" t="str">
        <f aca="false">HYPERLINK("https://www.fabsurplus.com/sdi_catalog/salesItemDetails.do?id=83635")</f>
        <v>https://www.fabsurplus.com/sdi_catalog/salesItemDetails.do?id=83635</v>
      </c>
      <c r="B2044" s="2" t="s">
        <v>5612</v>
      </c>
      <c r="C2044" s="2" t="s">
        <v>5427</v>
      </c>
      <c r="D2044" s="2" t="s">
        <v>5613</v>
      </c>
      <c r="E2044" s="2" t="s">
        <v>5614</v>
      </c>
      <c r="F2044" s="2" t="s">
        <v>16</v>
      </c>
      <c r="G2044" s="2" t="s">
        <v>41</v>
      </c>
      <c r="H2044" s="2" t="s">
        <v>35</v>
      </c>
      <c r="I2044" s="2"/>
      <c r="J2044" s="2" t="s">
        <v>19</v>
      </c>
      <c r="K2044" s="2" t="s">
        <v>20</v>
      </c>
      <c r="L2044" s="6" t="s">
        <v>5615</v>
      </c>
    </row>
    <row r="2045" customFormat="false" ht="11.9" hidden="false" customHeight="true" outlineLevel="0" collapsed="false">
      <c r="A2045" s="3" t="str">
        <f aca="false">HYPERLINK("https://www.fabsurplus.com/sdi_catalog/salesItemDetails.do?id=53026")</f>
        <v>https://www.fabsurplus.com/sdi_catalog/salesItemDetails.do?id=53026</v>
      </c>
      <c r="B2045" s="3" t="s">
        <v>5616</v>
      </c>
      <c r="C2045" s="3" t="s">
        <v>5427</v>
      </c>
      <c r="D2045" s="3" t="s">
        <v>5617</v>
      </c>
      <c r="E2045" s="3" t="s">
        <v>5618</v>
      </c>
      <c r="F2045" s="3" t="s">
        <v>16</v>
      </c>
      <c r="G2045" s="3" t="s">
        <v>17</v>
      </c>
      <c r="H2045" s="3" t="s">
        <v>27</v>
      </c>
      <c r="I2045" s="3"/>
      <c r="J2045" s="3" t="s">
        <v>19</v>
      </c>
      <c r="K2045" s="3" t="s">
        <v>20</v>
      </c>
      <c r="L2045" s="5" t="s">
        <v>5619</v>
      </c>
    </row>
    <row r="2046" customFormat="false" ht="11.9" hidden="false" customHeight="true" outlineLevel="0" collapsed="false">
      <c r="A2046" s="2" t="str">
        <f aca="false">HYPERLINK("https://www.fabsurplus.com/sdi_catalog/salesItemDetails.do?id=27807")</f>
        <v>https://www.fabsurplus.com/sdi_catalog/salesItemDetails.do?id=27807</v>
      </c>
      <c r="B2046" s="2" t="s">
        <v>5620</v>
      </c>
      <c r="C2046" s="2" t="s">
        <v>5427</v>
      </c>
      <c r="D2046" s="2" t="s">
        <v>5621</v>
      </c>
      <c r="E2046" s="2" t="s">
        <v>5622</v>
      </c>
      <c r="F2046" s="2" t="s">
        <v>69</v>
      </c>
      <c r="G2046" s="2" t="s">
        <v>17</v>
      </c>
      <c r="H2046" s="2" t="s">
        <v>35</v>
      </c>
      <c r="I2046" s="2"/>
      <c r="J2046" s="2" t="s">
        <v>19</v>
      </c>
      <c r="K2046" s="2" t="s">
        <v>20</v>
      </c>
      <c r="L2046" s="2" t="s">
        <v>5623</v>
      </c>
    </row>
    <row r="2047" customFormat="false" ht="11.9" hidden="false" customHeight="true" outlineLevel="0" collapsed="false">
      <c r="A2047" s="2" t="str">
        <f aca="false">HYPERLINK("https://www.fabsurplus.com/sdi_catalog/salesItemDetails.do?id=106189")</f>
        <v>https://www.fabsurplus.com/sdi_catalog/salesItemDetails.do?id=106189</v>
      </c>
      <c r="B2047" s="2" t="s">
        <v>5624</v>
      </c>
      <c r="C2047" s="2" t="s">
        <v>5427</v>
      </c>
      <c r="D2047" s="2" t="s">
        <v>5625</v>
      </c>
      <c r="E2047" s="2" t="s">
        <v>5626</v>
      </c>
      <c r="F2047" s="2" t="s">
        <v>16</v>
      </c>
      <c r="G2047" s="2" t="s">
        <v>26</v>
      </c>
      <c r="H2047" s="2" t="s">
        <v>27</v>
      </c>
      <c r="I2047" s="7" t="n">
        <v>32752</v>
      </c>
      <c r="J2047" s="2" t="s">
        <v>19</v>
      </c>
      <c r="K2047" s="2" t="s">
        <v>20</v>
      </c>
      <c r="L2047" s="6" t="s">
        <v>5627</v>
      </c>
    </row>
    <row r="2048" customFormat="false" ht="11.9" hidden="false" customHeight="true" outlineLevel="0" collapsed="false">
      <c r="A2048" s="3" t="str">
        <f aca="false">HYPERLINK("https://www.fabsurplus.com/sdi_catalog/salesItemDetails.do?id=34115")</f>
        <v>https://www.fabsurplus.com/sdi_catalog/salesItemDetails.do?id=34115</v>
      </c>
      <c r="B2048" s="3" t="s">
        <v>5628</v>
      </c>
      <c r="C2048" s="3" t="s">
        <v>5427</v>
      </c>
      <c r="D2048" s="3" t="s">
        <v>5625</v>
      </c>
      <c r="E2048" s="3" t="s">
        <v>5629</v>
      </c>
      <c r="F2048" s="3" t="s">
        <v>16</v>
      </c>
      <c r="G2048" s="3"/>
      <c r="H2048" s="3"/>
      <c r="I2048" s="3"/>
      <c r="J2048" s="3"/>
      <c r="K2048" s="3"/>
      <c r="L2048" s="3"/>
    </row>
    <row r="2049" customFormat="false" ht="11.9" hidden="false" customHeight="true" outlineLevel="0" collapsed="false">
      <c r="A2049" s="2" t="str">
        <f aca="false">HYPERLINK("https://www.fabsurplus.com/sdi_catalog/salesItemDetails.do?id=84218")</f>
        <v>https://www.fabsurplus.com/sdi_catalog/salesItemDetails.do?id=84218</v>
      </c>
      <c r="B2049" s="2" t="s">
        <v>5630</v>
      </c>
      <c r="C2049" s="2" t="s">
        <v>5427</v>
      </c>
      <c r="D2049" s="2" t="s">
        <v>5631</v>
      </c>
      <c r="E2049" s="2" t="s">
        <v>5632</v>
      </c>
      <c r="F2049" s="2" t="s">
        <v>16</v>
      </c>
      <c r="G2049" s="2" t="s">
        <v>26</v>
      </c>
      <c r="H2049" s="2" t="s">
        <v>27</v>
      </c>
      <c r="I2049" s="7" t="n">
        <v>33725</v>
      </c>
      <c r="J2049" s="2" t="s">
        <v>19</v>
      </c>
      <c r="K2049" s="2" t="s">
        <v>20</v>
      </c>
      <c r="L2049" s="6" t="s">
        <v>5633</v>
      </c>
    </row>
    <row r="2050" customFormat="false" ht="11.9" hidden="false" customHeight="true" outlineLevel="0" collapsed="false">
      <c r="A2050" s="3" t="str">
        <f aca="false">HYPERLINK("https://www.fabsurplus.com/sdi_catalog/salesItemDetails.do?id=84216")</f>
        <v>https://www.fabsurplus.com/sdi_catalog/salesItemDetails.do?id=84216</v>
      </c>
      <c r="B2050" s="3" t="s">
        <v>5634</v>
      </c>
      <c r="C2050" s="3" t="s">
        <v>5427</v>
      </c>
      <c r="D2050" s="3" t="s">
        <v>5635</v>
      </c>
      <c r="E2050" s="3" t="s">
        <v>5636</v>
      </c>
      <c r="F2050" s="3" t="s">
        <v>16</v>
      </c>
      <c r="G2050" s="3" t="s">
        <v>26</v>
      </c>
      <c r="H2050" s="3" t="s">
        <v>27</v>
      </c>
      <c r="I2050" s="4" t="n">
        <v>33725</v>
      </c>
      <c r="J2050" s="3" t="s">
        <v>19</v>
      </c>
      <c r="K2050" s="3" t="s">
        <v>20</v>
      </c>
      <c r="L2050" s="5" t="s">
        <v>5637</v>
      </c>
    </row>
    <row r="2051" customFormat="false" ht="11.9" hidden="false" customHeight="true" outlineLevel="0" collapsed="false">
      <c r="A2051" s="3" t="str">
        <f aca="false">HYPERLINK("https://www.fabsurplus.com/sdi_catalog/salesItemDetails.do?id=106146")</f>
        <v>https://www.fabsurplus.com/sdi_catalog/salesItemDetails.do?id=106146</v>
      </c>
      <c r="B2051" s="3" t="s">
        <v>5638</v>
      </c>
      <c r="C2051" s="3" t="s">
        <v>5427</v>
      </c>
      <c r="D2051" s="3" t="s">
        <v>5639</v>
      </c>
      <c r="E2051" s="3" t="s">
        <v>5640</v>
      </c>
      <c r="F2051" s="3" t="s">
        <v>16</v>
      </c>
      <c r="G2051" s="3" t="s">
        <v>17</v>
      </c>
      <c r="H2051" s="3" t="s">
        <v>27</v>
      </c>
      <c r="I2051" s="4" t="n">
        <v>33725</v>
      </c>
      <c r="J2051" s="3" t="s">
        <v>19</v>
      </c>
      <c r="K2051" s="3" t="s">
        <v>20</v>
      </c>
      <c r="L2051" s="3"/>
    </row>
    <row r="2052" customFormat="false" ht="11.9" hidden="false" customHeight="true" outlineLevel="0" collapsed="false">
      <c r="A2052" s="3" t="str">
        <f aca="false">HYPERLINK("https://www.fabsurplus.com/sdi_catalog/salesItemDetails.do?id=84000")</f>
        <v>https://www.fabsurplus.com/sdi_catalog/salesItemDetails.do?id=84000</v>
      </c>
      <c r="B2052" s="3" t="s">
        <v>5641</v>
      </c>
      <c r="C2052" s="3" t="s">
        <v>5427</v>
      </c>
      <c r="D2052" s="3" t="s">
        <v>5642</v>
      </c>
      <c r="E2052" s="3" t="s">
        <v>5643</v>
      </c>
      <c r="F2052" s="3" t="s">
        <v>16</v>
      </c>
      <c r="G2052" s="3" t="s">
        <v>41</v>
      </c>
      <c r="H2052" s="3" t="s">
        <v>27</v>
      </c>
      <c r="I2052" s="4" t="n">
        <v>35095.9583333333</v>
      </c>
      <c r="J2052" s="3" t="s">
        <v>42</v>
      </c>
      <c r="K2052" s="3" t="s">
        <v>20</v>
      </c>
      <c r="L2052" s="5" t="s">
        <v>5644</v>
      </c>
    </row>
    <row r="2053" customFormat="false" ht="11.9" hidden="false" customHeight="true" outlineLevel="0" collapsed="false">
      <c r="A2053" s="3" t="str">
        <f aca="false">HYPERLINK("https://www.fabsurplus.com/sdi_catalog/salesItemDetails.do?id=106191")</f>
        <v>https://www.fabsurplus.com/sdi_catalog/salesItemDetails.do?id=106191</v>
      </c>
      <c r="B2053" s="3" t="s">
        <v>5645</v>
      </c>
      <c r="C2053" s="3" t="s">
        <v>5427</v>
      </c>
      <c r="D2053" s="3" t="s">
        <v>5646</v>
      </c>
      <c r="E2053" s="3" t="s">
        <v>5647</v>
      </c>
      <c r="F2053" s="3" t="s">
        <v>16</v>
      </c>
      <c r="G2053" s="3" t="s">
        <v>26</v>
      </c>
      <c r="H2053" s="3" t="s">
        <v>18</v>
      </c>
      <c r="I2053" s="4" t="n">
        <v>36678</v>
      </c>
      <c r="J2053" s="3" t="s">
        <v>19</v>
      </c>
      <c r="K2053" s="3" t="s">
        <v>20</v>
      </c>
      <c r="L2053" s="3" t="s">
        <v>5648</v>
      </c>
    </row>
    <row r="2054" customFormat="false" ht="11.9" hidden="false" customHeight="true" outlineLevel="0" collapsed="false">
      <c r="A2054" s="2" t="str">
        <f aca="false">HYPERLINK("https://www.fabsurplus.com/sdi_catalog/salesItemDetails.do?id=86304")</f>
        <v>https://www.fabsurplus.com/sdi_catalog/salesItemDetails.do?id=86304</v>
      </c>
      <c r="B2054" s="2" t="s">
        <v>5649</v>
      </c>
      <c r="C2054" s="2" t="s">
        <v>5427</v>
      </c>
      <c r="D2054" s="2" t="s">
        <v>5650</v>
      </c>
      <c r="E2054" s="2" t="s">
        <v>5651</v>
      </c>
      <c r="F2054" s="2" t="s">
        <v>16</v>
      </c>
      <c r="G2054" s="2" t="s">
        <v>3114</v>
      </c>
      <c r="H2054" s="2" t="s">
        <v>27</v>
      </c>
      <c r="I2054" s="2"/>
      <c r="J2054" s="2" t="s">
        <v>42</v>
      </c>
      <c r="K2054" s="2" t="s">
        <v>20</v>
      </c>
      <c r="L2054" s="6" t="s">
        <v>5652</v>
      </c>
    </row>
    <row r="2055" customFormat="false" ht="11.9" hidden="false" customHeight="true" outlineLevel="0" collapsed="false">
      <c r="A2055" s="2" t="str">
        <f aca="false">HYPERLINK("https://www.fabsurplus.com/sdi_catalog/salesItemDetails.do?id=87642")</f>
        <v>https://www.fabsurplus.com/sdi_catalog/salesItemDetails.do?id=87642</v>
      </c>
      <c r="B2055" s="2" t="s">
        <v>5653</v>
      </c>
      <c r="C2055" s="2" t="s">
        <v>5427</v>
      </c>
      <c r="D2055" s="2" t="s">
        <v>5654</v>
      </c>
      <c r="E2055" s="2" t="s">
        <v>5655</v>
      </c>
      <c r="F2055" s="2" t="s">
        <v>16</v>
      </c>
      <c r="G2055" s="2" t="s">
        <v>26</v>
      </c>
      <c r="H2055" s="2" t="s">
        <v>944</v>
      </c>
      <c r="I2055" s="2"/>
      <c r="J2055" s="2" t="s">
        <v>19</v>
      </c>
      <c r="K2055" s="2" t="s">
        <v>20</v>
      </c>
      <c r="L2055" s="6" t="s">
        <v>5656</v>
      </c>
    </row>
    <row r="2056" customFormat="false" ht="11.9" hidden="false" customHeight="true" outlineLevel="0" collapsed="false">
      <c r="A2056" s="3" t="str">
        <f aca="false">HYPERLINK("https://www.fabsurplus.com/sdi_catalog/salesItemDetails.do?id=34164")</f>
        <v>https://www.fabsurplus.com/sdi_catalog/salesItemDetails.do?id=34164</v>
      </c>
      <c r="B2056" s="3" t="s">
        <v>5657</v>
      </c>
      <c r="C2056" s="3" t="s">
        <v>5427</v>
      </c>
      <c r="D2056" s="3" t="s">
        <v>5658</v>
      </c>
      <c r="E2056" s="3" t="s">
        <v>5659</v>
      </c>
      <c r="F2056" s="3" t="s">
        <v>16</v>
      </c>
      <c r="G2056" s="3"/>
      <c r="H2056" s="3"/>
      <c r="I2056" s="3"/>
      <c r="J2056" s="3"/>
      <c r="K2056" s="3"/>
      <c r="L2056" s="3"/>
    </row>
    <row r="2057" customFormat="false" ht="11.9" hidden="false" customHeight="true" outlineLevel="0" collapsed="false">
      <c r="A2057" s="2" t="str">
        <f aca="false">HYPERLINK("https://www.fabsurplus.com/sdi_catalog/salesItemDetails.do?id=34135")</f>
        <v>https://www.fabsurplus.com/sdi_catalog/salesItemDetails.do?id=34135</v>
      </c>
      <c r="B2057" s="2" t="s">
        <v>5660</v>
      </c>
      <c r="C2057" s="2" t="s">
        <v>5427</v>
      </c>
      <c r="D2057" s="2" t="s">
        <v>5661</v>
      </c>
      <c r="E2057" s="2" t="s">
        <v>5662</v>
      </c>
      <c r="F2057" s="2" t="s">
        <v>16</v>
      </c>
      <c r="G2057" s="2"/>
      <c r="H2057" s="2" t="s">
        <v>27</v>
      </c>
      <c r="I2057" s="2"/>
      <c r="J2057" s="2" t="s">
        <v>19</v>
      </c>
      <c r="K2057" s="2" t="s">
        <v>20</v>
      </c>
      <c r="L2057" s="2" t="s">
        <v>5663</v>
      </c>
    </row>
    <row r="2058" customFormat="false" ht="11.9" hidden="false" customHeight="true" outlineLevel="0" collapsed="false">
      <c r="A2058" s="3" t="str">
        <f aca="false">HYPERLINK("https://www.fabsurplus.com/sdi_catalog/salesItemDetails.do?id=34132")</f>
        <v>https://www.fabsurplus.com/sdi_catalog/salesItemDetails.do?id=34132</v>
      </c>
      <c r="B2058" s="3" t="s">
        <v>5664</v>
      </c>
      <c r="C2058" s="3" t="s">
        <v>5427</v>
      </c>
      <c r="D2058" s="3" t="s">
        <v>5661</v>
      </c>
      <c r="E2058" s="3" t="s">
        <v>5665</v>
      </c>
      <c r="F2058" s="3" t="s">
        <v>16</v>
      </c>
      <c r="G2058" s="3"/>
      <c r="H2058" s="3" t="s">
        <v>27</v>
      </c>
      <c r="I2058" s="3"/>
      <c r="J2058" s="3" t="s">
        <v>19</v>
      </c>
      <c r="K2058" s="3" t="s">
        <v>20</v>
      </c>
      <c r="L2058" s="3"/>
    </row>
    <row r="2059" customFormat="false" ht="11.9" hidden="false" customHeight="true" outlineLevel="0" collapsed="false">
      <c r="A2059" s="2" t="str">
        <f aca="false">HYPERLINK("https://www.fabsurplus.com/sdi_catalog/salesItemDetails.do?id=34143")</f>
        <v>https://www.fabsurplus.com/sdi_catalog/salesItemDetails.do?id=34143</v>
      </c>
      <c r="B2059" s="2" t="s">
        <v>5666</v>
      </c>
      <c r="C2059" s="2" t="s">
        <v>5427</v>
      </c>
      <c r="D2059" s="2" t="s">
        <v>5661</v>
      </c>
      <c r="E2059" s="2" t="s">
        <v>5667</v>
      </c>
      <c r="F2059" s="2" t="s">
        <v>16</v>
      </c>
      <c r="G2059" s="2"/>
      <c r="H2059" s="2"/>
      <c r="I2059" s="2"/>
      <c r="J2059" s="2"/>
      <c r="K2059" s="2"/>
      <c r="L2059" s="2"/>
    </row>
    <row r="2060" customFormat="false" ht="11.9" hidden="false" customHeight="true" outlineLevel="0" collapsed="false">
      <c r="A2060" s="2" t="str">
        <f aca="false">HYPERLINK("https://www.fabsurplus.com/sdi_catalog/salesItemDetails.do?id=34154")</f>
        <v>https://www.fabsurplus.com/sdi_catalog/salesItemDetails.do?id=34154</v>
      </c>
      <c r="B2060" s="2" t="s">
        <v>5668</v>
      </c>
      <c r="C2060" s="2" t="s">
        <v>5427</v>
      </c>
      <c r="D2060" s="2" t="s">
        <v>5661</v>
      </c>
      <c r="E2060" s="2" t="s">
        <v>5669</v>
      </c>
      <c r="F2060" s="2" t="s">
        <v>16</v>
      </c>
      <c r="G2060" s="2"/>
      <c r="H2060" s="2"/>
      <c r="I2060" s="2"/>
      <c r="J2060" s="2"/>
      <c r="K2060" s="2"/>
      <c r="L2060" s="2"/>
    </row>
    <row r="2061" customFormat="false" ht="11.9" hidden="false" customHeight="true" outlineLevel="0" collapsed="false">
      <c r="A2061" s="3" t="str">
        <f aca="false">HYPERLINK("https://www.fabsurplus.com/sdi_catalog/salesItemDetails.do?id=34123")</f>
        <v>https://www.fabsurplus.com/sdi_catalog/salesItemDetails.do?id=34123</v>
      </c>
      <c r="B2061" s="3" t="s">
        <v>5670</v>
      </c>
      <c r="C2061" s="3" t="s">
        <v>5427</v>
      </c>
      <c r="D2061" s="3" t="s">
        <v>5661</v>
      </c>
      <c r="E2061" s="3" t="s">
        <v>5671</v>
      </c>
      <c r="F2061" s="3" t="s">
        <v>16</v>
      </c>
      <c r="G2061" s="3"/>
      <c r="H2061" s="3"/>
      <c r="I2061" s="3"/>
      <c r="J2061" s="3"/>
      <c r="K2061" s="3"/>
      <c r="L2061" s="3"/>
    </row>
    <row r="2062" customFormat="false" ht="11.9" hidden="false" customHeight="true" outlineLevel="0" collapsed="false">
      <c r="A2062" s="3" t="str">
        <f aca="false">HYPERLINK("https://www.fabsurplus.com/sdi_catalog/salesItemDetails.do?id=34162")</f>
        <v>https://www.fabsurplus.com/sdi_catalog/salesItemDetails.do?id=34162</v>
      </c>
      <c r="B2062" s="3" t="s">
        <v>5672</v>
      </c>
      <c r="C2062" s="3" t="s">
        <v>5427</v>
      </c>
      <c r="D2062" s="3" t="s">
        <v>5661</v>
      </c>
      <c r="E2062" s="3" t="s">
        <v>5673</v>
      </c>
      <c r="F2062" s="3" t="s">
        <v>16</v>
      </c>
      <c r="G2062" s="3"/>
      <c r="H2062" s="3"/>
      <c r="I2062" s="3"/>
      <c r="J2062" s="3"/>
      <c r="K2062" s="3"/>
      <c r="L2062" s="3"/>
    </row>
    <row r="2063" customFormat="false" ht="11.9" hidden="false" customHeight="true" outlineLevel="0" collapsed="false">
      <c r="A2063" s="3" t="str">
        <f aca="false">HYPERLINK("https://www.fabsurplus.com/sdi_catalog/salesItemDetails.do?id=34160")</f>
        <v>https://www.fabsurplus.com/sdi_catalog/salesItemDetails.do?id=34160</v>
      </c>
      <c r="B2063" s="3" t="s">
        <v>5674</v>
      </c>
      <c r="C2063" s="3" t="s">
        <v>5427</v>
      </c>
      <c r="D2063" s="3" t="s">
        <v>5661</v>
      </c>
      <c r="E2063" s="3" t="s">
        <v>5675</v>
      </c>
      <c r="F2063" s="3" t="s">
        <v>16</v>
      </c>
      <c r="G2063" s="3"/>
      <c r="H2063" s="3"/>
      <c r="I2063" s="3"/>
      <c r="J2063" s="3"/>
      <c r="K2063" s="3"/>
      <c r="L2063" s="3"/>
    </row>
    <row r="2064" customFormat="false" ht="11.9" hidden="false" customHeight="true" outlineLevel="0" collapsed="false">
      <c r="A2064" s="3" t="str">
        <f aca="false">HYPERLINK("https://www.fabsurplus.com/sdi_catalog/salesItemDetails.do?id=34144")</f>
        <v>https://www.fabsurplus.com/sdi_catalog/salesItemDetails.do?id=34144</v>
      </c>
      <c r="B2064" s="3" t="s">
        <v>5676</v>
      </c>
      <c r="C2064" s="3" t="s">
        <v>5427</v>
      </c>
      <c r="D2064" s="3" t="s">
        <v>5661</v>
      </c>
      <c r="E2064" s="3" t="s">
        <v>5677</v>
      </c>
      <c r="F2064" s="3" t="s">
        <v>16</v>
      </c>
      <c r="G2064" s="3"/>
      <c r="H2064" s="3"/>
      <c r="I2064" s="3"/>
      <c r="J2064" s="3"/>
      <c r="K2064" s="3"/>
      <c r="L2064" s="3"/>
    </row>
    <row r="2065" customFormat="false" ht="11.9" hidden="false" customHeight="true" outlineLevel="0" collapsed="false">
      <c r="A2065" s="3" t="str">
        <f aca="false">HYPERLINK("https://www.fabsurplus.com/sdi_catalog/salesItemDetails.do?id=34139")</f>
        <v>https://www.fabsurplus.com/sdi_catalog/salesItemDetails.do?id=34139</v>
      </c>
      <c r="B2065" s="3" t="s">
        <v>5678</v>
      </c>
      <c r="C2065" s="3" t="s">
        <v>5427</v>
      </c>
      <c r="D2065" s="3" t="s">
        <v>5661</v>
      </c>
      <c r="E2065" s="3" t="s">
        <v>5679</v>
      </c>
      <c r="F2065" s="3" t="s">
        <v>16</v>
      </c>
      <c r="G2065" s="3"/>
      <c r="H2065" s="3" t="s">
        <v>27</v>
      </c>
      <c r="I2065" s="3"/>
      <c r="J2065" s="3" t="s">
        <v>19</v>
      </c>
      <c r="K2065" s="3" t="s">
        <v>20</v>
      </c>
      <c r="L2065" s="3"/>
    </row>
    <row r="2066" customFormat="false" ht="11.9" hidden="false" customHeight="true" outlineLevel="0" collapsed="false">
      <c r="A2066" s="2" t="str">
        <f aca="false">HYPERLINK("https://www.fabsurplus.com/sdi_catalog/salesItemDetails.do?id=34145")</f>
        <v>https://www.fabsurplus.com/sdi_catalog/salesItemDetails.do?id=34145</v>
      </c>
      <c r="B2066" s="2" t="s">
        <v>5680</v>
      </c>
      <c r="C2066" s="2" t="s">
        <v>5427</v>
      </c>
      <c r="D2066" s="2" t="s">
        <v>5661</v>
      </c>
      <c r="E2066" s="2" t="s">
        <v>5681</v>
      </c>
      <c r="F2066" s="2" t="s">
        <v>16</v>
      </c>
      <c r="G2066" s="2"/>
      <c r="H2066" s="2"/>
      <c r="I2066" s="2"/>
      <c r="J2066" s="2"/>
      <c r="K2066" s="2"/>
      <c r="L2066" s="2"/>
    </row>
    <row r="2067" customFormat="false" ht="11.9" hidden="false" customHeight="true" outlineLevel="0" collapsed="false">
      <c r="A2067" s="3" t="str">
        <f aca="false">HYPERLINK("https://www.fabsurplus.com/sdi_catalog/salesItemDetails.do?id=34147")</f>
        <v>https://www.fabsurplus.com/sdi_catalog/salesItemDetails.do?id=34147</v>
      </c>
      <c r="B2067" s="3" t="s">
        <v>5682</v>
      </c>
      <c r="C2067" s="3" t="s">
        <v>5427</v>
      </c>
      <c r="D2067" s="3" t="s">
        <v>5661</v>
      </c>
      <c r="E2067" s="3" t="s">
        <v>5683</v>
      </c>
      <c r="F2067" s="3" t="s">
        <v>16</v>
      </c>
      <c r="G2067" s="3"/>
      <c r="H2067" s="3"/>
      <c r="I2067" s="3"/>
      <c r="J2067" s="3"/>
      <c r="K2067" s="3"/>
      <c r="L2067" s="3"/>
    </row>
    <row r="2068" customFormat="false" ht="11.9" hidden="false" customHeight="true" outlineLevel="0" collapsed="false">
      <c r="A2068" s="2" t="str">
        <f aca="false">HYPERLINK("https://www.fabsurplus.com/sdi_catalog/salesItemDetails.do?id=34161")</f>
        <v>https://www.fabsurplus.com/sdi_catalog/salesItemDetails.do?id=34161</v>
      </c>
      <c r="B2068" s="2" t="s">
        <v>5684</v>
      </c>
      <c r="C2068" s="2" t="s">
        <v>5427</v>
      </c>
      <c r="D2068" s="2" t="s">
        <v>5661</v>
      </c>
      <c r="E2068" s="2" t="s">
        <v>5685</v>
      </c>
      <c r="F2068" s="2" t="s">
        <v>16</v>
      </c>
      <c r="G2068" s="2"/>
      <c r="H2068" s="2"/>
      <c r="I2068" s="2"/>
      <c r="J2068" s="2"/>
      <c r="K2068" s="2"/>
      <c r="L2068" s="2"/>
    </row>
    <row r="2069" customFormat="false" ht="11.9" hidden="false" customHeight="true" outlineLevel="0" collapsed="false">
      <c r="A2069" s="2" t="str">
        <f aca="false">HYPERLINK("https://www.fabsurplus.com/sdi_catalog/salesItemDetails.do?id=34167")</f>
        <v>https://www.fabsurplus.com/sdi_catalog/salesItemDetails.do?id=34167</v>
      </c>
      <c r="B2069" s="2" t="s">
        <v>5686</v>
      </c>
      <c r="C2069" s="2" t="s">
        <v>5427</v>
      </c>
      <c r="D2069" s="2" t="s">
        <v>5661</v>
      </c>
      <c r="E2069" s="2" t="s">
        <v>5687</v>
      </c>
      <c r="F2069" s="2" t="s">
        <v>16</v>
      </c>
      <c r="G2069" s="2"/>
      <c r="H2069" s="2"/>
      <c r="I2069" s="2"/>
      <c r="J2069" s="2"/>
      <c r="K2069" s="2"/>
      <c r="L2069" s="2"/>
    </row>
    <row r="2070" customFormat="false" ht="11.9" hidden="false" customHeight="true" outlineLevel="0" collapsed="false">
      <c r="A2070" s="2" t="str">
        <f aca="false">HYPERLINK("https://www.fabsurplus.com/sdi_catalog/salesItemDetails.do?id=34131")</f>
        <v>https://www.fabsurplus.com/sdi_catalog/salesItemDetails.do?id=34131</v>
      </c>
      <c r="B2070" s="2" t="s">
        <v>5688</v>
      </c>
      <c r="C2070" s="2" t="s">
        <v>5427</v>
      </c>
      <c r="D2070" s="2" t="s">
        <v>5661</v>
      </c>
      <c r="E2070" s="2" t="s">
        <v>5689</v>
      </c>
      <c r="F2070" s="2" t="s">
        <v>16</v>
      </c>
      <c r="G2070" s="2"/>
      <c r="H2070" s="2"/>
      <c r="I2070" s="2"/>
      <c r="J2070" s="2"/>
      <c r="K2070" s="2"/>
      <c r="L2070" s="2"/>
    </row>
    <row r="2071" customFormat="false" ht="11.9" hidden="false" customHeight="true" outlineLevel="0" collapsed="false">
      <c r="A2071" s="2" t="str">
        <f aca="false">HYPERLINK("https://www.fabsurplus.com/sdi_catalog/salesItemDetails.do?id=34121")</f>
        <v>https://www.fabsurplus.com/sdi_catalog/salesItemDetails.do?id=34121</v>
      </c>
      <c r="B2071" s="2" t="s">
        <v>5690</v>
      </c>
      <c r="C2071" s="2" t="s">
        <v>5427</v>
      </c>
      <c r="D2071" s="2" t="s">
        <v>5661</v>
      </c>
      <c r="E2071" s="2" t="s">
        <v>5691</v>
      </c>
      <c r="F2071" s="2" t="s">
        <v>16</v>
      </c>
      <c r="G2071" s="2"/>
      <c r="H2071" s="2" t="s">
        <v>27</v>
      </c>
      <c r="I2071" s="2"/>
      <c r="J2071" s="2" t="s">
        <v>19</v>
      </c>
      <c r="K2071" s="2" t="s">
        <v>20</v>
      </c>
      <c r="L2071" s="6" t="s">
        <v>5692</v>
      </c>
    </row>
    <row r="2072" customFormat="false" ht="11.9" hidden="false" customHeight="true" outlineLevel="0" collapsed="false">
      <c r="A2072" s="2" t="str">
        <f aca="false">HYPERLINK("https://www.fabsurplus.com/sdi_catalog/salesItemDetails.do?id=34163")</f>
        <v>https://www.fabsurplus.com/sdi_catalog/salesItemDetails.do?id=34163</v>
      </c>
      <c r="B2072" s="2" t="s">
        <v>5693</v>
      </c>
      <c r="C2072" s="2" t="s">
        <v>5427</v>
      </c>
      <c r="D2072" s="2" t="s">
        <v>5661</v>
      </c>
      <c r="E2072" s="2" t="s">
        <v>5694</v>
      </c>
      <c r="F2072" s="2" t="s">
        <v>16</v>
      </c>
      <c r="G2072" s="2"/>
      <c r="H2072" s="2"/>
      <c r="I2072" s="2"/>
      <c r="J2072" s="2"/>
      <c r="K2072" s="2"/>
      <c r="L2072" s="2"/>
    </row>
    <row r="2073" customFormat="false" ht="11.9" hidden="false" customHeight="true" outlineLevel="0" collapsed="false">
      <c r="A2073" s="3" t="str">
        <f aca="false">HYPERLINK("https://www.fabsurplus.com/sdi_catalog/salesItemDetails.do?id=34119")</f>
        <v>https://www.fabsurplus.com/sdi_catalog/salesItemDetails.do?id=34119</v>
      </c>
      <c r="B2073" s="3" t="s">
        <v>5695</v>
      </c>
      <c r="C2073" s="3" t="s">
        <v>5427</v>
      </c>
      <c r="D2073" s="3" t="s">
        <v>5696</v>
      </c>
      <c r="E2073" s="3" t="s">
        <v>5697</v>
      </c>
      <c r="F2073" s="3" t="s">
        <v>16</v>
      </c>
      <c r="G2073" s="3" t="s">
        <v>26</v>
      </c>
      <c r="H2073" s="3"/>
      <c r="I2073" s="3"/>
      <c r="J2073" s="3"/>
      <c r="K2073" s="3"/>
      <c r="L2073" s="3"/>
    </row>
    <row r="2074" customFormat="false" ht="11.9" hidden="false" customHeight="true" outlineLevel="0" collapsed="false">
      <c r="A2074" s="3" t="str">
        <f aca="false">HYPERLINK("https://www.fabsurplus.com/sdi_catalog/salesItemDetails.do?id=31618")</f>
        <v>https://www.fabsurplus.com/sdi_catalog/salesItemDetails.do?id=31618</v>
      </c>
      <c r="B2074" s="3" t="s">
        <v>5698</v>
      </c>
      <c r="C2074" s="3" t="s">
        <v>5427</v>
      </c>
      <c r="D2074" s="3" t="s">
        <v>5699</v>
      </c>
      <c r="E2074" s="3" t="s">
        <v>5700</v>
      </c>
      <c r="F2074" s="3" t="s">
        <v>5109</v>
      </c>
      <c r="G2074" s="3"/>
      <c r="H2074" s="3"/>
      <c r="I2074" s="3"/>
      <c r="J2074" s="3"/>
      <c r="K2074" s="3"/>
      <c r="L2074" s="3"/>
    </row>
    <row r="2075" customFormat="false" ht="11.9" hidden="false" customHeight="true" outlineLevel="0" collapsed="false">
      <c r="A2075" s="3" t="str">
        <f aca="false">HYPERLINK("https://www.fabsurplus.com/sdi_catalog/salesItemDetails.do?id=31631")</f>
        <v>https://www.fabsurplus.com/sdi_catalog/salesItemDetails.do?id=31631</v>
      </c>
      <c r="B2075" s="3" t="s">
        <v>5701</v>
      </c>
      <c r="C2075" s="3" t="s">
        <v>5427</v>
      </c>
      <c r="D2075" s="3" t="s">
        <v>5699</v>
      </c>
      <c r="E2075" s="3" t="s">
        <v>5702</v>
      </c>
      <c r="F2075" s="3" t="s">
        <v>16</v>
      </c>
      <c r="G2075" s="3"/>
      <c r="H2075" s="3"/>
      <c r="I2075" s="3"/>
      <c r="J2075" s="3"/>
      <c r="K2075" s="3"/>
      <c r="L2075" s="3"/>
    </row>
    <row r="2076" customFormat="false" ht="11.9" hidden="false" customHeight="true" outlineLevel="0" collapsed="false">
      <c r="A2076" s="2" t="str">
        <f aca="false">HYPERLINK("https://www.fabsurplus.com/sdi_catalog/salesItemDetails.do?id=31626")</f>
        <v>https://www.fabsurplus.com/sdi_catalog/salesItemDetails.do?id=31626</v>
      </c>
      <c r="B2076" s="2" t="s">
        <v>5703</v>
      </c>
      <c r="C2076" s="2" t="s">
        <v>5427</v>
      </c>
      <c r="D2076" s="2" t="s">
        <v>5699</v>
      </c>
      <c r="E2076" s="2" t="s">
        <v>5704</v>
      </c>
      <c r="F2076" s="2" t="s">
        <v>16</v>
      </c>
      <c r="G2076" s="2"/>
      <c r="H2076" s="2"/>
      <c r="I2076" s="2"/>
      <c r="J2076" s="2"/>
      <c r="K2076" s="2"/>
      <c r="L2076" s="2"/>
    </row>
    <row r="2077" customFormat="false" ht="11.9" hidden="false" customHeight="true" outlineLevel="0" collapsed="false">
      <c r="A2077" s="2" t="str">
        <f aca="false">HYPERLINK("https://www.fabsurplus.com/sdi_catalog/salesItemDetails.do?id=31632")</f>
        <v>https://www.fabsurplus.com/sdi_catalog/salesItemDetails.do?id=31632</v>
      </c>
      <c r="B2077" s="2" t="s">
        <v>5705</v>
      </c>
      <c r="C2077" s="2" t="s">
        <v>5427</v>
      </c>
      <c r="D2077" s="2" t="s">
        <v>5699</v>
      </c>
      <c r="E2077" s="2" t="s">
        <v>5706</v>
      </c>
      <c r="F2077" s="2" t="s">
        <v>16</v>
      </c>
      <c r="G2077" s="2"/>
      <c r="H2077" s="2"/>
      <c r="I2077" s="2"/>
      <c r="J2077" s="2"/>
      <c r="K2077" s="2"/>
      <c r="L2077" s="2"/>
    </row>
    <row r="2078" customFormat="false" ht="11.9" hidden="false" customHeight="true" outlineLevel="0" collapsed="false">
      <c r="A2078" s="3" t="str">
        <f aca="false">HYPERLINK("https://www.fabsurplus.com/sdi_catalog/salesItemDetails.do?id=31629")</f>
        <v>https://www.fabsurplus.com/sdi_catalog/salesItemDetails.do?id=31629</v>
      </c>
      <c r="B2078" s="3" t="s">
        <v>5707</v>
      </c>
      <c r="C2078" s="3" t="s">
        <v>5427</v>
      </c>
      <c r="D2078" s="3" t="s">
        <v>5699</v>
      </c>
      <c r="E2078" s="3" t="s">
        <v>5708</v>
      </c>
      <c r="F2078" s="3" t="s">
        <v>16</v>
      </c>
      <c r="G2078" s="3"/>
      <c r="H2078" s="3"/>
      <c r="I2078" s="3"/>
      <c r="J2078" s="3"/>
      <c r="K2078" s="3"/>
      <c r="L2078" s="3" t="s">
        <v>5709</v>
      </c>
    </row>
    <row r="2079" customFormat="false" ht="11.9" hidden="false" customHeight="true" outlineLevel="0" collapsed="false">
      <c r="A2079" s="3" t="str">
        <f aca="false">HYPERLINK("https://www.fabsurplus.com/sdi_catalog/salesItemDetails.do?id=31625")</f>
        <v>https://www.fabsurplus.com/sdi_catalog/salesItemDetails.do?id=31625</v>
      </c>
      <c r="B2079" s="3" t="s">
        <v>5710</v>
      </c>
      <c r="C2079" s="3" t="s">
        <v>5427</v>
      </c>
      <c r="D2079" s="3" t="s">
        <v>5699</v>
      </c>
      <c r="E2079" s="3" t="s">
        <v>5711</v>
      </c>
      <c r="F2079" s="3" t="s">
        <v>5109</v>
      </c>
      <c r="G2079" s="3"/>
      <c r="H2079" s="3"/>
      <c r="I2079" s="3"/>
      <c r="J2079" s="3"/>
      <c r="K2079" s="3"/>
      <c r="L2079" s="3"/>
    </row>
    <row r="2080" customFormat="false" ht="11.9" hidden="false" customHeight="true" outlineLevel="0" collapsed="false">
      <c r="A2080" s="2" t="str">
        <f aca="false">HYPERLINK("https://www.fabsurplus.com/sdi_catalog/salesItemDetails.do?id=31624")</f>
        <v>https://www.fabsurplus.com/sdi_catalog/salesItemDetails.do?id=31624</v>
      </c>
      <c r="B2080" s="2" t="s">
        <v>5712</v>
      </c>
      <c r="C2080" s="2" t="s">
        <v>5427</v>
      </c>
      <c r="D2080" s="2" t="s">
        <v>5699</v>
      </c>
      <c r="E2080" s="2" t="s">
        <v>5713</v>
      </c>
      <c r="F2080" s="2" t="s">
        <v>5714</v>
      </c>
      <c r="G2080" s="2"/>
      <c r="H2080" s="2"/>
      <c r="I2080" s="2"/>
      <c r="J2080" s="2"/>
      <c r="K2080" s="2"/>
      <c r="L2080" s="2"/>
    </row>
    <row r="2081" customFormat="false" ht="11.9" hidden="false" customHeight="true" outlineLevel="0" collapsed="false">
      <c r="A2081" s="2" t="str">
        <f aca="false">HYPERLINK("https://www.fabsurplus.com/sdi_catalog/salesItemDetails.do?id=31620")</f>
        <v>https://www.fabsurplus.com/sdi_catalog/salesItemDetails.do?id=31620</v>
      </c>
      <c r="B2081" s="2" t="s">
        <v>5715</v>
      </c>
      <c r="C2081" s="2" t="s">
        <v>5427</v>
      </c>
      <c r="D2081" s="2" t="s">
        <v>5699</v>
      </c>
      <c r="E2081" s="2" t="s">
        <v>5716</v>
      </c>
      <c r="F2081" s="2" t="s">
        <v>77</v>
      </c>
      <c r="G2081" s="2" t="s">
        <v>26</v>
      </c>
      <c r="H2081" s="2" t="s">
        <v>1691</v>
      </c>
      <c r="I2081" s="2"/>
      <c r="J2081" s="2" t="s">
        <v>19</v>
      </c>
      <c r="K2081" s="2" t="s">
        <v>20</v>
      </c>
      <c r="L2081" s="6" t="s">
        <v>5717</v>
      </c>
    </row>
    <row r="2082" customFormat="false" ht="11.9" hidden="false" customHeight="true" outlineLevel="0" collapsed="false">
      <c r="A2082" s="3" t="str">
        <f aca="false">HYPERLINK("https://www.fabsurplus.com/sdi_catalog/salesItemDetails.do?id=31621")</f>
        <v>https://www.fabsurplus.com/sdi_catalog/salesItemDetails.do?id=31621</v>
      </c>
      <c r="B2082" s="3" t="s">
        <v>5718</v>
      </c>
      <c r="C2082" s="3" t="s">
        <v>5427</v>
      </c>
      <c r="D2082" s="3" t="s">
        <v>5699</v>
      </c>
      <c r="E2082" s="3" t="s">
        <v>5719</v>
      </c>
      <c r="F2082" s="3" t="s">
        <v>16</v>
      </c>
      <c r="G2082" s="3"/>
      <c r="H2082" s="3"/>
      <c r="I2082" s="3"/>
      <c r="J2082" s="3"/>
      <c r="K2082" s="3"/>
      <c r="L2082" s="3"/>
    </row>
    <row r="2083" customFormat="false" ht="11.9" hidden="false" customHeight="true" outlineLevel="0" collapsed="false">
      <c r="A2083" s="2" t="str">
        <f aca="false">HYPERLINK("https://www.fabsurplus.com/sdi_catalog/salesItemDetails.do?id=31622")</f>
        <v>https://www.fabsurplus.com/sdi_catalog/salesItemDetails.do?id=31622</v>
      </c>
      <c r="B2083" s="2" t="s">
        <v>5720</v>
      </c>
      <c r="C2083" s="2" t="s">
        <v>5427</v>
      </c>
      <c r="D2083" s="2" t="s">
        <v>5699</v>
      </c>
      <c r="E2083" s="2" t="s">
        <v>5721</v>
      </c>
      <c r="F2083" s="2" t="s">
        <v>77</v>
      </c>
      <c r="G2083" s="2"/>
      <c r="H2083" s="2"/>
      <c r="I2083" s="2"/>
      <c r="J2083" s="2"/>
      <c r="K2083" s="2"/>
      <c r="L2083" s="2"/>
    </row>
    <row r="2084" customFormat="false" ht="11.9" hidden="false" customHeight="true" outlineLevel="0" collapsed="false">
      <c r="A2084" s="3" t="str">
        <f aca="false">HYPERLINK("https://www.fabsurplus.com/sdi_catalog/salesItemDetails.do?id=31627")</f>
        <v>https://www.fabsurplus.com/sdi_catalog/salesItemDetails.do?id=31627</v>
      </c>
      <c r="B2084" s="3" t="s">
        <v>5722</v>
      </c>
      <c r="C2084" s="3" t="s">
        <v>5427</v>
      </c>
      <c r="D2084" s="3" t="s">
        <v>5699</v>
      </c>
      <c r="E2084" s="3" t="s">
        <v>5723</v>
      </c>
      <c r="F2084" s="3" t="s">
        <v>77</v>
      </c>
      <c r="G2084" s="3"/>
      <c r="H2084" s="3"/>
      <c r="I2084" s="3"/>
      <c r="J2084" s="3"/>
      <c r="K2084" s="3"/>
      <c r="L2084" s="3" t="s">
        <v>5724</v>
      </c>
    </row>
    <row r="2085" customFormat="false" ht="11.9" hidden="false" customHeight="true" outlineLevel="0" collapsed="false">
      <c r="A2085" s="2" t="str">
        <f aca="false">HYPERLINK("https://www.fabsurplus.com/sdi_catalog/salesItemDetails.do?id=31628")</f>
        <v>https://www.fabsurplus.com/sdi_catalog/salesItemDetails.do?id=31628</v>
      </c>
      <c r="B2085" s="2" t="s">
        <v>5725</v>
      </c>
      <c r="C2085" s="2" t="s">
        <v>5427</v>
      </c>
      <c r="D2085" s="2" t="s">
        <v>5699</v>
      </c>
      <c r="E2085" s="2" t="s">
        <v>5726</v>
      </c>
      <c r="F2085" s="2" t="s">
        <v>77</v>
      </c>
      <c r="G2085" s="2"/>
      <c r="H2085" s="2"/>
      <c r="I2085" s="2"/>
      <c r="J2085" s="2"/>
      <c r="K2085" s="2"/>
      <c r="L2085" s="2"/>
    </row>
    <row r="2086" customFormat="false" ht="11.9" hidden="false" customHeight="true" outlineLevel="0" collapsed="false">
      <c r="A2086" s="2" t="str">
        <f aca="false">HYPERLINK("https://www.fabsurplus.com/sdi_catalog/salesItemDetails.do?id=31630")</f>
        <v>https://www.fabsurplus.com/sdi_catalog/salesItemDetails.do?id=31630</v>
      </c>
      <c r="B2086" s="2" t="s">
        <v>5727</v>
      </c>
      <c r="C2086" s="2" t="s">
        <v>5427</v>
      </c>
      <c r="D2086" s="2" t="s">
        <v>5699</v>
      </c>
      <c r="E2086" s="2" t="s">
        <v>5728</v>
      </c>
      <c r="F2086" s="2" t="s">
        <v>16</v>
      </c>
      <c r="G2086" s="2"/>
      <c r="H2086" s="2"/>
      <c r="I2086" s="2"/>
      <c r="J2086" s="2"/>
      <c r="K2086" s="2"/>
      <c r="L2086" s="2"/>
    </row>
    <row r="2087" customFormat="false" ht="11.9" hidden="false" customHeight="true" outlineLevel="0" collapsed="false">
      <c r="A2087" s="2" t="str">
        <f aca="false">HYPERLINK("https://www.fabsurplus.com/sdi_catalog/salesItemDetails.do?id=31614")</f>
        <v>https://www.fabsurplus.com/sdi_catalog/salesItemDetails.do?id=31614</v>
      </c>
      <c r="B2087" s="2" t="s">
        <v>5729</v>
      </c>
      <c r="C2087" s="2" t="s">
        <v>5427</v>
      </c>
      <c r="D2087" s="2" t="s">
        <v>5699</v>
      </c>
      <c r="E2087" s="2" t="s">
        <v>5730</v>
      </c>
      <c r="F2087" s="2" t="s">
        <v>77</v>
      </c>
      <c r="G2087" s="2"/>
      <c r="H2087" s="2"/>
      <c r="I2087" s="2"/>
      <c r="J2087" s="2"/>
      <c r="K2087" s="2"/>
      <c r="L2087" s="2" t="s">
        <v>5731</v>
      </c>
    </row>
    <row r="2088" customFormat="false" ht="11.9" hidden="false" customHeight="true" outlineLevel="0" collapsed="false">
      <c r="A2088" s="3" t="str">
        <f aca="false">HYPERLINK("https://www.fabsurplus.com/sdi_catalog/salesItemDetails.do?id=31633")</f>
        <v>https://www.fabsurplus.com/sdi_catalog/salesItemDetails.do?id=31633</v>
      </c>
      <c r="B2088" s="3" t="s">
        <v>5732</v>
      </c>
      <c r="C2088" s="3" t="s">
        <v>5427</v>
      </c>
      <c r="D2088" s="3" t="s">
        <v>5699</v>
      </c>
      <c r="E2088" s="3" t="s">
        <v>5733</v>
      </c>
      <c r="F2088" s="3" t="s">
        <v>16</v>
      </c>
      <c r="G2088" s="3"/>
      <c r="H2088" s="3"/>
      <c r="I2088" s="3"/>
      <c r="J2088" s="3"/>
      <c r="K2088" s="3"/>
      <c r="L2088" s="3" t="s">
        <v>5734</v>
      </c>
    </row>
    <row r="2089" customFormat="false" ht="11.9" hidden="false" customHeight="true" outlineLevel="0" collapsed="false">
      <c r="A2089" s="2" t="str">
        <f aca="false">HYPERLINK("https://www.fabsurplus.com/sdi_catalog/salesItemDetails.do?id=31616")</f>
        <v>https://www.fabsurplus.com/sdi_catalog/salesItemDetails.do?id=31616</v>
      </c>
      <c r="B2089" s="2" t="s">
        <v>5735</v>
      </c>
      <c r="C2089" s="2" t="s">
        <v>5427</v>
      </c>
      <c r="D2089" s="2" t="s">
        <v>5699</v>
      </c>
      <c r="E2089" s="2" t="s">
        <v>5736</v>
      </c>
      <c r="F2089" s="2" t="s">
        <v>77</v>
      </c>
      <c r="G2089" s="2"/>
      <c r="H2089" s="2"/>
      <c r="I2089" s="7" t="n">
        <v>36891.9583333333</v>
      </c>
      <c r="J2089" s="2"/>
      <c r="K2089" s="2"/>
      <c r="L2089" s="2"/>
    </row>
    <row r="2090" customFormat="false" ht="11.9" hidden="false" customHeight="true" outlineLevel="0" collapsed="false">
      <c r="A2090" s="3" t="str">
        <f aca="false">HYPERLINK("https://www.fabsurplus.com/sdi_catalog/salesItemDetails.do?id=31623")</f>
        <v>https://www.fabsurplus.com/sdi_catalog/salesItemDetails.do?id=31623</v>
      </c>
      <c r="B2090" s="3" t="s">
        <v>5737</v>
      </c>
      <c r="C2090" s="3" t="s">
        <v>5427</v>
      </c>
      <c r="D2090" s="3" t="s">
        <v>5699</v>
      </c>
      <c r="E2090" s="3" t="s">
        <v>5738</v>
      </c>
      <c r="F2090" s="3" t="s">
        <v>16</v>
      </c>
      <c r="G2090" s="3"/>
      <c r="H2090" s="3"/>
      <c r="I2090" s="3"/>
      <c r="J2090" s="3"/>
      <c r="K2090" s="3"/>
      <c r="L2090" s="3"/>
    </row>
    <row r="2091" customFormat="false" ht="11.9" hidden="false" customHeight="true" outlineLevel="0" collapsed="false">
      <c r="A2091" s="3" t="str">
        <f aca="false">HYPERLINK("https://www.fabsurplus.com/sdi_catalog/salesItemDetails.do?id=31615")</f>
        <v>https://www.fabsurplus.com/sdi_catalog/salesItemDetails.do?id=31615</v>
      </c>
      <c r="B2091" s="3" t="s">
        <v>5739</v>
      </c>
      <c r="C2091" s="3" t="s">
        <v>5427</v>
      </c>
      <c r="D2091" s="3" t="s">
        <v>5740</v>
      </c>
      <c r="E2091" s="3" t="s">
        <v>5741</v>
      </c>
      <c r="F2091" s="3" t="s">
        <v>16</v>
      </c>
      <c r="G2091" s="3" t="s">
        <v>17</v>
      </c>
      <c r="H2091" s="3" t="s">
        <v>18</v>
      </c>
      <c r="I2091" s="3"/>
      <c r="J2091" s="3" t="s">
        <v>19</v>
      </c>
      <c r="K2091" s="3" t="s">
        <v>20</v>
      </c>
      <c r="L2091" s="5" t="s">
        <v>5742</v>
      </c>
    </row>
    <row r="2092" customFormat="false" ht="11.9" hidden="false" customHeight="true" outlineLevel="0" collapsed="false">
      <c r="A2092" s="3" t="str">
        <f aca="false">HYPERLINK("https://www.fabsurplus.com/sdi_catalog/salesItemDetails.do?id=109075")</f>
        <v>https://www.fabsurplus.com/sdi_catalog/salesItemDetails.do?id=109075</v>
      </c>
      <c r="B2092" s="3" t="s">
        <v>5743</v>
      </c>
      <c r="C2092" s="3" t="s">
        <v>5427</v>
      </c>
      <c r="D2092" s="3" t="s">
        <v>5744</v>
      </c>
      <c r="E2092" s="3" t="s">
        <v>5745</v>
      </c>
      <c r="F2092" s="3" t="s">
        <v>16</v>
      </c>
      <c r="G2092" s="3" t="s">
        <v>17</v>
      </c>
      <c r="H2092" s="3" t="s">
        <v>35</v>
      </c>
      <c r="I2092" s="4" t="n">
        <v>39387</v>
      </c>
      <c r="J2092" s="3" t="s">
        <v>19</v>
      </c>
      <c r="K2092" s="3" t="s">
        <v>20</v>
      </c>
      <c r="L2092" s="5" t="s">
        <v>5746</v>
      </c>
    </row>
    <row r="2093" customFormat="false" ht="11.9" hidden="false" customHeight="true" outlineLevel="0" collapsed="false">
      <c r="A2093" s="2" t="str">
        <f aca="false">HYPERLINK("https://www.fabsurplus.com/sdi_catalog/salesItemDetails.do?id=34118")</f>
        <v>https://www.fabsurplus.com/sdi_catalog/salesItemDetails.do?id=34118</v>
      </c>
      <c r="B2093" s="2" t="s">
        <v>5747</v>
      </c>
      <c r="C2093" s="2" t="s">
        <v>5427</v>
      </c>
      <c r="D2093" s="2" t="s">
        <v>5748</v>
      </c>
      <c r="E2093" s="2" t="s">
        <v>5749</v>
      </c>
      <c r="F2093" s="2" t="s">
        <v>16</v>
      </c>
      <c r="G2093" s="2"/>
      <c r="H2093" s="2"/>
      <c r="I2093" s="2"/>
      <c r="J2093" s="2"/>
      <c r="K2093" s="2"/>
      <c r="L2093" s="2"/>
    </row>
    <row r="2094" customFormat="false" ht="11.9" hidden="false" customHeight="true" outlineLevel="0" collapsed="false">
      <c r="A2094" s="3" t="str">
        <f aca="false">HYPERLINK("https://www.fabsurplus.com/sdi_catalog/salesItemDetails.do?id=27804")</f>
        <v>https://www.fabsurplus.com/sdi_catalog/salesItemDetails.do?id=27804</v>
      </c>
      <c r="B2094" s="3" t="s">
        <v>5750</v>
      </c>
      <c r="C2094" s="3" t="s">
        <v>5427</v>
      </c>
      <c r="D2094" s="3" t="s">
        <v>5751</v>
      </c>
      <c r="E2094" s="3" t="s">
        <v>5752</v>
      </c>
      <c r="F2094" s="3" t="s">
        <v>16</v>
      </c>
      <c r="G2094" s="3" t="s">
        <v>17</v>
      </c>
      <c r="H2094" s="3" t="s">
        <v>27</v>
      </c>
      <c r="I2094" s="3"/>
      <c r="J2094" s="3" t="s">
        <v>19</v>
      </c>
      <c r="K2094" s="3" t="s">
        <v>20</v>
      </c>
      <c r="L2094" s="5" t="s">
        <v>5753</v>
      </c>
    </row>
    <row r="2095" customFormat="false" ht="11.9" hidden="false" customHeight="true" outlineLevel="0" collapsed="false">
      <c r="A2095" s="2" t="str">
        <f aca="false">HYPERLINK("https://www.fabsurplus.com/sdi_catalog/salesItemDetails.do?id=4290")</f>
        <v>https://www.fabsurplus.com/sdi_catalog/salesItemDetails.do?id=4290</v>
      </c>
      <c r="B2095" s="2" t="s">
        <v>5754</v>
      </c>
      <c r="C2095" s="2" t="s">
        <v>5427</v>
      </c>
      <c r="D2095" s="2" t="s">
        <v>5755</v>
      </c>
      <c r="E2095" s="2" t="s">
        <v>5756</v>
      </c>
      <c r="F2095" s="2" t="s">
        <v>16</v>
      </c>
      <c r="G2095" s="2" t="s">
        <v>26</v>
      </c>
      <c r="H2095" s="2" t="s">
        <v>35</v>
      </c>
      <c r="I2095" s="7" t="n">
        <v>33208</v>
      </c>
      <c r="J2095" s="2" t="s">
        <v>19</v>
      </c>
      <c r="K2095" s="2" t="s">
        <v>20</v>
      </c>
      <c r="L2095" s="6" t="s">
        <v>5757</v>
      </c>
    </row>
    <row r="2096" customFormat="false" ht="11.9" hidden="false" customHeight="true" outlineLevel="0" collapsed="false">
      <c r="A2096" s="2" t="str">
        <f aca="false">HYPERLINK("https://www.fabsurplus.com/sdi_catalog/salesItemDetails.do?id=86672")</f>
        <v>https://www.fabsurplus.com/sdi_catalog/salesItemDetails.do?id=86672</v>
      </c>
      <c r="B2096" s="2" t="s">
        <v>5758</v>
      </c>
      <c r="C2096" s="2" t="s">
        <v>5759</v>
      </c>
      <c r="D2096" s="2" t="s">
        <v>5760</v>
      </c>
      <c r="E2096" s="2" t="s">
        <v>5761</v>
      </c>
      <c r="F2096" s="2" t="s">
        <v>16</v>
      </c>
      <c r="G2096" s="2" t="s">
        <v>26</v>
      </c>
      <c r="H2096" s="2" t="s">
        <v>27</v>
      </c>
      <c r="I2096" s="2"/>
      <c r="J2096" s="2" t="s">
        <v>19</v>
      </c>
      <c r="K2096" s="2" t="s">
        <v>20</v>
      </c>
      <c r="L2096" s="2" t="s">
        <v>5582</v>
      </c>
    </row>
    <row r="2097" customFormat="false" ht="11.9" hidden="false" customHeight="true" outlineLevel="0" collapsed="false">
      <c r="A2097" s="3" t="str">
        <f aca="false">HYPERLINK("https://www.fabsurplus.com/sdi_catalog/salesItemDetails.do?id=95117")</f>
        <v>https://www.fabsurplus.com/sdi_catalog/salesItemDetails.do?id=95117</v>
      </c>
      <c r="B2097" s="3" t="s">
        <v>5762</v>
      </c>
      <c r="C2097" s="3" t="s">
        <v>5763</v>
      </c>
      <c r="D2097" s="3" t="s">
        <v>5764</v>
      </c>
      <c r="E2097" s="3" t="s">
        <v>5765</v>
      </c>
      <c r="F2097" s="3" t="s">
        <v>77</v>
      </c>
      <c r="G2097" s="3" t="s">
        <v>41</v>
      </c>
      <c r="H2097" s="3" t="s">
        <v>27</v>
      </c>
      <c r="I2097" s="3"/>
      <c r="J2097" s="3" t="s">
        <v>19</v>
      </c>
      <c r="K2097" s="3" t="s">
        <v>20</v>
      </c>
      <c r="L2097" s="5" t="s">
        <v>5766</v>
      </c>
    </row>
    <row r="2098" customFormat="false" ht="11.9" hidden="false" customHeight="true" outlineLevel="0" collapsed="false">
      <c r="A2098" s="2" t="str">
        <f aca="false">HYPERLINK("https://www.fabsurplus.com/sdi_catalog/salesItemDetails.do?id=34117")</f>
        <v>https://www.fabsurplus.com/sdi_catalog/salesItemDetails.do?id=34117</v>
      </c>
      <c r="B2098" s="2" t="s">
        <v>5767</v>
      </c>
      <c r="C2098" s="2" t="s">
        <v>5768</v>
      </c>
      <c r="D2098" s="2" t="s">
        <v>5658</v>
      </c>
      <c r="E2098" s="2" t="s">
        <v>5769</v>
      </c>
      <c r="F2098" s="2" t="s">
        <v>16</v>
      </c>
      <c r="G2098" s="2" t="s">
        <v>41</v>
      </c>
      <c r="H2098" s="2" t="s">
        <v>27</v>
      </c>
      <c r="I2098" s="7" t="n">
        <v>34943</v>
      </c>
      <c r="J2098" s="2"/>
      <c r="K2098" s="2" t="s">
        <v>20</v>
      </c>
      <c r="L2098" s="6" t="s">
        <v>5770</v>
      </c>
    </row>
    <row r="2099" customFormat="false" ht="11.9" hidden="false" customHeight="true" outlineLevel="0" collapsed="false">
      <c r="A2099" s="2" t="str">
        <f aca="false">HYPERLINK("https://www.fabsurplus.com/sdi_catalog/salesItemDetails.do?id=34137")</f>
        <v>https://www.fabsurplus.com/sdi_catalog/salesItemDetails.do?id=34137</v>
      </c>
      <c r="B2099" s="2" t="s">
        <v>5771</v>
      </c>
      <c r="C2099" s="2" t="s">
        <v>5772</v>
      </c>
      <c r="D2099" s="2" t="s">
        <v>5661</v>
      </c>
      <c r="E2099" s="2" t="s">
        <v>5773</v>
      </c>
      <c r="F2099" s="2" t="s">
        <v>16</v>
      </c>
      <c r="G2099" s="2" t="s">
        <v>41</v>
      </c>
      <c r="H2099" s="2" t="s">
        <v>27</v>
      </c>
      <c r="I2099" s="2"/>
      <c r="J2099" s="2" t="s">
        <v>19</v>
      </c>
      <c r="K2099" s="2" t="s">
        <v>20</v>
      </c>
      <c r="L2099" s="6" t="s">
        <v>5774</v>
      </c>
    </row>
    <row r="2100" customFormat="false" ht="11.9" hidden="false" customHeight="true" outlineLevel="0" collapsed="false">
      <c r="A2100" s="3" t="str">
        <f aca="false">HYPERLINK("https://www.fabsurplus.com/sdi_catalog/salesItemDetails.do?id=83562")</f>
        <v>https://www.fabsurplus.com/sdi_catalog/salesItemDetails.do?id=83562</v>
      </c>
      <c r="B2100" s="3" t="s">
        <v>5775</v>
      </c>
      <c r="C2100" s="3" t="s">
        <v>5768</v>
      </c>
      <c r="D2100" s="3" t="s">
        <v>5776</v>
      </c>
      <c r="E2100" s="3" t="s">
        <v>5777</v>
      </c>
      <c r="F2100" s="3" t="s">
        <v>16</v>
      </c>
      <c r="G2100" s="3" t="s">
        <v>26</v>
      </c>
      <c r="H2100" s="3" t="s">
        <v>27</v>
      </c>
      <c r="I2100" s="3"/>
      <c r="J2100" s="3" t="s">
        <v>19</v>
      </c>
      <c r="K2100" s="3" t="s">
        <v>20</v>
      </c>
      <c r="L2100" s="3"/>
    </row>
    <row r="2101" customFormat="false" ht="11.9" hidden="false" customHeight="true" outlineLevel="0" collapsed="false">
      <c r="A2101" s="3" t="str">
        <f aca="false">HYPERLINK("https://www.fabsurplus.com/sdi_catalog/salesItemDetails.do?id=34126")</f>
        <v>https://www.fabsurplus.com/sdi_catalog/salesItemDetails.do?id=34126</v>
      </c>
      <c r="B2101" s="3" t="s">
        <v>5778</v>
      </c>
      <c r="C2101" s="3" t="s">
        <v>5772</v>
      </c>
      <c r="D2101" s="3" t="s">
        <v>5779</v>
      </c>
      <c r="E2101" s="3" t="s">
        <v>5780</v>
      </c>
      <c r="F2101" s="3" t="s">
        <v>16</v>
      </c>
      <c r="G2101" s="3" t="s">
        <v>41</v>
      </c>
      <c r="H2101" s="3" t="s">
        <v>27</v>
      </c>
      <c r="I2101" s="3"/>
      <c r="J2101" s="3" t="s">
        <v>19</v>
      </c>
      <c r="K2101" s="3" t="s">
        <v>20</v>
      </c>
      <c r="L2101" s="3"/>
    </row>
    <row r="2102" customFormat="false" ht="11.9" hidden="false" customHeight="true" outlineLevel="0" collapsed="false">
      <c r="A2102" s="2" t="str">
        <f aca="false">HYPERLINK("https://www.fabsurplus.com/sdi_catalog/salesItemDetails.do?id=83624")</f>
        <v>https://www.fabsurplus.com/sdi_catalog/salesItemDetails.do?id=83624</v>
      </c>
      <c r="B2102" s="2" t="s">
        <v>5781</v>
      </c>
      <c r="C2102" s="2" t="s">
        <v>5772</v>
      </c>
      <c r="D2102" s="2" t="s">
        <v>5740</v>
      </c>
      <c r="E2102" s="2" t="s">
        <v>5782</v>
      </c>
      <c r="F2102" s="2" t="s">
        <v>16</v>
      </c>
      <c r="G2102" s="2" t="s">
        <v>41</v>
      </c>
      <c r="H2102" s="2" t="s">
        <v>1691</v>
      </c>
      <c r="I2102" s="7" t="n">
        <v>35947</v>
      </c>
      <c r="J2102" s="2" t="s">
        <v>19</v>
      </c>
      <c r="K2102" s="2" t="s">
        <v>20</v>
      </c>
      <c r="L2102" s="6" t="s">
        <v>5783</v>
      </c>
    </row>
    <row r="2103" customFormat="false" ht="11.9" hidden="false" customHeight="true" outlineLevel="0" collapsed="false">
      <c r="A2103" s="3" t="str">
        <f aca="false">HYPERLINK("https://www.fabsurplus.com/sdi_catalog/salesItemDetails.do?id=83572")</f>
        <v>https://www.fabsurplus.com/sdi_catalog/salesItemDetails.do?id=83572</v>
      </c>
      <c r="B2103" s="3" t="s">
        <v>5784</v>
      </c>
      <c r="C2103" s="3" t="s">
        <v>5785</v>
      </c>
      <c r="D2103" s="3" t="s">
        <v>5621</v>
      </c>
      <c r="E2103" s="3" t="s">
        <v>5786</v>
      </c>
      <c r="F2103" s="3" t="s">
        <v>16</v>
      </c>
      <c r="G2103" s="3" t="s">
        <v>41</v>
      </c>
      <c r="H2103" s="3" t="s">
        <v>27</v>
      </c>
      <c r="I2103" s="4" t="n">
        <v>35462</v>
      </c>
      <c r="J2103" s="3" t="s">
        <v>19</v>
      </c>
      <c r="K2103" s="3" t="s">
        <v>20</v>
      </c>
      <c r="L2103" s="5" t="s">
        <v>5787</v>
      </c>
    </row>
    <row r="2104" customFormat="false" ht="11.9" hidden="false" customHeight="true" outlineLevel="0" collapsed="false">
      <c r="A2104" s="2" t="str">
        <f aca="false">HYPERLINK("https://www.fabsurplus.com/sdi_catalog/salesItemDetails.do?id=83574")</f>
        <v>https://www.fabsurplus.com/sdi_catalog/salesItemDetails.do?id=83574</v>
      </c>
      <c r="B2104" s="2" t="s">
        <v>5788</v>
      </c>
      <c r="C2104" s="2" t="s">
        <v>5785</v>
      </c>
      <c r="D2104" s="2" t="s">
        <v>5621</v>
      </c>
      <c r="E2104" s="2" t="s">
        <v>5786</v>
      </c>
      <c r="F2104" s="2" t="s">
        <v>16</v>
      </c>
      <c r="G2104" s="2" t="s">
        <v>5789</v>
      </c>
      <c r="H2104" s="2" t="s">
        <v>27</v>
      </c>
      <c r="I2104" s="7" t="n">
        <v>35462</v>
      </c>
      <c r="J2104" s="2" t="s">
        <v>19</v>
      </c>
      <c r="K2104" s="2" t="s">
        <v>20</v>
      </c>
      <c r="L2104" s="6" t="s">
        <v>5790</v>
      </c>
    </row>
    <row r="2105" customFormat="false" ht="11.9" hidden="false" customHeight="true" outlineLevel="0" collapsed="false">
      <c r="A2105" s="2" t="str">
        <f aca="false">HYPERLINK("https://www.fabsurplus.com/sdi_catalog/salesItemDetails.do?id=83581")</f>
        <v>https://www.fabsurplus.com/sdi_catalog/salesItemDetails.do?id=83581</v>
      </c>
      <c r="B2105" s="2" t="s">
        <v>5791</v>
      </c>
      <c r="C2105" s="2" t="s">
        <v>5785</v>
      </c>
      <c r="D2105" s="2" t="s">
        <v>5792</v>
      </c>
      <c r="E2105" s="2" t="s">
        <v>5793</v>
      </c>
      <c r="F2105" s="2" t="s">
        <v>16</v>
      </c>
      <c r="G2105" s="2" t="s">
        <v>5794</v>
      </c>
      <c r="H2105" s="2" t="s">
        <v>27</v>
      </c>
      <c r="I2105" s="7" t="n">
        <v>35462</v>
      </c>
      <c r="J2105" s="2" t="s">
        <v>19</v>
      </c>
      <c r="K2105" s="2" t="s">
        <v>20</v>
      </c>
      <c r="L2105" s="6" t="s">
        <v>5795</v>
      </c>
    </row>
    <row r="2106" customFormat="false" ht="11.9" hidden="false" customHeight="true" outlineLevel="0" collapsed="false">
      <c r="A2106" s="3" t="str">
        <f aca="false">HYPERLINK("https://www.fabsurplus.com/sdi_catalog/salesItemDetails.do?id=27808")</f>
        <v>https://www.fabsurplus.com/sdi_catalog/salesItemDetails.do?id=27808</v>
      </c>
      <c r="B2106" s="3" t="s">
        <v>5796</v>
      </c>
      <c r="C2106" s="3" t="s">
        <v>5785</v>
      </c>
      <c r="D2106" s="3" t="s">
        <v>5797</v>
      </c>
      <c r="E2106" s="3" t="s">
        <v>5798</v>
      </c>
      <c r="F2106" s="3" t="s">
        <v>16</v>
      </c>
      <c r="G2106" s="3" t="s">
        <v>26</v>
      </c>
      <c r="H2106" s="3" t="s">
        <v>27</v>
      </c>
      <c r="I2106" s="3"/>
      <c r="J2106" s="3" t="s">
        <v>19</v>
      </c>
      <c r="K2106" s="3" t="s">
        <v>20</v>
      </c>
      <c r="L2106" s="5" t="s">
        <v>5799</v>
      </c>
    </row>
    <row r="2107" customFormat="false" ht="11.9" hidden="false" customHeight="true" outlineLevel="0" collapsed="false">
      <c r="A2107" s="2" t="str">
        <f aca="false">HYPERLINK("https://www.fabsurplus.com/sdi_catalog/salesItemDetails.do?id=83555")</f>
        <v>https://www.fabsurplus.com/sdi_catalog/salesItemDetails.do?id=83555</v>
      </c>
      <c r="B2107" s="2" t="s">
        <v>5800</v>
      </c>
      <c r="C2107" s="2" t="s">
        <v>5785</v>
      </c>
      <c r="D2107" s="2" t="s">
        <v>5801</v>
      </c>
      <c r="E2107" s="2" t="s">
        <v>5802</v>
      </c>
      <c r="F2107" s="2" t="s">
        <v>77</v>
      </c>
      <c r="G2107" s="2"/>
      <c r="H2107" s="2" t="s">
        <v>27</v>
      </c>
      <c r="I2107" s="2"/>
      <c r="J2107" s="2" t="s">
        <v>19</v>
      </c>
      <c r="K2107" s="2" t="s">
        <v>20</v>
      </c>
      <c r="L2107" s="6" t="s">
        <v>5803</v>
      </c>
    </row>
    <row r="2108" customFormat="false" ht="11.9" hidden="false" customHeight="true" outlineLevel="0" collapsed="false">
      <c r="A2108" s="3" t="str">
        <f aca="false">HYPERLINK("https://www.fabsurplus.com/sdi_catalog/salesItemDetails.do?id=83900")</f>
        <v>https://www.fabsurplus.com/sdi_catalog/salesItemDetails.do?id=83900</v>
      </c>
      <c r="B2108" s="3" t="s">
        <v>5804</v>
      </c>
      <c r="C2108" s="3" t="s">
        <v>5785</v>
      </c>
      <c r="D2108" s="3" t="s">
        <v>5658</v>
      </c>
      <c r="E2108" s="3" t="s">
        <v>5805</v>
      </c>
      <c r="F2108" s="3" t="s">
        <v>16</v>
      </c>
      <c r="G2108" s="3" t="s">
        <v>41</v>
      </c>
      <c r="H2108" s="3" t="s">
        <v>27</v>
      </c>
      <c r="I2108" s="3"/>
      <c r="J2108" s="3" t="s">
        <v>19</v>
      </c>
      <c r="K2108" s="3" t="s">
        <v>20</v>
      </c>
      <c r="L2108" s="5" t="s">
        <v>5806</v>
      </c>
    </row>
    <row r="2109" customFormat="false" ht="11.9" hidden="false" customHeight="true" outlineLevel="0" collapsed="false">
      <c r="A2109" s="3" t="str">
        <f aca="false">HYPERLINK("https://www.fabsurplus.com/sdi_catalog/salesItemDetails.do?id=83577")</f>
        <v>https://www.fabsurplus.com/sdi_catalog/salesItemDetails.do?id=83577</v>
      </c>
      <c r="B2109" s="3" t="s">
        <v>5807</v>
      </c>
      <c r="C2109" s="3" t="s">
        <v>5785</v>
      </c>
      <c r="D2109" s="3" t="s">
        <v>5808</v>
      </c>
      <c r="E2109" s="3" t="s">
        <v>5809</v>
      </c>
      <c r="F2109" s="3" t="s">
        <v>16</v>
      </c>
      <c r="G2109" s="3" t="s">
        <v>5810</v>
      </c>
      <c r="H2109" s="3" t="s">
        <v>27</v>
      </c>
      <c r="I2109" s="4" t="n">
        <v>36039</v>
      </c>
      <c r="J2109" s="3" t="s">
        <v>19</v>
      </c>
      <c r="K2109" s="3" t="s">
        <v>20</v>
      </c>
      <c r="L2109" s="5" t="s">
        <v>5811</v>
      </c>
    </row>
    <row r="2110" customFormat="false" ht="11.9" hidden="false" customHeight="true" outlineLevel="0" collapsed="false">
      <c r="A2110" s="3" t="str">
        <f aca="false">HYPERLINK("https://www.fabsurplus.com/sdi_catalog/salesItemDetails.do?id=34140")</f>
        <v>https://www.fabsurplus.com/sdi_catalog/salesItemDetails.do?id=34140</v>
      </c>
      <c r="B2110" s="3" t="s">
        <v>5812</v>
      </c>
      <c r="C2110" s="3" t="s">
        <v>5785</v>
      </c>
      <c r="D2110" s="3" t="s">
        <v>5813</v>
      </c>
      <c r="E2110" s="3" t="s">
        <v>5814</v>
      </c>
      <c r="F2110" s="3" t="s">
        <v>16</v>
      </c>
      <c r="G2110" s="3"/>
      <c r="H2110" s="3" t="s">
        <v>27</v>
      </c>
      <c r="I2110" s="3"/>
      <c r="J2110" s="3" t="s">
        <v>19</v>
      </c>
      <c r="K2110" s="3" t="s">
        <v>20</v>
      </c>
      <c r="L2110" s="5" t="s">
        <v>5815</v>
      </c>
    </row>
    <row r="2111" customFormat="false" ht="11.9" hidden="false" customHeight="true" outlineLevel="0" collapsed="false">
      <c r="A2111" s="2" t="str">
        <f aca="false">HYPERLINK("https://www.fabsurplus.com/sdi_catalog/salesItemDetails.do?id=83899")</f>
        <v>https://www.fabsurplus.com/sdi_catalog/salesItemDetails.do?id=83899</v>
      </c>
      <c r="B2111" s="2" t="s">
        <v>5816</v>
      </c>
      <c r="C2111" s="2" t="s">
        <v>5785</v>
      </c>
      <c r="D2111" s="2" t="s">
        <v>5776</v>
      </c>
      <c r="E2111" s="2" t="s">
        <v>5817</v>
      </c>
      <c r="F2111" s="2" t="s">
        <v>77</v>
      </c>
      <c r="G2111" s="2" t="s">
        <v>41</v>
      </c>
      <c r="H2111" s="2" t="s">
        <v>35</v>
      </c>
      <c r="I2111" s="2"/>
      <c r="J2111" s="2" t="s">
        <v>19</v>
      </c>
      <c r="K2111" s="2" t="s">
        <v>20</v>
      </c>
      <c r="L2111" s="6" t="s">
        <v>5818</v>
      </c>
    </row>
    <row r="2112" customFormat="false" ht="11.9" hidden="false" customHeight="true" outlineLevel="0" collapsed="false">
      <c r="A2112" s="3" t="str">
        <f aca="false">HYPERLINK("https://www.fabsurplus.com/sdi_catalog/salesItemDetails.do?id=83898")</f>
        <v>https://www.fabsurplus.com/sdi_catalog/salesItemDetails.do?id=83898</v>
      </c>
      <c r="B2112" s="3" t="s">
        <v>5819</v>
      </c>
      <c r="C2112" s="3" t="s">
        <v>5785</v>
      </c>
      <c r="D2112" s="3" t="s">
        <v>5776</v>
      </c>
      <c r="E2112" s="3" t="s">
        <v>5820</v>
      </c>
      <c r="F2112" s="3" t="s">
        <v>16</v>
      </c>
      <c r="G2112" s="3" t="s">
        <v>41</v>
      </c>
      <c r="H2112" s="3" t="s">
        <v>27</v>
      </c>
      <c r="I2112" s="3"/>
      <c r="J2112" s="3" t="s">
        <v>19</v>
      </c>
      <c r="K2112" s="3" t="s">
        <v>20</v>
      </c>
      <c r="L2112" s="5" t="s">
        <v>5821</v>
      </c>
    </row>
    <row r="2113" customFormat="false" ht="11.9" hidden="false" customHeight="true" outlineLevel="0" collapsed="false">
      <c r="A2113" s="2" t="str">
        <f aca="false">HYPERLINK("https://www.fabsurplus.com/sdi_catalog/salesItemDetails.do?id=83895")</f>
        <v>https://www.fabsurplus.com/sdi_catalog/salesItemDetails.do?id=83895</v>
      </c>
      <c r="B2113" s="2" t="s">
        <v>5822</v>
      </c>
      <c r="C2113" s="2" t="s">
        <v>5785</v>
      </c>
      <c r="D2113" s="2" t="s">
        <v>5776</v>
      </c>
      <c r="E2113" s="2" t="s">
        <v>5823</v>
      </c>
      <c r="F2113" s="2" t="s">
        <v>16</v>
      </c>
      <c r="G2113" s="2" t="s">
        <v>41</v>
      </c>
      <c r="H2113" s="2" t="s">
        <v>27</v>
      </c>
      <c r="I2113" s="7" t="n">
        <v>33755.9166666667</v>
      </c>
      <c r="J2113" s="2" t="s">
        <v>19</v>
      </c>
      <c r="K2113" s="2" t="s">
        <v>20</v>
      </c>
      <c r="L2113" s="6" t="s">
        <v>5824</v>
      </c>
    </row>
    <row r="2114" customFormat="false" ht="11.9" hidden="false" customHeight="true" outlineLevel="0" collapsed="false">
      <c r="A2114" s="2" t="str">
        <f aca="false">HYPERLINK("https://www.fabsurplus.com/sdi_catalog/salesItemDetails.do?id=31612")</f>
        <v>https://www.fabsurplus.com/sdi_catalog/salesItemDetails.do?id=31612</v>
      </c>
      <c r="B2114" s="2" t="s">
        <v>5825</v>
      </c>
      <c r="C2114" s="2" t="s">
        <v>5785</v>
      </c>
      <c r="D2114" s="2" t="s">
        <v>5699</v>
      </c>
      <c r="E2114" s="2" t="s">
        <v>5826</v>
      </c>
      <c r="F2114" s="2" t="s">
        <v>69</v>
      </c>
      <c r="G2114" s="2"/>
      <c r="H2114" s="2" t="s">
        <v>27</v>
      </c>
      <c r="I2114" s="2"/>
      <c r="J2114" s="2" t="s">
        <v>19</v>
      </c>
      <c r="K2114" s="2"/>
      <c r="L2114" s="2" t="s">
        <v>5827</v>
      </c>
    </row>
    <row r="2115" customFormat="false" ht="11.9" hidden="false" customHeight="true" outlineLevel="0" collapsed="false">
      <c r="A2115" s="3" t="str">
        <f aca="false">HYPERLINK("https://www.fabsurplus.com/sdi_catalog/salesItemDetails.do?id=21670")</f>
        <v>https://www.fabsurplus.com/sdi_catalog/salesItemDetails.do?id=21670</v>
      </c>
      <c r="B2115" s="3" t="s">
        <v>5828</v>
      </c>
      <c r="C2115" s="3" t="s">
        <v>5829</v>
      </c>
      <c r="D2115" s="3" t="s">
        <v>5830</v>
      </c>
      <c r="E2115" s="3" t="s">
        <v>5831</v>
      </c>
      <c r="F2115" s="3" t="s">
        <v>16</v>
      </c>
      <c r="G2115" s="3" t="s">
        <v>41</v>
      </c>
      <c r="H2115" s="3" t="s">
        <v>35</v>
      </c>
      <c r="I2115" s="4" t="n">
        <v>35096</v>
      </c>
      <c r="J2115" s="3" t="s">
        <v>42</v>
      </c>
      <c r="K2115" s="3" t="s">
        <v>20</v>
      </c>
      <c r="L2115" s="3" t="s">
        <v>5832</v>
      </c>
    </row>
    <row r="2116" customFormat="false" ht="11.9" hidden="false" customHeight="true" outlineLevel="0" collapsed="false">
      <c r="A2116" s="2" t="str">
        <f aca="false">HYPERLINK("https://www.fabsurplus.com/sdi_catalog/salesItemDetails.do?id=21671")</f>
        <v>https://www.fabsurplus.com/sdi_catalog/salesItemDetails.do?id=21671</v>
      </c>
      <c r="B2116" s="2" t="s">
        <v>5833</v>
      </c>
      <c r="C2116" s="2" t="s">
        <v>5829</v>
      </c>
      <c r="D2116" s="2" t="s">
        <v>5834</v>
      </c>
      <c r="E2116" s="2" t="s">
        <v>5835</v>
      </c>
      <c r="F2116" s="2" t="s">
        <v>16</v>
      </c>
      <c r="G2116" s="2" t="s">
        <v>41</v>
      </c>
      <c r="H2116" s="2" t="s">
        <v>35</v>
      </c>
      <c r="I2116" s="7" t="n">
        <v>35096</v>
      </c>
      <c r="J2116" s="2" t="s">
        <v>42</v>
      </c>
      <c r="K2116" s="2" t="s">
        <v>20</v>
      </c>
      <c r="L2116" s="2" t="s">
        <v>5836</v>
      </c>
    </row>
    <row r="2117" customFormat="false" ht="11.9" hidden="false" customHeight="true" outlineLevel="0" collapsed="false">
      <c r="A2117" s="3" t="str">
        <f aca="false">HYPERLINK("https://www.fabsurplus.com/sdi_catalog/salesItemDetails.do?id=83614")</f>
        <v>https://www.fabsurplus.com/sdi_catalog/salesItemDetails.do?id=83614</v>
      </c>
      <c r="B2117" s="3" t="s">
        <v>5837</v>
      </c>
      <c r="C2117" s="3" t="s">
        <v>5785</v>
      </c>
      <c r="D2117" s="3" t="s">
        <v>5838</v>
      </c>
      <c r="E2117" s="3" t="s">
        <v>5839</v>
      </c>
      <c r="F2117" s="3" t="s">
        <v>16</v>
      </c>
      <c r="G2117" s="3" t="s">
        <v>41</v>
      </c>
      <c r="H2117" s="3" t="s">
        <v>35</v>
      </c>
      <c r="I2117" s="3"/>
      <c r="J2117" s="3" t="s">
        <v>19</v>
      </c>
      <c r="K2117" s="3" t="s">
        <v>20</v>
      </c>
      <c r="L2117" s="5" t="s">
        <v>5840</v>
      </c>
    </row>
    <row r="2118" customFormat="false" ht="11.9" hidden="false" customHeight="true" outlineLevel="0" collapsed="false">
      <c r="A2118" s="2" t="str">
        <f aca="false">HYPERLINK("https://www.fabsurplus.com/sdi_catalog/salesItemDetails.do?id=32233")</f>
        <v>https://www.fabsurplus.com/sdi_catalog/salesItemDetails.do?id=32233</v>
      </c>
      <c r="B2118" s="2" t="s">
        <v>5841</v>
      </c>
      <c r="C2118" s="2" t="s">
        <v>5785</v>
      </c>
      <c r="D2118" s="2" t="s">
        <v>5842</v>
      </c>
      <c r="E2118" s="2" t="s">
        <v>5843</v>
      </c>
      <c r="F2118" s="2" t="s">
        <v>16</v>
      </c>
      <c r="G2118" s="2" t="s">
        <v>3908</v>
      </c>
      <c r="H2118" s="2" t="s">
        <v>27</v>
      </c>
      <c r="I2118" s="2"/>
      <c r="J2118" s="2" t="s">
        <v>19</v>
      </c>
      <c r="K2118" s="2" t="s">
        <v>20</v>
      </c>
      <c r="L2118" s="6" t="s">
        <v>5844</v>
      </c>
    </row>
    <row r="2119" customFormat="false" ht="11.9" hidden="false" customHeight="true" outlineLevel="0" collapsed="false">
      <c r="A2119" s="3" t="str">
        <f aca="false">HYPERLINK("https://www.fabsurplus.com/sdi_catalog/salesItemDetails.do?id=32230")</f>
        <v>https://www.fabsurplus.com/sdi_catalog/salesItemDetails.do?id=32230</v>
      </c>
      <c r="B2119" s="3" t="s">
        <v>5845</v>
      </c>
      <c r="C2119" s="3" t="s">
        <v>5785</v>
      </c>
      <c r="D2119" s="3" t="s">
        <v>5846</v>
      </c>
      <c r="E2119" s="3" t="s">
        <v>5847</v>
      </c>
      <c r="F2119" s="3" t="s">
        <v>16</v>
      </c>
      <c r="G2119" s="3" t="s">
        <v>3908</v>
      </c>
      <c r="H2119" s="3" t="s">
        <v>27</v>
      </c>
      <c r="I2119" s="3"/>
      <c r="J2119" s="3" t="s">
        <v>19</v>
      </c>
      <c r="K2119" s="3" t="s">
        <v>20</v>
      </c>
      <c r="L2119" s="5" t="s">
        <v>5848</v>
      </c>
    </row>
    <row r="2120" customFormat="false" ht="11.9" hidden="false" customHeight="true" outlineLevel="0" collapsed="false">
      <c r="A2120" s="2" t="str">
        <f aca="false">HYPERLINK("https://www.fabsurplus.com/sdi_catalog/salesItemDetails.do?id=32231")</f>
        <v>https://www.fabsurplus.com/sdi_catalog/salesItemDetails.do?id=32231</v>
      </c>
      <c r="B2120" s="2" t="s">
        <v>5849</v>
      </c>
      <c r="C2120" s="2" t="s">
        <v>5785</v>
      </c>
      <c r="D2120" s="2" t="s">
        <v>5850</v>
      </c>
      <c r="E2120" s="2" t="s">
        <v>5850</v>
      </c>
      <c r="F2120" s="2" t="s">
        <v>16</v>
      </c>
      <c r="G2120" s="2" t="s">
        <v>3908</v>
      </c>
      <c r="H2120" s="2" t="s">
        <v>27</v>
      </c>
      <c r="I2120" s="2"/>
      <c r="J2120" s="2" t="s">
        <v>19</v>
      </c>
      <c r="K2120" s="2" t="s">
        <v>20</v>
      </c>
      <c r="L2120" s="6" t="s">
        <v>5851</v>
      </c>
    </row>
    <row r="2121" customFormat="false" ht="11.9" hidden="false" customHeight="true" outlineLevel="0" collapsed="false">
      <c r="A2121" s="3" t="str">
        <f aca="false">HYPERLINK("https://www.fabsurplus.com/sdi_catalog/salesItemDetails.do?id=32232")</f>
        <v>https://www.fabsurplus.com/sdi_catalog/salesItemDetails.do?id=32232</v>
      </c>
      <c r="B2121" s="3" t="s">
        <v>5852</v>
      </c>
      <c r="C2121" s="3" t="s">
        <v>5785</v>
      </c>
      <c r="D2121" s="3" t="s">
        <v>5853</v>
      </c>
      <c r="E2121" s="3" t="s">
        <v>5843</v>
      </c>
      <c r="F2121" s="3" t="s">
        <v>16</v>
      </c>
      <c r="G2121" s="3" t="s">
        <v>3908</v>
      </c>
      <c r="H2121" s="3" t="s">
        <v>27</v>
      </c>
      <c r="I2121" s="3"/>
      <c r="J2121" s="3" t="s">
        <v>19</v>
      </c>
      <c r="K2121" s="3" t="s">
        <v>20</v>
      </c>
      <c r="L2121" s="5" t="s">
        <v>5854</v>
      </c>
    </row>
    <row r="2122" customFormat="false" ht="11.9" hidden="false" customHeight="true" outlineLevel="0" collapsed="false">
      <c r="A2122" s="2" t="str">
        <f aca="false">HYPERLINK("https://www.fabsurplus.com/sdi_catalog/salesItemDetails.do?id=27801")</f>
        <v>https://www.fabsurplus.com/sdi_catalog/salesItemDetails.do?id=27801</v>
      </c>
      <c r="B2122" s="2" t="s">
        <v>5855</v>
      </c>
      <c r="C2122" s="2" t="s">
        <v>5856</v>
      </c>
      <c r="D2122" s="2" t="s">
        <v>5857</v>
      </c>
      <c r="E2122" s="2" t="s">
        <v>5858</v>
      </c>
      <c r="F2122" s="2" t="s">
        <v>69</v>
      </c>
      <c r="G2122" s="2" t="s">
        <v>41</v>
      </c>
      <c r="H2122" s="2" t="s">
        <v>35</v>
      </c>
      <c r="I2122" s="2"/>
      <c r="J2122" s="2" t="s">
        <v>19</v>
      </c>
      <c r="K2122" s="2" t="s">
        <v>20</v>
      </c>
      <c r="L2122" s="2" t="s">
        <v>5859</v>
      </c>
    </row>
    <row r="2123" customFormat="false" ht="11.9" hidden="false" customHeight="true" outlineLevel="0" collapsed="false">
      <c r="A2123" s="3" t="str">
        <f aca="false">HYPERLINK("https://www.fabsurplus.com/sdi_catalog/salesItemDetails.do?id=83645")</f>
        <v>https://www.fabsurplus.com/sdi_catalog/salesItemDetails.do?id=83645</v>
      </c>
      <c r="B2123" s="3" t="s">
        <v>5860</v>
      </c>
      <c r="C2123" s="3" t="s">
        <v>5861</v>
      </c>
      <c r="D2123" s="3" t="s">
        <v>5862</v>
      </c>
      <c r="E2123" s="3" t="s">
        <v>5863</v>
      </c>
      <c r="F2123" s="3" t="s">
        <v>16</v>
      </c>
      <c r="G2123" s="3" t="s">
        <v>26</v>
      </c>
      <c r="H2123" s="3" t="s">
        <v>35</v>
      </c>
      <c r="I2123" s="4" t="n">
        <v>33756</v>
      </c>
      <c r="J2123" s="3" t="s">
        <v>19</v>
      </c>
      <c r="K2123" s="3" t="s">
        <v>20</v>
      </c>
      <c r="L2123" s="5" t="s">
        <v>5864</v>
      </c>
    </row>
    <row r="2124" customFormat="false" ht="11.9" hidden="false" customHeight="true" outlineLevel="0" collapsed="false">
      <c r="A2124" s="3" t="str">
        <f aca="false">HYPERLINK("https://www.fabsurplus.com/sdi_catalog/salesItemDetails.do?id=83902")</f>
        <v>https://www.fabsurplus.com/sdi_catalog/salesItemDetails.do?id=83902</v>
      </c>
      <c r="B2124" s="3" t="s">
        <v>5865</v>
      </c>
      <c r="C2124" s="3" t="s">
        <v>5861</v>
      </c>
      <c r="D2124" s="3" t="s">
        <v>5866</v>
      </c>
      <c r="E2124" s="3" t="s">
        <v>5867</v>
      </c>
      <c r="F2124" s="3" t="s">
        <v>16</v>
      </c>
      <c r="G2124" s="3" t="s">
        <v>26</v>
      </c>
      <c r="H2124" s="3" t="s">
        <v>35</v>
      </c>
      <c r="I2124" s="3"/>
      <c r="J2124" s="3" t="s">
        <v>19</v>
      </c>
      <c r="K2124" s="3" t="s">
        <v>20</v>
      </c>
      <c r="L2124" s="5" t="s">
        <v>5868</v>
      </c>
    </row>
    <row r="2125" customFormat="false" ht="11.9" hidden="false" customHeight="true" outlineLevel="0" collapsed="false">
      <c r="A2125" s="2" t="str">
        <f aca="false">HYPERLINK("https://www.fabsurplus.com/sdi_catalog/salesItemDetails.do?id=103206")</f>
        <v>https://www.fabsurplus.com/sdi_catalog/salesItemDetails.do?id=103206</v>
      </c>
      <c r="B2125" s="2" t="s">
        <v>5869</v>
      </c>
      <c r="C2125" s="2" t="s">
        <v>5861</v>
      </c>
      <c r="D2125" s="2" t="s">
        <v>5866</v>
      </c>
      <c r="E2125" s="2" t="s">
        <v>5870</v>
      </c>
      <c r="F2125" s="2" t="s">
        <v>16</v>
      </c>
      <c r="G2125" s="2" t="s">
        <v>26</v>
      </c>
      <c r="H2125" s="2" t="s">
        <v>35</v>
      </c>
      <c r="I2125" s="7" t="n">
        <v>34850.9166666667</v>
      </c>
      <c r="J2125" s="2" t="s">
        <v>19</v>
      </c>
      <c r="K2125" s="2" t="s">
        <v>20</v>
      </c>
      <c r="L2125" s="6" t="s">
        <v>5871</v>
      </c>
    </row>
    <row r="2126" customFormat="false" ht="11.9" hidden="false" customHeight="true" outlineLevel="0" collapsed="false">
      <c r="A2126" s="3" t="str">
        <f aca="false">HYPERLINK("https://www.fabsurplus.com/sdi_catalog/salesItemDetails.do?id=18598")</f>
        <v>https://www.fabsurplus.com/sdi_catalog/salesItemDetails.do?id=18598</v>
      </c>
      <c r="B2126" s="3" t="s">
        <v>5872</v>
      </c>
      <c r="C2126" s="3" t="s">
        <v>5873</v>
      </c>
      <c r="D2126" s="3" t="s">
        <v>5874</v>
      </c>
      <c r="E2126" s="3" t="s">
        <v>5875</v>
      </c>
      <c r="F2126" s="3" t="s">
        <v>16</v>
      </c>
      <c r="G2126" s="3" t="s">
        <v>3154</v>
      </c>
      <c r="H2126" s="3" t="s">
        <v>35</v>
      </c>
      <c r="I2126" s="4" t="n">
        <v>33208</v>
      </c>
      <c r="J2126" s="3" t="s">
        <v>19</v>
      </c>
      <c r="K2126" s="3" t="s">
        <v>20</v>
      </c>
      <c r="L2126" s="5" t="s">
        <v>5876</v>
      </c>
    </row>
    <row r="2127" customFormat="false" ht="11.9" hidden="false" customHeight="true" outlineLevel="0" collapsed="false">
      <c r="A2127" s="2" t="str">
        <f aca="false">HYPERLINK("https://www.fabsurplus.com/sdi_catalog/salesItemDetails.do?id=18612")</f>
        <v>https://www.fabsurplus.com/sdi_catalog/salesItemDetails.do?id=18612</v>
      </c>
      <c r="B2127" s="2" t="s">
        <v>5877</v>
      </c>
      <c r="C2127" s="2" t="s">
        <v>5861</v>
      </c>
      <c r="D2127" s="2" t="s">
        <v>5878</v>
      </c>
      <c r="E2127" s="2" t="s">
        <v>5879</v>
      </c>
      <c r="F2127" s="2" t="s">
        <v>16</v>
      </c>
      <c r="G2127" s="2" t="s">
        <v>41</v>
      </c>
      <c r="H2127" s="2" t="s">
        <v>35</v>
      </c>
      <c r="I2127" s="7" t="n">
        <v>33755.9166666667</v>
      </c>
      <c r="J2127" s="2" t="s">
        <v>19</v>
      </c>
      <c r="K2127" s="2" t="s">
        <v>20</v>
      </c>
      <c r="L2127" s="2" t="s">
        <v>5880</v>
      </c>
    </row>
    <row r="2128" customFormat="false" ht="11.9" hidden="false" customHeight="true" outlineLevel="0" collapsed="false">
      <c r="A2128" s="2" t="str">
        <f aca="false">HYPERLINK("https://www.fabsurplus.com/sdi_catalog/salesItemDetails.do?id=18632")</f>
        <v>https://www.fabsurplus.com/sdi_catalog/salesItemDetails.do?id=18632</v>
      </c>
      <c r="B2128" s="2" t="s">
        <v>5881</v>
      </c>
      <c r="C2128" s="2" t="s">
        <v>5861</v>
      </c>
      <c r="D2128" s="2" t="s">
        <v>5878</v>
      </c>
      <c r="E2128" s="2" t="s">
        <v>5879</v>
      </c>
      <c r="F2128" s="2" t="s">
        <v>16</v>
      </c>
      <c r="G2128" s="2" t="s">
        <v>26</v>
      </c>
      <c r="H2128" s="2" t="s">
        <v>35</v>
      </c>
      <c r="I2128" s="7" t="n">
        <v>33755.9166666667</v>
      </c>
      <c r="J2128" s="2" t="s">
        <v>19</v>
      </c>
      <c r="K2128" s="2" t="s">
        <v>20</v>
      </c>
      <c r="L2128" s="2" t="s">
        <v>5880</v>
      </c>
    </row>
    <row r="2129" customFormat="false" ht="11.9" hidden="false" customHeight="true" outlineLevel="0" collapsed="false">
      <c r="A2129" s="2" t="str">
        <f aca="false">HYPERLINK("https://www.fabsurplus.com/sdi_catalog/salesItemDetails.do?id=27790")</f>
        <v>https://www.fabsurplus.com/sdi_catalog/salesItemDetails.do?id=27790</v>
      </c>
      <c r="B2129" s="2" t="s">
        <v>5882</v>
      </c>
      <c r="C2129" s="2" t="s">
        <v>5861</v>
      </c>
      <c r="D2129" s="2" t="s">
        <v>5883</v>
      </c>
      <c r="E2129" s="2" t="s">
        <v>5884</v>
      </c>
      <c r="F2129" s="2" t="s">
        <v>16</v>
      </c>
      <c r="G2129" s="2"/>
      <c r="H2129" s="2" t="s">
        <v>27</v>
      </c>
      <c r="I2129" s="2"/>
      <c r="J2129" s="2" t="s">
        <v>19</v>
      </c>
      <c r="K2129" s="2" t="s">
        <v>20</v>
      </c>
      <c r="L2129" s="6" t="s">
        <v>5885</v>
      </c>
    </row>
    <row r="2130" customFormat="false" ht="11.9" hidden="false" customHeight="true" outlineLevel="0" collapsed="false">
      <c r="A2130" s="2" t="str">
        <f aca="false">HYPERLINK("https://www.fabsurplus.com/sdi_catalog/salesItemDetails.do?id=1691")</f>
        <v>https://www.fabsurplus.com/sdi_catalog/salesItemDetails.do?id=1691</v>
      </c>
      <c r="B2130" s="2" t="s">
        <v>5886</v>
      </c>
      <c r="C2130" s="2" t="s">
        <v>5873</v>
      </c>
      <c r="D2130" s="2" t="s">
        <v>5887</v>
      </c>
      <c r="E2130" s="2" t="s">
        <v>5888</v>
      </c>
      <c r="F2130" s="2" t="s">
        <v>16</v>
      </c>
      <c r="G2130" s="2" t="s">
        <v>5889</v>
      </c>
      <c r="H2130" s="2" t="s">
        <v>27</v>
      </c>
      <c r="I2130" s="7" t="n">
        <v>33573</v>
      </c>
      <c r="J2130" s="2" t="s">
        <v>42</v>
      </c>
      <c r="K2130" s="2" t="s">
        <v>20</v>
      </c>
      <c r="L2130" s="6" t="s">
        <v>5890</v>
      </c>
    </row>
    <row r="2131" customFormat="false" ht="11.9" hidden="false" customHeight="true" outlineLevel="0" collapsed="false">
      <c r="A2131" s="2" t="str">
        <f aca="false">HYPERLINK("https://www.fabsurplus.com/sdi_catalog/salesItemDetails.do?id=83901")</f>
        <v>https://www.fabsurplus.com/sdi_catalog/salesItemDetails.do?id=83901</v>
      </c>
      <c r="B2131" s="2" t="s">
        <v>5891</v>
      </c>
      <c r="C2131" s="2" t="s">
        <v>5861</v>
      </c>
      <c r="D2131" s="2" t="s">
        <v>5892</v>
      </c>
      <c r="E2131" s="2" t="s">
        <v>5893</v>
      </c>
      <c r="F2131" s="2" t="s">
        <v>16</v>
      </c>
      <c r="G2131" s="2" t="s">
        <v>41</v>
      </c>
      <c r="H2131" s="2" t="s">
        <v>27</v>
      </c>
      <c r="I2131" s="2"/>
      <c r="J2131" s="2" t="s">
        <v>19</v>
      </c>
      <c r="K2131" s="2" t="s">
        <v>20</v>
      </c>
      <c r="L2131" s="6" t="s">
        <v>5894</v>
      </c>
    </row>
    <row r="2132" customFormat="false" ht="11.9" hidden="false" customHeight="true" outlineLevel="0" collapsed="false">
      <c r="A2132" s="2" t="str">
        <f aca="false">HYPERLINK("https://www.fabsurplus.com/sdi_catalog/salesItemDetails.do?id=4959")</f>
        <v>https://www.fabsurplus.com/sdi_catalog/salesItemDetails.do?id=4959</v>
      </c>
      <c r="B2132" s="2" t="s">
        <v>5895</v>
      </c>
      <c r="C2132" s="2" t="s">
        <v>5861</v>
      </c>
      <c r="D2132" s="2" t="s">
        <v>5896</v>
      </c>
      <c r="E2132" s="2" t="s">
        <v>5897</v>
      </c>
      <c r="F2132" s="2" t="s">
        <v>16</v>
      </c>
      <c r="G2132" s="2" t="s">
        <v>3114</v>
      </c>
      <c r="H2132" s="2" t="s">
        <v>27</v>
      </c>
      <c r="I2132" s="2"/>
      <c r="J2132" s="2" t="s">
        <v>19</v>
      </c>
      <c r="K2132" s="2" t="s">
        <v>20</v>
      </c>
      <c r="L2132" s="2" t="s">
        <v>5898</v>
      </c>
    </row>
    <row r="2133" customFormat="false" ht="11.9" hidden="false" customHeight="true" outlineLevel="0" collapsed="false">
      <c r="A2133" s="2" t="str">
        <f aca="false">HYPERLINK("https://www.fabsurplus.com/sdi_catalog/salesItemDetails.do?id=84092")</f>
        <v>https://www.fabsurplus.com/sdi_catalog/salesItemDetails.do?id=84092</v>
      </c>
      <c r="B2133" s="2" t="s">
        <v>5899</v>
      </c>
      <c r="C2133" s="2" t="s">
        <v>5873</v>
      </c>
      <c r="D2133" s="2" t="s">
        <v>5900</v>
      </c>
      <c r="E2133" s="2" t="s">
        <v>5901</v>
      </c>
      <c r="F2133" s="2" t="s">
        <v>16</v>
      </c>
      <c r="G2133" s="2" t="s">
        <v>3114</v>
      </c>
      <c r="H2133" s="2" t="s">
        <v>27</v>
      </c>
      <c r="I2133" s="7" t="n">
        <v>35946.9166666667</v>
      </c>
      <c r="J2133" s="2" t="s">
        <v>19</v>
      </c>
      <c r="K2133" s="2" t="s">
        <v>20</v>
      </c>
      <c r="L2133" s="6" t="s">
        <v>5902</v>
      </c>
    </row>
    <row r="2134" customFormat="false" ht="11.9" hidden="false" customHeight="true" outlineLevel="0" collapsed="false">
      <c r="A2134" s="3" t="str">
        <f aca="false">HYPERLINK("https://www.fabsurplus.com/sdi_catalog/salesItemDetails.do?id=84093")</f>
        <v>https://www.fabsurplus.com/sdi_catalog/salesItemDetails.do?id=84093</v>
      </c>
      <c r="B2134" s="3" t="s">
        <v>5903</v>
      </c>
      <c r="C2134" s="3" t="s">
        <v>5873</v>
      </c>
      <c r="D2134" s="3" t="s">
        <v>5904</v>
      </c>
      <c r="E2134" s="3" t="s">
        <v>5905</v>
      </c>
      <c r="F2134" s="3" t="s">
        <v>16</v>
      </c>
      <c r="G2134" s="3" t="s">
        <v>26</v>
      </c>
      <c r="H2134" s="3" t="s">
        <v>35</v>
      </c>
      <c r="I2134" s="3"/>
      <c r="J2134" s="3" t="s">
        <v>19</v>
      </c>
      <c r="K2134" s="3" t="s">
        <v>20</v>
      </c>
      <c r="L2134" s="5" t="s">
        <v>5906</v>
      </c>
    </row>
    <row r="2135" customFormat="false" ht="11.9" hidden="false" customHeight="true" outlineLevel="0" collapsed="false">
      <c r="A2135" s="2" t="str">
        <f aca="false">HYPERLINK("https://www.fabsurplus.com/sdi_catalog/salesItemDetails.do?id=74643")</f>
        <v>https://www.fabsurplus.com/sdi_catalog/salesItemDetails.do?id=74643</v>
      </c>
      <c r="B2135" s="2" t="s">
        <v>5907</v>
      </c>
      <c r="C2135" s="2" t="s">
        <v>5861</v>
      </c>
      <c r="D2135" s="2" t="s">
        <v>5908</v>
      </c>
      <c r="E2135" s="2" t="s">
        <v>5909</v>
      </c>
      <c r="F2135" s="2" t="s">
        <v>16</v>
      </c>
      <c r="G2135" s="2" t="s">
        <v>17</v>
      </c>
      <c r="H2135" s="2" t="s">
        <v>35</v>
      </c>
      <c r="I2135" s="7" t="n">
        <v>34121</v>
      </c>
      <c r="J2135" s="2" t="s">
        <v>19</v>
      </c>
      <c r="K2135" s="2" t="s">
        <v>20</v>
      </c>
      <c r="L2135" s="2" t="s">
        <v>5910</v>
      </c>
    </row>
    <row r="2136" customFormat="false" ht="11.9" hidden="false" customHeight="true" outlineLevel="0" collapsed="false">
      <c r="A2136" s="3" t="str">
        <f aca="false">HYPERLINK("https://www.fabsurplus.com/sdi_catalog/salesItemDetails.do?id=76358")</f>
        <v>https://www.fabsurplus.com/sdi_catalog/salesItemDetails.do?id=76358</v>
      </c>
      <c r="B2136" s="3" t="s">
        <v>5911</v>
      </c>
      <c r="C2136" s="3" t="s">
        <v>5861</v>
      </c>
      <c r="D2136" s="3" t="s">
        <v>5912</v>
      </c>
      <c r="E2136" s="3" t="s">
        <v>5913</v>
      </c>
      <c r="F2136" s="3" t="s">
        <v>16</v>
      </c>
      <c r="G2136" s="3" t="s">
        <v>26</v>
      </c>
      <c r="H2136" s="3" t="s">
        <v>27</v>
      </c>
      <c r="I2136" s="3"/>
      <c r="J2136" s="3" t="s">
        <v>19</v>
      </c>
      <c r="K2136" s="3" t="s">
        <v>20</v>
      </c>
      <c r="L2136" s="3" t="s">
        <v>5914</v>
      </c>
    </row>
    <row r="2137" customFormat="false" ht="11.9" hidden="false" customHeight="true" outlineLevel="0" collapsed="false">
      <c r="A2137" s="3" t="str">
        <f aca="false">HYPERLINK("https://www.fabsurplus.com/sdi_catalog/salesItemDetails.do?id=18609")</f>
        <v>https://www.fabsurplus.com/sdi_catalog/salesItemDetails.do?id=18609</v>
      </c>
      <c r="B2137" s="3" t="s">
        <v>5915</v>
      </c>
      <c r="C2137" s="3" t="s">
        <v>5861</v>
      </c>
      <c r="D2137" s="3" t="s">
        <v>5916</v>
      </c>
      <c r="E2137" s="3" t="s">
        <v>5917</v>
      </c>
      <c r="F2137" s="3" t="s">
        <v>16</v>
      </c>
      <c r="G2137" s="3" t="s">
        <v>5918</v>
      </c>
      <c r="H2137" s="3" t="s">
        <v>35</v>
      </c>
      <c r="I2137" s="4" t="n">
        <v>33755.9166666667</v>
      </c>
      <c r="J2137" s="3" t="s">
        <v>19</v>
      </c>
      <c r="K2137" s="3" t="s">
        <v>20</v>
      </c>
      <c r="L2137" s="3" t="s">
        <v>5880</v>
      </c>
    </row>
    <row r="2138" customFormat="false" ht="11.9" hidden="false" customHeight="true" outlineLevel="0" collapsed="false">
      <c r="A2138" s="2" t="str">
        <f aca="false">HYPERLINK("https://www.fabsurplus.com/sdi_catalog/salesItemDetails.do?id=18604")</f>
        <v>https://www.fabsurplus.com/sdi_catalog/salesItemDetails.do?id=18604</v>
      </c>
      <c r="B2138" s="2" t="s">
        <v>5919</v>
      </c>
      <c r="C2138" s="2" t="s">
        <v>5861</v>
      </c>
      <c r="D2138" s="2" t="s">
        <v>5920</v>
      </c>
      <c r="E2138" s="2" t="s">
        <v>5921</v>
      </c>
      <c r="F2138" s="2" t="s">
        <v>16</v>
      </c>
      <c r="G2138" s="2" t="s">
        <v>26</v>
      </c>
      <c r="H2138" s="2" t="s">
        <v>35</v>
      </c>
      <c r="I2138" s="7" t="n">
        <v>33755.9166666667</v>
      </c>
      <c r="J2138" s="2" t="s">
        <v>19</v>
      </c>
      <c r="K2138" s="2" t="s">
        <v>20</v>
      </c>
      <c r="L2138" s="2" t="s">
        <v>5880</v>
      </c>
    </row>
    <row r="2139" customFormat="false" ht="11.9" hidden="false" customHeight="true" outlineLevel="0" collapsed="false">
      <c r="A2139" s="3" t="str">
        <f aca="false">HYPERLINK("https://www.fabsurplus.com/sdi_catalog/salesItemDetails.do?id=18600")</f>
        <v>https://www.fabsurplus.com/sdi_catalog/salesItemDetails.do?id=18600</v>
      </c>
      <c r="B2139" s="3" t="s">
        <v>5922</v>
      </c>
      <c r="C2139" s="3" t="s">
        <v>5861</v>
      </c>
      <c r="D2139" s="3" t="s">
        <v>5923</v>
      </c>
      <c r="E2139" s="3" t="s">
        <v>5921</v>
      </c>
      <c r="F2139" s="3" t="s">
        <v>16</v>
      </c>
      <c r="G2139" s="3" t="s">
        <v>26</v>
      </c>
      <c r="H2139" s="3" t="s">
        <v>27</v>
      </c>
      <c r="I2139" s="4" t="n">
        <v>33755.9166666667</v>
      </c>
      <c r="J2139" s="3" t="s">
        <v>19</v>
      </c>
      <c r="K2139" s="3" t="s">
        <v>20</v>
      </c>
      <c r="L2139" s="3" t="s">
        <v>5924</v>
      </c>
    </row>
    <row r="2140" customFormat="false" ht="11.9" hidden="false" customHeight="true" outlineLevel="0" collapsed="false">
      <c r="A2140" s="2" t="str">
        <f aca="false">HYPERLINK("https://www.fabsurplus.com/sdi_catalog/salesItemDetails.do?id=18599")</f>
        <v>https://www.fabsurplus.com/sdi_catalog/salesItemDetails.do?id=18599</v>
      </c>
      <c r="B2140" s="2" t="s">
        <v>5925</v>
      </c>
      <c r="C2140" s="2" t="s">
        <v>5861</v>
      </c>
      <c r="D2140" s="2" t="s">
        <v>5923</v>
      </c>
      <c r="E2140" s="2" t="s">
        <v>5926</v>
      </c>
      <c r="F2140" s="2" t="s">
        <v>16</v>
      </c>
      <c r="G2140" s="2" t="s">
        <v>41</v>
      </c>
      <c r="H2140" s="2" t="s">
        <v>27</v>
      </c>
      <c r="I2140" s="7" t="n">
        <v>33755.9166666667</v>
      </c>
      <c r="J2140" s="2" t="s">
        <v>19</v>
      </c>
      <c r="K2140" s="2" t="s">
        <v>20</v>
      </c>
      <c r="L2140" s="2" t="s">
        <v>5924</v>
      </c>
    </row>
    <row r="2141" customFormat="false" ht="11.9" hidden="false" customHeight="true" outlineLevel="0" collapsed="false">
      <c r="A2141" s="3" t="str">
        <f aca="false">HYPERLINK("https://www.fabsurplus.com/sdi_catalog/salesItemDetails.do?id=18603")</f>
        <v>https://www.fabsurplus.com/sdi_catalog/salesItemDetails.do?id=18603</v>
      </c>
      <c r="B2141" s="3" t="s">
        <v>5927</v>
      </c>
      <c r="C2141" s="3" t="s">
        <v>5861</v>
      </c>
      <c r="D2141" s="3" t="s">
        <v>5928</v>
      </c>
      <c r="E2141" s="3" t="s">
        <v>5929</v>
      </c>
      <c r="F2141" s="3" t="s">
        <v>16</v>
      </c>
      <c r="G2141" s="3" t="s">
        <v>26</v>
      </c>
      <c r="H2141" s="3" t="s">
        <v>35</v>
      </c>
      <c r="I2141" s="4" t="n">
        <v>33755.9166666667</v>
      </c>
      <c r="J2141" s="3" t="s">
        <v>19</v>
      </c>
      <c r="K2141" s="3" t="s">
        <v>20</v>
      </c>
      <c r="L2141" s="3" t="s">
        <v>5880</v>
      </c>
    </row>
    <row r="2142" customFormat="false" ht="11.9" hidden="false" customHeight="true" outlineLevel="0" collapsed="false">
      <c r="A2142" s="3" t="str">
        <f aca="false">HYPERLINK("https://www.fabsurplus.com/sdi_catalog/salesItemDetails.do?id=18605")</f>
        <v>https://www.fabsurplus.com/sdi_catalog/salesItemDetails.do?id=18605</v>
      </c>
      <c r="B2142" s="3" t="s">
        <v>5930</v>
      </c>
      <c r="C2142" s="3" t="s">
        <v>5861</v>
      </c>
      <c r="D2142" s="3" t="s">
        <v>5931</v>
      </c>
      <c r="E2142" s="3" t="s">
        <v>5932</v>
      </c>
      <c r="F2142" s="3" t="s">
        <v>16</v>
      </c>
      <c r="G2142" s="3" t="s">
        <v>26</v>
      </c>
      <c r="H2142" s="3" t="s">
        <v>35</v>
      </c>
      <c r="I2142" s="4" t="n">
        <v>33755.9166666667</v>
      </c>
      <c r="J2142" s="3" t="s">
        <v>19</v>
      </c>
      <c r="K2142" s="3" t="s">
        <v>20</v>
      </c>
      <c r="L2142" s="3" t="s">
        <v>5880</v>
      </c>
    </row>
    <row r="2143" customFormat="false" ht="11.9" hidden="false" customHeight="true" outlineLevel="0" collapsed="false">
      <c r="A2143" s="2" t="str">
        <f aca="false">HYPERLINK("https://www.fabsurplus.com/sdi_catalog/salesItemDetails.do?id=18608")</f>
        <v>https://www.fabsurplus.com/sdi_catalog/salesItemDetails.do?id=18608</v>
      </c>
      <c r="B2143" s="2" t="s">
        <v>5933</v>
      </c>
      <c r="C2143" s="2" t="s">
        <v>5861</v>
      </c>
      <c r="D2143" s="2" t="s">
        <v>5934</v>
      </c>
      <c r="E2143" s="2" t="s">
        <v>5935</v>
      </c>
      <c r="F2143" s="2" t="s">
        <v>16</v>
      </c>
      <c r="G2143" s="2" t="s">
        <v>5936</v>
      </c>
      <c r="H2143" s="2" t="s">
        <v>27</v>
      </c>
      <c r="I2143" s="7" t="n">
        <v>33755.9166666667</v>
      </c>
      <c r="J2143" s="2" t="s">
        <v>19</v>
      </c>
      <c r="K2143" s="2" t="s">
        <v>20</v>
      </c>
      <c r="L2143" s="2" t="s">
        <v>5880</v>
      </c>
    </row>
    <row r="2144" customFormat="false" ht="11.9" hidden="false" customHeight="true" outlineLevel="0" collapsed="false">
      <c r="A2144" s="2" t="str">
        <f aca="false">HYPERLINK("https://www.fabsurplus.com/sdi_catalog/salesItemDetails.do?id=18610")</f>
        <v>https://www.fabsurplus.com/sdi_catalog/salesItemDetails.do?id=18610</v>
      </c>
      <c r="B2144" s="2" t="s">
        <v>5937</v>
      </c>
      <c r="C2144" s="2" t="s">
        <v>5861</v>
      </c>
      <c r="D2144" s="2" t="s">
        <v>5934</v>
      </c>
      <c r="E2144" s="2" t="s">
        <v>5917</v>
      </c>
      <c r="F2144" s="2" t="s">
        <v>16</v>
      </c>
      <c r="G2144" s="2" t="s">
        <v>26</v>
      </c>
      <c r="H2144" s="2" t="s">
        <v>35</v>
      </c>
      <c r="I2144" s="7" t="n">
        <v>33755.9166666667</v>
      </c>
      <c r="J2144" s="2" t="s">
        <v>19</v>
      </c>
      <c r="K2144" s="2" t="s">
        <v>20</v>
      </c>
      <c r="L2144" s="2" t="s">
        <v>5880</v>
      </c>
    </row>
    <row r="2145" customFormat="false" ht="11.9" hidden="false" customHeight="true" outlineLevel="0" collapsed="false">
      <c r="A2145" s="3" t="str">
        <f aca="false">HYPERLINK("https://www.fabsurplus.com/sdi_catalog/salesItemDetails.do?id=83929")</f>
        <v>https://www.fabsurplus.com/sdi_catalog/salesItemDetails.do?id=83929</v>
      </c>
      <c r="B2145" s="3" t="s">
        <v>5938</v>
      </c>
      <c r="C2145" s="3" t="s">
        <v>5873</v>
      </c>
      <c r="D2145" s="3" t="s">
        <v>5939</v>
      </c>
      <c r="E2145" s="3" t="s">
        <v>5940</v>
      </c>
      <c r="F2145" s="3" t="s">
        <v>16</v>
      </c>
      <c r="G2145" s="3" t="s">
        <v>17</v>
      </c>
      <c r="H2145" s="3" t="s">
        <v>27</v>
      </c>
      <c r="I2145" s="4" t="n">
        <v>35946.9166666667</v>
      </c>
      <c r="J2145" s="3" t="s">
        <v>19</v>
      </c>
      <c r="K2145" s="3" t="s">
        <v>20</v>
      </c>
      <c r="L2145" s="5" t="s">
        <v>5941</v>
      </c>
    </row>
    <row r="2146" customFormat="false" ht="11.9" hidden="false" customHeight="true" outlineLevel="0" collapsed="false">
      <c r="A2146" s="2" t="str">
        <f aca="false">HYPERLINK("https://www.fabsurplus.com/sdi_catalog/salesItemDetails.do?id=83930")</f>
        <v>https://www.fabsurplus.com/sdi_catalog/salesItemDetails.do?id=83930</v>
      </c>
      <c r="B2146" s="2" t="s">
        <v>5942</v>
      </c>
      <c r="C2146" s="2" t="s">
        <v>5873</v>
      </c>
      <c r="D2146" s="2" t="s">
        <v>5943</v>
      </c>
      <c r="E2146" s="2" t="s">
        <v>5944</v>
      </c>
      <c r="F2146" s="2" t="s">
        <v>77</v>
      </c>
      <c r="G2146" s="2" t="s">
        <v>41</v>
      </c>
      <c r="H2146" s="2" t="s">
        <v>27</v>
      </c>
      <c r="I2146" s="2"/>
      <c r="J2146" s="2" t="s">
        <v>19</v>
      </c>
      <c r="K2146" s="2" t="s">
        <v>20</v>
      </c>
      <c r="L2146" s="6" t="s">
        <v>5945</v>
      </c>
    </row>
    <row r="2147" customFormat="false" ht="11.9" hidden="false" customHeight="true" outlineLevel="0" collapsed="false">
      <c r="A2147" s="3" t="str">
        <f aca="false">HYPERLINK("https://www.fabsurplus.com/sdi_catalog/salesItemDetails.do?id=18607")</f>
        <v>https://www.fabsurplus.com/sdi_catalog/salesItemDetails.do?id=18607</v>
      </c>
      <c r="B2147" s="3" t="s">
        <v>5946</v>
      </c>
      <c r="C2147" s="3" t="s">
        <v>5861</v>
      </c>
      <c r="D2147" s="3" t="s">
        <v>5947</v>
      </c>
      <c r="E2147" s="3" t="s">
        <v>5948</v>
      </c>
      <c r="F2147" s="3" t="s">
        <v>16</v>
      </c>
      <c r="G2147" s="3" t="s">
        <v>26</v>
      </c>
      <c r="H2147" s="3" t="s">
        <v>27</v>
      </c>
      <c r="I2147" s="4" t="n">
        <v>33755.9166666667</v>
      </c>
      <c r="J2147" s="3" t="s">
        <v>19</v>
      </c>
      <c r="K2147" s="3" t="s">
        <v>20</v>
      </c>
      <c r="L2147" s="3" t="s">
        <v>5880</v>
      </c>
    </row>
    <row r="2148" customFormat="false" ht="11.9" hidden="false" customHeight="true" outlineLevel="0" collapsed="false">
      <c r="A2148" s="3" t="str">
        <f aca="false">HYPERLINK("https://www.fabsurplus.com/sdi_catalog/salesItemDetails.do?id=84217")</f>
        <v>https://www.fabsurplus.com/sdi_catalog/salesItemDetails.do?id=84217</v>
      </c>
      <c r="B2148" s="3" t="s">
        <v>5949</v>
      </c>
      <c r="C2148" s="3" t="s">
        <v>5873</v>
      </c>
      <c r="D2148" s="3" t="s">
        <v>5950</v>
      </c>
      <c r="E2148" s="3" t="s">
        <v>5951</v>
      </c>
      <c r="F2148" s="3" t="s">
        <v>16</v>
      </c>
      <c r="G2148" s="3" t="s">
        <v>17</v>
      </c>
      <c r="H2148" s="3" t="s">
        <v>27</v>
      </c>
      <c r="I2148" s="4" t="n">
        <v>33725</v>
      </c>
      <c r="J2148" s="3" t="s">
        <v>19</v>
      </c>
      <c r="K2148" s="3" t="s">
        <v>20</v>
      </c>
      <c r="L2148" s="5" t="s">
        <v>5952</v>
      </c>
    </row>
    <row r="2149" customFormat="false" ht="11.9" hidden="false" customHeight="true" outlineLevel="0" collapsed="false">
      <c r="A2149" s="2" t="str">
        <f aca="false">HYPERLINK("https://www.fabsurplus.com/sdi_catalog/salesItemDetails.do?id=84219")</f>
        <v>https://www.fabsurplus.com/sdi_catalog/salesItemDetails.do?id=84219</v>
      </c>
      <c r="B2149" s="2" t="s">
        <v>5953</v>
      </c>
      <c r="C2149" s="2" t="s">
        <v>5873</v>
      </c>
      <c r="D2149" s="2" t="s">
        <v>5954</v>
      </c>
      <c r="E2149" s="2" t="s">
        <v>5640</v>
      </c>
      <c r="F2149" s="2" t="s">
        <v>16</v>
      </c>
      <c r="G2149" s="2" t="s">
        <v>17</v>
      </c>
      <c r="H2149" s="2" t="s">
        <v>27</v>
      </c>
      <c r="I2149" s="7" t="n">
        <v>33725</v>
      </c>
      <c r="J2149" s="2" t="s">
        <v>19</v>
      </c>
      <c r="K2149" s="2" t="s">
        <v>20</v>
      </c>
      <c r="L2149" s="2"/>
    </row>
    <row r="2150" customFormat="false" ht="11.9" hidden="false" customHeight="true" outlineLevel="0" collapsed="false">
      <c r="A2150" s="2" t="str">
        <f aca="false">HYPERLINK("https://www.fabsurplus.com/sdi_catalog/salesItemDetails.do?id=18602")</f>
        <v>https://www.fabsurplus.com/sdi_catalog/salesItemDetails.do?id=18602</v>
      </c>
      <c r="B2150" s="2" t="s">
        <v>5955</v>
      </c>
      <c r="C2150" s="2" t="s">
        <v>5861</v>
      </c>
      <c r="D2150" s="2" t="s">
        <v>5956</v>
      </c>
      <c r="E2150" s="2" t="s">
        <v>5957</v>
      </c>
      <c r="F2150" s="2" t="s">
        <v>16</v>
      </c>
      <c r="G2150" s="2" t="s">
        <v>26</v>
      </c>
      <c r="H2150" s="2" t="s">
        <v>35</v>
      </c>
      <c r="I2150" s="7" t="n">
        <v>33755.9166666667</v>
      </c>
      <c r="J2150" s="2" t="s">
        <v>19</v>
      </c>
      <c r="K2150" s="2" t="s">
        <v>20</v>
      </c>
      <c r="L2150" s="2" t="s">
        <v>5880</v>
      </c>
    </row>
    <row r="2151" customFormat="false" ht="11.9" hidden="false" customHeight="true" outlineLevel="0" collapsed="false">
      <c r="A2151" s="2" t="str">
        <f aca="false">HYPERLINK("https://www.fabsurplus.com/sdi_catalog/salesItemDetails.do?id=18606")</f>
        <v>https://www.fabsurplus.com/sdi_catalog/salesItemDetails.do?id=18606</v>
      </c>
      <c r="B2151" s="2" t="s">
        <v>5958</v>
      </c>
      <c r="C2151" s="2" t="s">
        <v>5861</v>
      </c>
      <c r="D2151" s="2" t="s">
        <v>5959</v>
      </c>
      <c r="E2151" s="2" t="s">
        <v>5960</v>
      </c>
      <c r="F2151" s="2" t="s">
        <v>16</v>
      </c>
      <c r="G2151" s="2" t="s">
        <v>26</v>
      </c>
      <c r="H2151" s="2" t="s">
        <v>35</v>
      </c>
      <c r="I2151" s="7" t="n">
        <v>33755.9166666667</v>
      </c>
      <c r="J2151" s="2" t="s">
        <v>19</v>
      </c>
      <c r="K2151" s="2" t="s">
        <v>20</v>
      </c>
      <c r="L2151" s="2" t="s">
        <v>5880</v>
      </c>
    </row>
    <row r="2152" customFormat="false" ht="11.9" hidden="false" customHeight="true" outlineLevel="0" collapsed="false">
      <c r="A2152" s="3" t="str">
        <f aca="false">HYPERLINK("https://www.fabsurplus.com/sdi_catalog/salesItemDetails.do?id=18611")</f>
        <v>https://www.fabsurplus.com/sdi_catalog/salesItemDetails.do?id=18611</v>
      </c>
      <c r="B2152" s="3" t="s">
        <v>5961</v>
      </c>
      <c r="C2152" s="3" t="s">
        <v>5861</v>
      </c>
      <c r="D2152" s="3" t="s">
        <v>5962</v>
      </c>
      <c r="E2152" s="3" t="s">
        <v>5917</v>
      </c>
      <c r="F2152" s="3" t="s">
        <v>16</v>
      </c>
      <c r="G2152" s="3" t="s">
        <v>26</v>
      </c>
      <c r="H2152" s="3" t="s">
        <v>27</v>
      </c>
      <c r="I2152" s="4" t="n">
        <v>33725</v>
      </c>
      <c r="J2152" s="3" t="s">
        <v>19</v>
      </c>
      <c r="K2152" s="3" t="s">
        <v>20</v>
      </c>
      <c r="L2152" s="3" t="s">
        <v>5880</v>
      </c>
    </row>
    <row r="2153" customFormat="false" ht="11.9" hidden="false" customHeight="true" outlineLevel="0" collapsed="false">
      <c r="A2153" s="3" t="str">
        <f aca="false">HYPERLINK("https://www.fabsurplus.com/sdi_catalog/salesItemDetails.do?id=18622")</f>
        <v>https://www.fabsurplus.com/sdi_catalog/salesItemDetails.do?id=18622</v>
      </c>
      <c r="B2153" s="3" t="s">
        <v>5963</v>
      </c>
      <c r="C2153" s="3" t="s">
        <v>5861</v>
      </c>
      <c r="D2153" s="3" t="s">
        <v>5964</v>
      </c>
      <c r="E2153" s="3" t="s">
        <v>5957</v>
      </c>
      <c r="F2153" s="3" t="s">
        <v>16</v>
      </c>
      <c r="G2153" s="3" t="s">
        <v>26</v>
      </c>
      <c r="H2153" s="3" t="s">
        <v>35</v>
      </c>
      <c r="I2153" s="4" t="n">
        <v>33755.9166666667</v>
      </c>
      <c r="J2153" s="3" t="s">
        <v>19</v>
      </c>
      <c r="K2153" s="3" t="s">
        <v>20</v>
      </c>
      <c r="L2153" s="3" t="s">
        <v>5880</v>
      </c>
    </row>
    <row r="2154" customFormat="false" ht="11.9" hidden="false" customHeight="true" outlineLevel="0" collapsed="false">
      <c r="A2154" s="3" t="str">
        <f aca="false">HYPERLINK("https://www.fabsurplus.com/sdi_catalog/salesItemDetails.do?id=53035")</f>
        <v>https://www.fabsurplus.com/sdi_catalog/salesItemDetails.do?id=53035</v>
      </c>
      <c r="B2154" s="3" t="s">
        <v>5965</v>
      </c>
      <c r="C2154" s="3" t="s">
        <v>5861</v>
      </c>
      <c r="D2154" s="3" t="s">
        <v>5966</v>
      </c>
      <c r="E2154" s="3" t="s">
        <v>5967</v>
      </c>
      <c r="F2154" s="3" t="s">
        <v>16</v>
      </c>
      <c r="G2154" s="3" t="s">
        <v>17</v>
      </c>
      <c r="H2154" s="3" t="s">
        <v>27</v>
      </c>
      <c r="I2154" s="3"/>
      <c r="J2154" s="3" t="s">
        <v>19</v>
      </c>
      <c r="K2154" s="3" t="s">
        <v>20</v>
      </c>
      <c r="L2154" s="5" t="s">
        <v>5968</v>
      </c>
    </row>
    <row r="2155" customFormat="false" ht="11.9" hidden="false" customHeight="true" outlineLevel="0" collapsed="false">
      <c r="A2155" s="2" t="str">
        <f aca="false">HYPERLINK("https://www.fabsurplus.com/sdi_catalog/salesItemDetails.do?id=84089")</f>
        <v>https://www.fabsurplus.com/sdi_catalog/salesItemDetails.do?id=84089</v>
      </c>
      <c r="B2155" s="2" t="s">
        <v>5969</v>
      </c>
      <c r="C2155" s="2" t="s">
        <v>5873</v>
      </c>
      <c r="D2155" s="2" t="s">
        <v>5970</v>
      </c>
      <c r="E2155" s="2" t="s">
        <v>5971</v>
      </c>
      <c r="F2155" s="2" t="s">
        <v>16</v>
      </c>
      <c r="G2155" s="2" t="s">
        <v>26</v>
      </c>
      <c r="H2155" s="2" t="s">
        <v>27</v>
      </c>
      <c r="I2155" s="7" t="n">
        <v>35854.9583333333</v>
      </c>
      <c r="J2155" s="2" t="s">
        <v>19</v>
      </c>
      <c r="K2155" s="2" t="s">
        <v>20</v>
      </c>
      <c r="L2155" s="6" t="s">
        <v>5972</v>
      </c>
    </row>
    <row r="2156" customFormat="false" ht="11.9" hidden="false" customHeight="true" outlineLevel="0" collapsed="false">
      <c r="A2156" s="3" t="str">
        <f aca="false">HYPERLINK("https://www.fabsurplus.com/sdi_catalog/salesItemDetails.do?id=34150")</f>
        <v>https://www.fabsurplus.com/sdi_catalog/salesItemDetails.do?id=34150</v>
      </c>
      <c r="B2156" s="3" t="s">
        <v>5973</v>
      </c>
      <c r="C2156" s="3" t="s">
        <v>5861</v>
      </c>
      <c r="D2156" s="3" t="s">
        <v>5661</v>
      </c>
      <c r="E2156" s="3" t="s">
        <v>5974</v>
      </c>
      <c r="F2156" s="3" t="s">
        <v>16</v>
      </c>
      <c r="G2156" s="3" t="s">
        <v>17</v>
      </c>
      <c r="H2156" s="3" t="s">
        <v>27</v>
      </c>
      <c r="I2156" s="3"/>
      <c r="J2156" s="3" t="s">
        <v>19</v>
      </c>
      <c r="K2156" s="3" t="s">
        <v>20</v>
      </c>
      <c r="L2156" s="5" t="s">
        <v>5975</v>
      </c>
    </row>
    <row r="2157" customFormat="false" ht="11.9" hidden="false" customHeight="true" outlineLevel="0" collapsed="false">
      <c r="A2157" s="3" t="str">
        <f aca="false">HYPERLINK("https://www.fabsurplus.com/sdi_catalog/salesItemDetails.do?id=84410")</f>
        <v>https://www.fabsurplus.com/sdi_catalog/salesItemDetails.do?id=84410</v>
      </c>
      <c r="B2157" s="3" t="s">
        <v>5976</v>
      </c>
      <c r="C2157" s="3" t="s">
        <v>5873</v>
      </c>
      <c r="D2157" s="3" t="s">
        <v>5813</v>
      </c>
      <c r="E2157" s="3" t="s">
        <v>5977</v>
      </c>
      <c r="F2157" s="3" t="s">
        <v>16</v>
      </c>
      <c r="G2157" s="3" t="s">
        <v>41</v>
      </c>
      <c r="H2157" s="3" t="s">
        <v>27</v>
      </c>
      <c r="I2157" s="3"/>
      <c r="J2157" s="3" t="s">
        <v>19</v>
      </c>
      <c r="K2157" s="3" t="s">
        <v>20</v>
      </c>
      <c r="L2157" s="5" t="s">
        <v>5978</v>
      </c>
    </row>
    <row r="2158" customFormat="false" ht="11.9" hidden="false" customHeight="true" outlineLevel="0" collapsed="false">
      <c r="A2158" s="3" t="str">
        <f aca="false">HYPERLINK("https://www.fabsurplus.com/sdi_catalog/salesItemDetails.do?id=83897")</f>
        <v>https://www.fabsurplus.com/sdi_catalog/salesItemDetails.do?id=83897</v>
      </c>
      <c r="B2158" s="3" t="s">
        <v>5979</v>
      </c>
      <c r="C2158" s="3" t="s">
        <v>5861</v>
      </c>
      <c r="D2158" s="3" t="s">
        <v>5776</v>
      </c>
      <c r="E2158" s="3" t="s">
        <v>5980</v>
      </c>
      <c r="F2158" s="3" t="s">
        <v>16</v>
      </c>
      <c r="G2158" s="3" t="s">
        <v>41</v>
      </c>
      <c r="H2158" s="3" t="s">
        <v>27</v>
      </c>
      <c r="I2158" s="4" t="n">
        <v>34912</v>
      </c>
      <c r="J2158" s="3" t="s">
        <v>19</v>
      </c>
      <c r="K2158" s="3" t="s">
        <v>20</v>
      </c>
      <c r="L2158" s="5" t="s">
        <v>5981</v>
      </c>
    </row>
    <row r="2159" customFormat="false" ht="11.9" hidden="false" customHeight="true" outlineLevel="0" collapsed="false">
      <c r="A2159" s="3" t="str">
        <f aca="false">HYPERLINK("https://www.fabsurplus.com/sdi_catalog/salesItemDetails.do?id=34130")</f>
        <v>https://www.fabsurplus.com/sdi_catalog/salesItemDetails.do?id=34130</v>
      </c>
      <c r="B2159" s="3" t="s">
        <v>5982</v>
      </c>
      <c r="C2159" s="3" t="s">
        <v>5983</v>
      </c>
      <c r="D2159" s="3" t="s">
        <v>5779</v>
      </c>
      <c r="E2159" s="3" t="s">
        <v>5984</v>
      </c>
      <c r="F2159" s="3" t="s">
        <v>16</v>
      </c>
      <c r="G2159" s="3" t="s">
        <v>41</v>
      </c>
      <c r="H2159" s="3" t="s">
        <v>27</v>
      </c>
      <c r="I2159" s="3"/>
      <c r="J2159" s="3" t="s">
        <v>19</v>
      </c>
      <c r="K2159" s="3" t="s">
        <v>20</v>
      </c>
      <c r="L2159" s="5" t="s">
        <v>5985</v>
      </c>
    </row>
    <row r="2160" customFormat="false" ht="11.9" hidden="false" customHeight="true" outlineLevel="0" collapsed="false">
      <c r="A2160" s="2" t="str">
        <f aca="false">HYPERLINK("https://www.fabsurplus.com/sdi_catalog/salesItemDetails.do?id=34134")</f>
        <v>https://www.fabsurplus.com/sdi_catalog/salesItemDetails.do?id=34134</v>
      </c>
      <c r="B2160" s="2" t="s">
        <v>5986</v>
      </c>
      <c r="C2160" s="2" t="s">
        <v>5983</v>
      </c>
      <c r="D2160" s="2" t="s">
        <v>5779</v>
      </c>
      <c r="E2160" s="2" t="s">
        <v>5987</v>
      </c>
      <c r="F2160" s="2" t="s">
        <v>16</v>
      </c>
      <c r="G2160" s="2" t="s">
        <v>17</v>
      </c>
      <c r="H2160" s="2" t="s">
        <v>27</v>
      </c>
      <c r="I2160" s="2"/>
      <c r="J2160" s="2" t="s">
        <v>19</v>
      </c>
      <c r="K2160" s="2" t="s">
        <v>20</v>
      </c>
      <c r="L2160" s="2"/>
    </row>
    <row r="2161" customFormat="false" ht="11.9" hidden="false" customHeight="true" outlineLevel="0" collapsed="false">
      <c r="A2161" s="2" t="str">
        <f aca="false">HYPERLINK("https://www.fabsurplus.com/sdi_catalog/salesItemDetails.do?id=83918")</f>
        <v>https://www.fabsurplus.com/sdi_catalog/salesItemDetails.do?id=83918</v>
      </c>
      <c r="B2161" s="2" t="s">
        <v>5988</v>
      </c>
      <c r="C2161" s="2" t="s">
        <v>5873</v>
      </c>
      <c r="D2161" s="2" t="s">
        <v>5776</v>
      </c>
      <c r="E2161" s="2" t="s">
        <v>5989</v>
      </c>
      <c r="F2161" s="2" t="s">
        <v>16</v>
      </c>
      <c r="G2161" s="2" t="s">
        <v>41</v>
      </c>
      <c r="H2161" s="2" t="s">
        <v>27</v>
      </c>
      <c r="I2161" s="2"/>
      <c r="J2161" s="2" t="s">
        <v>19</v>
      </c>
      <c r="K2161" s="2" t="s">
        <v>20</v>
      </c>
      <c r="L2161" s="6" t="s">
        <v>5990</v>
      </c>
    </row>
    <row r="2162" customFormat="false" ht="11.9" hidden="false" customHeight="true" outlineLevel="0" collapsed="false">
      <c r="A2162" s="2" t="str">
        <f aca="false">HYPERLINK("https://www.fabsurplus.com/sdi_catalog/salesItemDetails.do?id=84215")</f>
        <v>https://www.fabsurplus.com/sdi_catalog/salesItemDetails.do?id=84215</v>
      </c>
      <c r="B2162" s="2" t="s">
        <v>5991</v>
      </c>
      <c r="C2162" s="2" t="s">
        <v>5873</v>
      </c>
      <c r="D2162" s="2" t="s">
        <v>5776</v>
      </c>
      <c r="E2162" s="2" t="s">
        <v>5992</v>
      </c>
      <c r="F2162" s="2" t="s">
        <v>16</v>
      </c>
      <c r="G2162" s="2" t="s">
        <v>26</v>
      </c>
      <c r="H2162" s="2" t="s">
        <v>27</v>
      </c>
      <c r="I2162" s="7" t="n">
        <v>34090</v>
      </c>
      <c r="J2162" s="2" t="s">
        <v>19</v>
      </c>
      <c r="K2162" s="2" t="s">
        <v>20</v>
      </c>
      <c r="L2162" s="6" t="s">
        <v>5993</v>
      </c>
    </row>
    <row r="2163" customFormat="false" ht="11.9" hidden="false" customHeight="true" outlineLevel="0" collapsed="false">
      <c r="A2163" s="3" t="str">
        <f aca="false">HYPERLINK("https://www.fabsurplus.com/sdi_catalog/salesItemDetails.do?id=83837")</f>
        <v>https://www.fabsurplus.com/sdi_catalog/salesItemDetails.do?id=83837</v>
      </c>
      <c r="B2163" s="3" t="s">
        <v>5994</v>
      </c>
      <c r="C2163" s="3" t="s">
        <v>5873</v>
      </c>
      <c r="D2163" s="3" t="s">
        <v>5776</v>
      </c>
      <c r="E2163" s="3" t="s">
        <v>5995</v>
      </c>
      <c r="F2163" s="3" t="s">
        <v>16</v>
      </c>
      <c r="G2163" s="3" t="s">
        <v>41</v>
      </c>
      <c r="H2163" s="3" t="s">
        <v>27</v>
      </c>
      <c r="I2163" s="3"/>
      <c r="J2163" s="3" t="s">
        <v>19</v>
      </c>
      <c r="K2163" s="3" t="s">
        <v>20</v>
      </c>
      <c r="L2163" s="3" t="s">
        <v>5996</v>
      </c>
    </row>
    <row r="2164" customFormat="false" ht="11.9" hidden="false" customHeight="true" outlineLevel="0" collapsed="false">
      <c r="A2164" s="3" t="str">
        <f aca="false">HYPERLINK("https://www.fabsurplus.com/sdi_catalog/salesItemDetails.do?id=34153")</f>
        <v>https://www.fabsurplus.com/sdi_catalog/salesItemDetails.do?id=34153</v>
      </c>
      <c r="B2164" s="3" t="s">
        <v>5997</v>
      </c>
      <c r="C2164" s="3" t="s">
        <v>5861</v>
      </c>
      <c r="D2164" s="3" t="s">
        <v>5998</v>
      </c>
      <c r="E2164" s="3" t="s">
        <v>5999</v>
      </c>
      <c r="F2164" s="3" t="s">
        <v>16</v>
      </c>
      <c r="G2164" s="3" t="s">
        <v>41</v>
      </c>
      <c r="H2164" s="3" t="s">
        <v>27</v>
      </c>
      <c r="I2164" s="3"/>
      <c r="J2164" s="3" t="s">
        <v>19</v>
      </c>
      <c r="K2164" s="3" t="s">
        <v>20</v>
      </c>
      <c r="L2164" s="3"/>
    </row>
    <row r="2165" customFormat="false" ht="11.9" hidden="false" customHeight="true" outlineLevel="0" collapsed="false">
      <c r="A2165" s="2" t="str">
        <f aca="false">HYPERLINK("https://www.fabsurplus.com/sdi_catalog/salesItemDetails.do?id=83810")</f>
        <v>https://www.fabsurplus.com/sdi_catalog/salesItemDetails.do?id=83810</v>
      </c>
      <c r="B2165" s="2" t="s">
        <v>6000</v>
      </c>
      <c r="C2165" s="2" t="s">
        <v>5861</v>
      </c>
      <c r="D2165" s="2" t="s">
        <v>5776</v>
      </c>
      <c r="E2165" s="2" t="s">
        <v>6001</v>
      </c>
      <c r="F2165" s="2" t="s">
        <v>16</v>
      </c>
      <c r="G2165" s="2" t="s">
        <v>17</v>
      </c>
      <c r="H2165" s="2" t="s">
        <v>27</v>
      </c>
      <c r="I2165" s="7" t="n">
        <v>35581.9166666667</v>
      </c>
      <c r="J2165" s="2" t="s">
        <v>19</v>
      </c>
      <c r="K2165" s="2" t="s">
        <v>20</v>
      </c>
      <c r="L2165" s="2" t="s">
        <v>6002</v>
      </c>
    </row>
    <row r="2166" customFormat="false" ht="11.9" hidden="false" customHeight="true" outlineLevel="0" collapsed="false">
      <c r="A2166" s="2" t="str">
        <f aca="false">HYPERLINK("https://www.fabsurplus.com/sdi_catalog/salesItemDetails.do?id=84087")</f>
        <v>https://www.fabsurplus.com/sdi_catalog/salesItemDetails.do?id=84087</v>
      </c>
      <c r="B2166" s="2" t="s">
        <v>6003</v>
      </c>
      <c r="C2166" s="2" t="s">
        <v>5873</v>
      </c>
      <c r="D2166" s="2" t="s">
        <v>5776</v>
      </c>
      <c r="E2166" s="2" t="s">
        <v>6004</v>
      </c>
      <c r="F2166" s="2" t="s">
        <v>16</v>
      </c>
      <c r="G2166" s="2" t="s">
        <v>26</v>
      </c>
      <c r="H2166" s="2" t="s">
        <v>27</v>
      </c>
      <c r="I2166" s="2"/>
      <c r="J2166" s="2" t="s">
        <v>19</v>
      </c>
      <c r="K2166" s="2" t="s">
        <v>20</v>
      </c>
      <c r="L2166" s="6" t="s">
        <v>6005</v>
      </c>
    </row>
    <row r="2167" customFormat="false" ht="11.9" hidden="false" customHeight="true" outlineLevel="0" collapsed="false">
      <c r="A2167" s="3" t="str">
        <f aca="false">HYPERLINK("https://www.fabsurplus.com/sdi_catalog/salesItemDetails.do?id=34125")</f>
        <v>https://www.fabsurplus.com/sdi_catalog/salesItemDetails.do?id=34125</v>
      </c>
      <c r="B2167" s="3" t="s">
        <v>6006</v>
      </c>
      <c r="C2167" s="3" t="s">
        <v>5861</v>
      </c>
      <c r="D2167" s="3" t="s">
        <v>5998</v>
      </c>
      <c r="E2167" s="3" t="s">
        <v>6007</v>
      </c>
      <c r="F2167" s="3" t="s">
        <v>16</v>
      </c>
      <c r="G2167" s="3" t="s">
        <v>17</v>
      </c>
      <c r="H2167" s="3" t="s">
        <v>27</v>
      </c>
      <c r="I2167" s="3"/>
      <c r="J2167" s="3" t="s">
        <v>19</v>
      </c>
      <c r="K2167" s="3" t="s">
        <v>20</v>
      </c>
      <c r="L2167" s="3"/>
    </row>
    <row r="2168" customFormat="false" ht="11.9" hidden="false" customHeight="true" outlineLevel="0" collapsed="false">
      <c r="A2168" s="3" t="str">
        <f aca="false">HYPERLINK("https://www.fabsurplus.com/sdi_catalog/salesItemDetails.do?id=84088")</f>
        <v>https://www.fabsurplus.com/sdi_catalog/salesItemDetails.do?id=84088</v>
      </c>
      <c r="B2168" s="3" t="s">
        <v>6008</v>
      </c>
      <c r="C2168" s="3" t="s">
        <v>5873</v>
      </c>
      <c r="D2168" s="3" t="s">
        <v>5776</v>
      </c>
      <c r="E2168" s="3" t="s">
        <v>6009</v>
      </c>
      <c r="F2168" s="3" t="s">
        <v>16</v>
      </c>
      <c r="G2168" s="3" t="s">
        <v>26</v>
      </c>
      <c r="H2168" s="3" t="s">
        <v>27</v>
      </c>
      <c r="I2168" s="3"/>
      <c r="J2168" s="3" t="s">
        <v>19</v>
      </c>
      <c r="K2168" s="3" t="s">
        <v>20</v>
      </c>
      <c r="L2168" s="5" t="s">
        <v>6010</v>
      </c>
    </row>
    <row r="2169" customFormat="false" ht="11.9" hidden="false" customHeight="true" outlineLevel="0" collapsed="false">
      <c r="A2169" s="3" t="str">
        <f aca="false">HYPERLINK("https://www.fabsurplus.com/sdi_catalog/salesItemDetails.do?id=34136")</f>
        <v>https://www.fabsurplus.com/sdi_catalog/salesItemDetails.do?id=34136</v>
      </c>
      <c r="B2169" s="3" t="s">
        <v>6011</v>
      </c>
      <c r="C2169" s="3" t="s">
        <v>5861</v>
      </c>
      <c r="D2169" s="3" t="s">
        <v>5779</v>
      </c>
      <c r="E2169" s="3" t="s">
        <v>6012</v>
      </c>
      <c r="F2169" s="3" t="s">
        <v>16</v>
      </c>
      <c r="G2169" s="3" t="s">
        <v>41</v>
      </c>
      <c r="H2169" s="3" t="s">
        <v>27</v>
      </c>
      <c r="I2169" s="3"/>
      <c r="J2169" s="3" t="s">
        <v>19</v>
      </c>
      <c r="K2169" s="3" t="s">
        <v>20</v>
      </c>
      <c r="L2169" s="3" t="s">
        <v>6013</v>
      </c>
    </row>
    <row r="2170" customFormat="false" ht="11.9" hidden="false" customHeight="true" outlineLevel="0" collapsed="false">
      <c r="A2170" s="2" t="str">
        <f aca="false">HYPERLINK("https://www.fabsurplus.com/sdi_catalog/salesItemDetails.do?id=34127")</f>
        <v>https://www.fabsurplus.com/sdi_catalog/salesItemDetails.do?id=34127</v>
      </c>
      <c r="B2170" s="2" t="s">
        <v>6014</v>
      </c>
      <c r="C2170" s="2" t="s">
        <v>5861</v>
      </c>
      <c r="D2170" s="2" t="s">
        <v>5779</v>
      </c>
      <c r="E2170" s="2" t="s">
        <v>6015</v>
      </c>
      <c r="F2170" s="2" t="s">
        <v>16</v>
      </c>
      <c r="G2170" s="2" t="s">
        <v>17</v>
      </c>
      <c r="H2170" s="2" t="s">
        <v>27</v>
      </c>
      <c r="I2170" s="2"/>
      <c r="J2170" s="2" t="s">
        <v>19</v>
      </c>
      <c r="K2170" s="2" t="s">
        <v>20</v>
      </c>
      <c r="L2170" s="6" t="s">
        <v>6016</v>
      </c>
    </row>
    <row r="2171" customFormat="false" ht="11.9" hidden="false" customHeight="true" outlineLevel="0" collapsed="false">
      <c r="A2171" s="2" t="str">
        <f aca="false">HYPERLINK("https://www.fabsurplus.com/sdi_catalog/salesItemDetails.do?id=34148")</f>
        <v>https://www.fabsurplus.com/sdi_catalog/salesItemDetails.do?id=34148</v>
      </c>
      <c r="B2171" s="2" t="s">
        <v>6017</v>
      </c>
      <c r="C2171" s="2" t="s">
        <v>5861</v>
      </c>
      <c r="D2171" s="2" t="s">
        <v>5779</v>
      </c>
      <c r="E2171" s="2" t="s">
        <v>6018</v>
      </c>
      <c r="F2171" s="2" t="s">
        <v>16</v>
      </c>
      <c r="G2171" s="2" t="s">
        <v>17</v>
      </c>
      <c r="H2171" s="2" t="s">
        <v>27</v>
      </c>
      <c r="I2171" s="2"/>
      <c r="J2171" s="2" t="s">
        <v>19</v>
      </c>
      <c r="K2171" s="2" t="s">
        <v>20</v>
      </c>
      <c r="L2171" s="2" t="s">
        <v>6019</v>
      </c>
    </row>
    <row r="2172" customFormat="false" ht="11.9" hidden="false" customHeight="true" outlineLevel="0" collapsed="false">
      <c r="A2172" s="2" t="str">
        <f aca="false">HYPERLINK("https://www.fabsurplus.com/sdi_catalog/salesItemDetails.do?id=34152")</f>
        <v>https://www.fabsurplus.com/sdi_catalog/salesItemDetails.do?id=34152</v>
      </c>
      <c r="B2172" s="2" t="s">
        <v>6020</v>
      </c>
      <c r="C2172" s="2" t="s">
        <v>5861</v>
      </c>
      <c r="D2172" s="2" t="s">
        <v>5998</v>
      </c>
      <c r="E2172" s="2" t="s">
        <v>6021</v>
      </c>
      <c r="F2172" s="2" t="s">
        <v>16</v>
      </c>
      <c r="G2172" s="2" t="s">
        <v>17</v>
      </c>
      <c r="H2172" s="2" t="s">
        <v>27</v>
      </c>
      <c r="I2172" s="2"/>
      <c r="J2172" s="2" t="s">
        <v>19</v>
      </c>
      <c r="K2172" s="2" t="s">
        <v>20</v>
      </c>
      <c r="L2172" s="2"/>
    </row>
    <row r="2173" customFormat="false" ht="11.9" hidden="false" customHeight="true" outlineLevel="0" collapsed="false">
      <c r="A2173" s="3" t="str">
        <f aca="false">HYPERLINK("https://www.fabsurplus.com/sdi_catalog/salesItemDetails.do?id=103366")</f>
        <v>https://www.fabsurplus.com/sdi_catalog/salesItemDetails.do?id=103366</v>
      </c>
      <c r="B2173" s="3" t="s">
        <v>6022</v>
      </c>
      <c r="C2173" s="3" t="s">
        <v>5873</v>
      </c>
      <c r="D2173" s="3" t="s">
        <v>5776</v>
      </c>
      <c r="E2173" s="3" t="s">
        <v>6023</v>
      </c>
      <c r="F2173" s="3" t="s">
        <v>16</v>
      </c>
      <c r="G2173" s="3" t="s">
        <v>26</v>
      </c>
      <c r="H2173" s="3" t="s">
        <v>27</v>
      </c>
      <c r="I2173" s="4" t="n">
        <v>34120.9166666667</v>
      </c>
      <c r="J2173" s="3" t="s">
        <v>19</v>
      </c>
      <c r="K2173" s="3" t="s">
        <v>20</v>
      </c>
      <c r="L2173" s="5" t="s">
        <v>6024</v>
      </c>
    </row>
    <row r="2174" customFormat="false" ht="11.9" hidden="false" customHeight="true" outlineLevel="0" collapsed="false">
      <c r="A2174" s="2" t="str">
        <f aca="false">HYPERLINK("https://www.fabsurplus.com/sdi_catalog/salesItemDetails.do?id=31613")</f>
        <v>https://www.fabsurplus.com/sdi_catalog/salesItemDetails.do?id=31613</v>
      </c>
      <c r="B2174" s="2" t="s">
        <v>6025</v>
      </c>
      <c r="C2174" s="2" t="s">
        <v>5861</v>
      </c>
      <c r="D2174" s="2" t="s">
        <v>5740</v>
      </c>
      <c r="E2174" s="2" t="s">
        <v>6026</v>
      </c>
      <c r="F2174" s="2" t="s">
        <v>104</v>
      </c>
      <c r="G2174" s="2" t="s">
        <v>17</v>
      </c>
      <c r="H2174" s="2" t="s">
        <v>27</v>
      </c>
      <c r="I2174" s="2"/>
      <c r="J2174" s="2" t="s">
        <v>19</v>
      </c>
      <c r="K2174" s="2" t="s">
        <v>20</v>
      </c>
      <c r="L2174" s="2"/>
    </row>
    <row r="2175" customFormat="false" ht="11.9" hidden="false" customHeight="true" outlineLevel="0" collapsed="false">
      <c r="A2175" s="3" t="str">
        <f aca="false">HYPERLINK("https://www.fabsurplus.com/sdi_catalog/salesItemDetails.do?id=83622")</f>
        <v>https://www.fabsurplus.com/sdi_catalog/salesItemDetails.do?id=83622</v>
      </c>
      <c r="B2175" s="3" t="s">
        <v>6027</v>
      </c>
      <c r="C2175" s="3" t="s">
        <v>5861</v>
      </c>
      <c r="D2175" s="3" t="s">
        <v>5740</v>
      </c>
      <c r="E2175" s="3" t="s">
        <v>6028</v>
      </c>
      <c r="F2175" s="3" t="s">
        <v>16</v>
      </c>
      <c r="G2175" s="3" t="s">
        <v>6029</v>
      </c>
      <c r="H2175" s="3" t="s">
        <v>27</v>
      </c>
      <c r="I2175" s="4" t="n">
        <v>36678</v>
      </c>
      <c r="J2175" s="3" t="s">
        <v>19</v>
      </c>
      <c r="K2175" s="3" t="s">
        <v>20</v>
      </c>
      <c r="L2175" s="5" t="s">
        <v>6030</v>
      </c>
    </row>
    <row r="2176" customFormat="false" ht="11.9" hidden="false" customHeight="true" outlineLevel="0" collapsed="false">
      <c r="A2176" s="2" t="str">
        <f aca="false">HYPERLINK("https://www.fabsurplus.com/sdi_catalog/salesItemDetails.do?id=83623")</f>
        <v>https://www.fabsurplus.com/sdi_catalog/salesItemDetails.do?id=83623</v>
      </c>
      <c r="B2176" s="2" t="s">
        <v>6031</v>
      </c>
      <c r="C2176" s="2" t="s">
        <v>5861</v>
      </c>
      <c r="D2176" s="2" t="s">
        <v>5740</v>
      </c>
      <c r="E2176" s="2" t="s">
        <v>6028</v>
      </c>
      <c r="F2176" s="2" t="s">
        <v>16</v>
      </c>
      <c r="G2176" s="2" t="s">
        <v>17</v>
      </c>
      <c r="H2176" s="2" t="s">
        <v>1691</v>
      </c>
      <c r="I2176" s="7" t="n">
        <v>36678</v>
      </c>
      <c r="J2176" s="2" t="s">
        <v>19</v>
      </c>
      <c r="K2176" s="2" t="s">
        <v>20</v>
      </c>
      <c r="L2176" s="6" t="s">
        <v>6032</v>
      </c>
    </row>
    <row r="2177" customFormat="false" ht="11.9" hidden="false" customHeight="true" outlineLevel="0" collapsed="false">
      <c r="A2177" s="3" t="str">
        <f aca="false">HYPERLINK("https://www.fabsurplus.com/sdi_catalog/salesItemDetails.do?id=83630")</f>
        <v>https://www.fabsurplus.com/sdi_catalog/salesItemDetails.do?id=83630</v>
      </c>
      <c r="B2177" s="3" t="s">
        <v>6033</v>
      </c>
      <c r="C2177" s="3" t="s">
        <v>5873</v>
      </c>
      <c r="D2177" s="3" t="s">
        <v>5740</v>
      </c>
      <c r="E2177" s="3" t="s">
        <v>6028</v>
      </c>
      <c r="F2177" s="3" t="s">
        <v>16</v>
      </c>
      <c r="G2177" s="3" t="s">
        <v>17</v>
      </c>
      <c r="H2177" s="3" t="s">
        <v>1691</v>
      </c>
      <c r="I2177" s="4" t="n">
        <v>36861</v>
      </c>
      <c r="J2177" s="3" t="s">
        <v>19</v>
      </c>
      <c r="K2177" s="3" t="s">
        <v>20</v>
      </c>
      <c r="L2177" s="5" t="s">
        <v>6034</v>
      </c>
    </row>
    <row r="2178" customFormat="false" ht="11.9" hidden="false" customHeight="true" outlineLevel="0" collapsed="false">
      <c r="A2178" s="2" t="str">
        <f aca="false">HYPERLINK("https://www.fabsurplus.com/sdi_catalog/salesItemDetails.do?id=83621")</f>
        <v>https://www.fabsurplus.com/sdi_catalog/salesItemDetails.do?id=83621</v>
      </c>
      <c r="B2178" s="2" t="s">
        <v>6035</v>
      </c>
      <c r="C2178" s="2" t="s">
        <v>5861</v>
      </c>
      <c r="D2178" s="2" t="s">
        <v>5740</v>
      </c>
      <c r="E2178" s="2" t="s">
        <v>6036</v>
      </c>
      <c r="F2178" s="2" t="s">
        <v>69</v>
      </c>
      <c r="G2178" s="2" t="s">
        <v>6037</v>
      </c>
      <c r="H2178" s="2" t="s">
        <v>1691</v>
      </c>
      <c r="I2178" s="7" t="n">
        <v>35946.9166666667</v>
      </c>
      <c r="J2178" s="2" t="s">
        <v>19</v>
      </c>
      <c r="K2178" s="2" t="s">
        <v>20</v>
      </c>
      <c r="L2178" s="6" t="s">
        <v>6038</v>
      </c>
    </row>
    <row r="2179" customFormat="false" ht="11.9" hidden="false" customHeight="true" outlineLevel="0" collapsed="false">
      <c r="A2179" s="2" t="str">
        <f aca="false">HYPERLINK("https://www.fabsurplus.com/sdi_catalog/salesItemDetails.do?id=84054")</f>
        <v>https://www.fabsurplus.com/sdi_catalog/salesItemDetails.do?id=84054</v>
      </c>
      <c r="B2179" s="2" t="s">
        <v>6039</v>
      </c>
      <c r="C2179" s="2" t="s">
        <v>5873</v>
      </c>
      <c r="D2179" s="2" t="s">
        <v>5740</v>
      </c>
      <c r="E2179" s="2" t="s">
        <v>6040</v>
      </c>
      <c r="F2179" s="2" t="s">
        <v>77</v>
      </c>
      <c r="G2179" s="2" t="s">
        <v>26</v>
      </c>
      <c r="H2179" s="2" t="s">
        <v>27</v>
      </c>
      <c r="I2179" s="2"/>
      <c r="J2179" s="2" t="s">
        <v>19</v>
      </c>
      <c r="K2179" s="2" t="s">
        <v>20</v>
      </c>
      <c r="L2179" s="6" t="s">
        <v>6041</v>
      </c>
    </row>
    <row r="2180" customFormat="false" ht="11.9" hidden="false" customHeight="true" outlineLevel="0" collapsed="false">
      <c r="A2180" s="3" t="str">
        <f aca="false">HYPERLINK("https://www.fabsurplus.com/sdi_catalog/salesItemDetails.do?id=84091")</f>
        <v>https://www.fabsurplus.com/sdi_catalog/salesItemDetails.do?id=84091</v>
      </c>
      <c r="B2180" s="3" t="s">
        <v>6042</v>
      </c>
      <c r="C2180" s="3" t="s">
        <v>5873</v>
      </c>
      <c r="D2180" s="3" t="s">
        <v>6043</v>
      </c>
      <c r="E2180" s="3" t="s">
        <v>6044</v>
      </c>
      <c r="F2180" s="3" t="s">
        <v>16</v>
      </c>
      <c r="G2180" s="3" t="s">
        <v>26</v>
      </c>
      <c r="H2180" s="3" t="s">
        <v>27</v>
      </c>
      <c r="I2180" s="4" t="n">
        <v>34850.9166666667</v>
      </c>
      <c r="J2180" s="3" t="s">
        <v>19</v>
      </c>
      <c r="K2180" s="3" t="s">
        <v>20</v>
      </c>
      <c r="L2180" s="5" t="s">
        <v>6045</v>
      </c>
    </row>
    <row r="2181" customFormat="false" ht="11.9" hidden="false" customHeight="true" outlineLevel="0" collapsed="false">
      <c r="A2181" s="3" t="str">
        <f aca="false">HYPERLINK("https://www.fabsurplus.com/sdi_catalog/salesItemDetails.do?id=83932")</f>
        <v>https://www.fabsurplus.com/sdi_catalog/salesItemDetails.do?id=83932</v>
      </c>
      <c r="B2181" s="3" t="s">
        <v>6046</v>
      </c>
      <c r="C2181" s="3" t="s">
        <v>5873</v>
      </c>
      <c r="D2181" s="3" t="s">
        <v>6047</v>
      </c>
      <c r="E2181" s="3" t="s">
        <v>6048</v>
      </c>
      <c r="F2181" s="3" t="s">
        <v>16</v>
      </c>
      <c r="G2181" s="3" t="s">
        <v>41</v>
      </c>
      <c r="H2181" s="3" t="s">
        <v>27</v>
      </c>
      <c r="I2181" s="4" t="n">
        <v>31381.9583333333</v>
      </c>
      <c r="J2181" s="3" t="s">
        <v>19</v>
      </c>
      <c r="K2181" s="3" t="s">
        <v>20</v>
      </c>
      <c r="L2181" s="5" t="s">
        <v>6049</v>
      </c>
    </row>
    <row r="2182" customFormat="false" ht="11.9" hidden="false" customHeight="true" outlineLevel="0" collapsed="false">
      <c r="A2182" s="3" t="str">
        <f aca="false">HYPERLINK("https://www.fabsurplus.com/sdi_catalog/salesItemDetails.do?id=53227")</f>
        <v>https://www.fabsurplus.com/sdi_catalog/salesItemDetails.do?id=53227</v>
      </c>
      <c r="B2182" s="3" t="s">
        <v>6050</v>
      </c>
      <c r="C2182" s="3" t="s">
        <v>5861</v>
      </c>
      <c r="D2182" s="3" t="s">
        <v>6051</v>
      </c>
      <c r="E2182" s="3" t="s">
        <v>6052</v>
      </c>
      <c r="F2182" s="3" t="s">
        <v>16</v>
      </c>
      <c r="G2182" s="3" t="s">
        <v>41</v>
      </c>
      <c r="H2182" s="3" t="s">
        <v>27</v>
      </c>
      <c r="I2182" s="4" t="n">
        <v>32843</v>
      </c>
      <c r="J2182" s="3" t="s">
        <v>19</v>
      </c>
      <c r="K2182" s="3" t="s">
        <v>20</v>
      </c>
      <c r="L2182" s="5" t="s">
        <v>6053</v>
      </c>
    </row>
    <row r="2183" customFormat="false" ht="11.9" hidden="false" customHeight="true" outlineLevel="0" collapsed="false">
      <c r="A2183" s="3" t="str">
        <f aca="false">HYPERLINK("https://www.fabsurplus.com/sdi_catalog/salesItemDetails.do?id=84220")</f>
        <v>https://www.fabsurplus.com/sdi_catalog/salesItemDetails.do?id=84220</v>
      </c>
      <c r="B2183" s="3" t="s">
        <v>6054</v>
      </c>
      <c r="C2183" s="3" t="s">
        <v>5873</v>
      </c>
      <c r="D2183" s="3" t="s">
        <v>6055</v>
      </c>
      <c r="E2183" s="3" t="s">
        <v>6056</v>
      </c>
      <c r="F2183" s="3" t="s">
        <v>16</v>
      </c>
      <c r="G2183" s="3" t="s">
        <v>26</v>
      </c>
      <c r="H2183" s="3" t="s">
        <v>27</v>
      </c>
      <c r="I2183" s="3"/>
      <c r="J2183" s="3" t="s">
        <v>19</v>
      </c>
      <c r="K2183" s="3" t="s">
        <v>20</v>
      </c>
      <c r="L2183" s="3"/>
    </row>
    <row r="2184" customFormat="false" ht="11.9" hidden="false" customHeight="true" outlineLevel="0" collapsed="false">
      <c r="A2184" s="3" t="str">
        <f aca="false">HYPERLINK("https://www.fabsurplus.com/sdi_catalog/salesItemDetails.do?id=109059")</f>
        <v>https://www.fabsurplus.com/sdi_catalog/salesItemDetails.do?id=109059</v>
      </c>
      <c r="B2184" s="3" t="s">
        <v>6057</v>
      </c>
      <c r="C2184" s="3" t="s">
        <v>5861</v>
      </c>
      <c r="D2184" s="3" t="s">
        <v>6058</v>
      </c>
      <c r="E2184" s="3" t="s">
        <v>6059</v>
      </c>
      <c r="F2184" s="3" t="s">
        <v>16</v>
      </c>
      <c r="G2184" s="3" t="s">
        <v>41</v>
      </c>
      <c r="H2184" s="3" t="s">
        <v>27</v>
      </c>
      <c r="I2184" s="3"/>
      <c r="J2184" s="3" t="s">
        <v>19</v>
      </c>
      <c r="K2184" s="3" t="s">
        <v>20</v>
      </c>
      <c r="L2184" s="5" t="s">
        <v>6060</v>
      </c>
    </row>
    <row r="2185" customFormat="false" ht="11.9" hidden="false" customHeight="true" outlineLevel="0" collapsed="false">
      <c r="A2185" s="2" t="str">
        <f aca="false">HYPERLINK("https://www.fabsurplus.com/sdi_catalog/salesItemDetails.do?id=18635")</f>
        <v>https://www.fabsurplus.com/sdi_catalog/salesItemDetails.do?id=18635</v>
      </c>
      <c r="B2185" s="2" t="s">
        <v>6061</v>
      </c>
      <c r="C2185" s="2" t="s">
        <v>5861</v>
      </c>
      <c r="D2185" s="2" t="s">
        <v>6062</v>
      </c>
      <c r="E2185" s="2" t="s">
        <v>6063</v>
      </c>
      <c r="F2185" s="2" t="s">
        <v>16</v>
      </c>
      <c r="G2185" s="2" t="s">
        <v>6064</v>
      </c>
      <c r="H2185" s="2"/>
      <c r="I2185" s="7" t="n">
        <v>33756</v>
      </c>
      <c r="J2185" s="2" t="s">
        <v>19</v>
      </c>
      <c r="K2185" s="2"/>
      <c r="L2185" s="2" t="s">
        <v>15</v>
      </c>
    </row>
    <row r="2186" customFormat="false" ht="11.9" hidden="false" customHeight="true" outlineLevel="0" collapsed="false">
      <c r="A2186" s="2" t="str">
        <f aca="false">HYPERLINK("https://www.fabsurplus.com/sdi_catalog/salesItemDetails.do?id=34165")</f>
        <v>https://www.fabsurplus.com/sdi_catalog/salesItemDetails.do?id=34165</v>
      </c>
      <c r="B2186" s="2" t="s">
        <v>6065</v>
      </c>
      <c r="C2186" s="2" t="s">
        <v>5873</v>
      </c>
      <c r="D2186" s="2" t="s">
        <v>6066</v>
      </c>
      <c r="E2186" s="2" t="s">
        <v>6067</v>
      </c>
      <c r="F2186" s="2" t="s">
        <v>16</v>
      </c>
      <c r="G2186" s="2" t="s">
        <v>26</v>
      </c>
      <c r="H2186" s="2" t="s">
        <v>27</v>
      </c>
      <c r="I2186" s="2"/>
      <c r="J2186" s="2" t="s">
        <v>19</v>
      </c>
      <c r="K2186" s="2" t="s">
        <v>20</v>
      </c>
      <c r="L2186" s="2" t="s">
        <v>6068</v>
      </c>
    </row>
    <row r="2187" customFormat="false" ht="11.9" hidden="false" customHeight="true" outlineLevel="0" collapsed="false">
      <c r="A2187" s="2" t="str">
        <f aca="false">HYPERLINK("https://www.fabsurplus.com/sdi_catalog/salesItemDetails.do?id=84409")</f>
        <v>https://www.fabsurplus.com/sdi_catalog/salesItemDetails.do?id=84409</v>
      </c>
      <c r="B2187" s="2" t="s">
        <v>6069</v>
      </c>
      <c r="C2187" s="2" t="s">
        <v>5861</v>
      </c>
      <c r="D2187" s="2" t="s">
        <v>6070</v>
      </c>
      <c r="E2187" s="2" t="s">
        <v>6070</v>
      </c>
      <c r="F2187" s="2" t="s">
        <v>16</v>
      </c>
      <c r="G2187" s="2" t="s">
        <v>41</v>
      </c>
      <c r="H2187" s="2" t="s">
        <v>27</v>
      </c>
      <c r="I2187" s="2"/>
      <c r="J2187" s="2" t="s">
        <v>19</v>
      </c>
      <c r="K2187" s="2" t="s">
        <v>20</v>
      </c>
      <c r="L2187" s="2" t="s">
        <v>6071</v>
      </c>
    </row>
    <row r="2188" customFormat="false" ht="11.9" hidden="false" customHeight="true" outlineLevel="0" collapsed="false">
      <c r="A2188" s="3" t="str">
        <f aca="false">HYPERLINK("https://www.fabsurplus.com/sdi_catalog/salesItemDetails.do?id=34166")</f>
        <v>https://www.fabsurplus.com/sdi_catalog/salesItemDetails.do?id=34166</v>
      </c>
      <c r="B2188" s="3" t="s">
        <v>6072</v>
      </c>
      <c r="C2188" s="3" t="s">
        <v>5873</v>
      </c>
      <c r="D2188" s="3" t="s">
        <v>6073</v>
      </c>
      <c r="E2188" s="3" t="s">
        <v>6074</v>
      </c>
      <c r="F2188" s="3" t="s">
        <v>16</v>
      </c>
      <c r="G2188" s="3" t="s">
        <v>41</v>
      </c>
      <c r="H2188" s="3" t="s">
        <v>27</v>
      </c>
      <c r="I2188" s="3"/>
      <c r="J2188" s="3" t="s">
        <v>19</v>
      </c>
      <c r="K2188" s="3" t="s">
        <v>20</v>
      </c>
      <c r="L2188" s="3" t="s">
        <v>6075</v>
      </c>
    </row>
    <row r="2189" customFormat="false" ht="11.9" hidden="false" customHeight="true" outlineLevel="0" collapsed="false">
      <c r="A2189" s="3" t="str">
        <f aca="false">HYPERLINK("https://www.fabsurplus.com/sdi_catalog/salesItemDetails.do?id=84086")</f>
        <v>https://www.fabsurplus.com/sdi_catalog/salesItemDetails.do?id=84086</v>
      </c>
      <c r="B2189" s="3" t="s">
        <v>6076</v>
      </c>
      <c r="C2189" s="3" t="s">
        <v>5873</v>
      </c>
      <c r="D2189" s="3" t="s">
        <v>6077</v>
      </c>
      <c r="E2189" s="3" t="s">
        <v>6078</v>
      </c>
      <c r="F2189" s="3" t="s">
        <v>2061</v>
      </c>
      <c r="G2189" s="3"/>
      <c r="H2189" s="3" t="s">
        <v>944</v>
      </c>
      <c r="I2189" s="4" t="n">
        <v>36678</v>
      </c>
      <c r="J2189" s="3" t="s">
        <v>19</v>
      </c>
      <c r="K2189" s="3" t="s">
        <v>20</v>
      </c>
      <c r="L2189" s="5" t="s">
        <v>6079</v>
      </c>
    </row>
    <row r="2190" customFormat="false" ht="11.9" hidden="false" customHeight="true" outlineLevel="0" collapsed="false">
      <c r="A2190" s="2" t="str">
        <f aca="false">HYPERLINK("https://www.fabsurplus.com/sdi_catalog/salesItemDetails.do?id=52151")</f>
        <v>https://www.fabsurplus.com/sdi_catalog/salesItemDetails.do?id=52151</v>
      </c>
      <c r="B2190" s="2" t="s">
        <v>6080</v>
      </c>
      <c r="C2190" s="2" t="s">
        <v>5861</v>
      </c>
      <c r="D2190" s="2" t="s">
        <v>6081</v>
      </c>
      <c r="E2190" s="2" t="s">
        <v>5687</v>
      </c>
      <c r="F2190" s="2" t="s">
        <v>16</v>
      </c>
      <c r="G2190" s="2" t="s">
        <v>17</v>
      </c>
      <c r="H2190" s="2" t="s">
        <v>1691</v>
      </c>
      <c r="I2190" s="7" t="n">
        <v>39142</v>
      </c>
      <c r="J2190" s="2" t="s">
        <v>19</v>
      </c>
      <c r="K2190" s="2" t="s">
        <v>20</v>
      </c>
      <c r="L2190" s="2" t="s">
        <v>6082</v>
      </c>
    </row>
    <row r="2191" customFormat="false" ht="11.9" hidden="false" customHeight="true" outlineLevel="0" collapsed="false">
      <c r="A2191" s="3" t="str">
        <f aca="false">HYPERLINK("https://www.fabsurplus.com/sdi_catalog/salesItemDetails.do?id=21667")</f>
        <v>https://www.fabsurplus.com/sdi_catalog/salesItemDetails.do?id=21667</v>
      </c>
      <c r="B2191" s="3" t="s">
        <v>6083</v>
      </c>
      <c r="C2191" s="3" t="s">
        <v>5861</v>
      </c>
      <c r="D2191" s="3" t="s">
        <v>6084</v>
      </c>
      <c r="E2191" s="3" t="s">
        <v>6085</v>
      </c>
      <c r="F2191" s="3" t="s">
        <v>16</v>
      </c>
      <c r="G2191" s="3" t="s">
        <v>41</v>
      </c>
      <c r="H2191" s="3" t="s">
        <v>35</v>
      </c>
      <c r="I2191" s="4" t="n">
        <v>35826.9583333333</v>
      </c>
      <c r="J2191" s="3" t="s">
        <v>42</v>
      </c>
      <c r="K2191" s="3" t="s">
        <v>20</v>
      </c>
      <c r="L2191" s="3" t="s">
        <v>6086</v>
      </c>
    </row>
    <row r="2192" customFormat="false" ht="11.9" hidden="false" customHeight="true" outlineLevel="0" collapsed="false">
      <c r="A2192" s="2" t="str">
        <f aca="false">HYPERLINK("https://www.fabsurplus.com/sdi_catalog/salesItemDetails.do?id=83896")</f>
        <v>https://www.fabsurplus.com/sdi_catalog/salesItemDetails.do?id=83896</v>
      </c>
      <c r="B2192" s="2" t="s">
        <v>6087</v>
      </c>
      <c r="C2192" s="2" t="s">
        <v>5873</v>
      </c>
      <c r="D2192" s="2" t="s">
        <v>6088</v>
      </c>
      <c r="E2192" s="2" t="s">
        <v>6089</v>
      </c>
      <c r="F2192" s="2" t="s">
        <v>16</v>
      </c>
      <c r="G2192" s="2" t="s">
        <v>41</v>
      </c>
      <c r="H2192" s="2" t="s">
        <v>35</v>
      </c>
      <c r="I2192" s="2"/>
      <c r="J2192" s="2" t="s">
        <v>19</v>
      </c>
      <c r="K2192" s="2" t="s">
        <v>20</v>
      </c>
      <c r="L2192" s="6" t="s">
        <v>6090</v>
      </c>
    </row>
    <row r="2193" customFormat="false" ht="11.9" hidden="false" customHeight="true" outlineLevel="0" collapsed="false">
      <c r="A2193" s="3" t="str">
        <f aca="false">HYPERLINK("https://www.fabsurplus.com/sdi_catalog/salesItemDetails.do?id=4958")</f>
        <v>https://www.fabsurplus.com/sdi_catalog/salesItemDetails.do?id=4958</v>
      </c>
      <c r="B2193" s="3" t="s">
        <v>6091</v>
      </c>
      <c r="C2193" s="3" t="s">
        <v>5861</v>
      </c>
      <c r="D2193" s="3" t="s">
        <v>6092</v>
      </c>
      <c r="E2193" s="3" t="s">
        <v>6093</v>
      </c>
      <c r="F2193" s="3" t="s">
        <v>16</v>
      </c>
      <c r="G2193" s="3" t="s">
        <v>1062</v>
      </c>
      <c r="H2193" s="3" t="s">
        <v>35</v>
      </c>
      <c r="I2193" s="3"/>
      <c r="J2193" s="3" t="s">
        <v>19</v>
      </c>
      <c r="K2193" s="3" t="s">
        <v>20</v>
      </c>
      <c r="L2193" s="5" t="s">
        <v>6094</v>
      </c>
    </row>
    <row r="2194" customFormat="false" ht="11.9" hidden="false" customHeight="true" outlineLevel="0" collapsed="false">
      <c r="A2194" s="2" t="str">
        <f aca="false">HYPERLINK("https://www.fabsurplus.com/sdi_catalog/salesItemDetails.do?id=105866")</f>
        <v>https://www.fabsurplus.com/sdi_catalog/salesItemDetails.do?id=105866</v>
      </c>
      <c r="B2194" s="2" t="s">
        <v>6095</v>
      </c>
      <c r="C2194" s="2" t="s">
        <v>5861</v>
      </c>
      <c r="D2194" s="2" t="s">
        <v>6096</v>
      </c>
      <c r="E2194" s="2" t="s">
        <v>6097</v>
      </c>
      <c r="F2194" s="2" t="s">
        <v>16</v>
      </c>
      <c r="G2194" s="2"/>
      <c r="H2194" s="2" t="s">
        <v>35</v>
      </c>
      <c r="I2194" s="2"/>
      <c r="J2194" s="2" t="s">
        <v>19</v>
      </c>
      <c r="K2194" s="2" t="s">
        <v>20</v>
      </c>
      <c r="L2194" s="2" t="s">
        <v>6098</v>
      </c>
    </row>
    <row r="2195" customFormat="false" ht="11.9" hidden="false" customHeight="true" outlineLevel="0" collapsed="false">
      <c r="A2195" s="3" t="str">
        <f aca="false">HYPERLINK("https://www.fabsurplus.com/sdi_catalog/salesItemDetails.do?id=27806")</f>
        <v>https://www.fabsurplus.com/sdi_catalog/salesItemDetails.do?id=27806</v>
      </c>
      <c r="B2195" s="3" t="s">
        <v>6099</v>
      </c>
      <c r="C2195" s="3" t="s">
        <v>5861</v>
      </c>
      <c r="D2195" s="3" t="s">
        <v>6100</v>
      </c>
      <c r="E2195" s="3" t="s">
        <v>6101</v>
      </c>
      <c r="F2195" s="3" t="s">
        <v>77</v>
      </c>
      <c r="G2195" s="3" t="s">
        <v>26</v>
      </c>
      <c r="H2195" s="3" t="s">
        <v>35</v>
      </c>
      <c r="I2195" s="3"/>
      <c r="J2195" s="3" t="s">
        <v>19</v>
      </c>
      <c r="K2195" s="3" t="s">
        <v>20</v>
      </c>
      <c r="L2195" s="5" t="s">
        <v>6102</v>
      </c>
    </row>
    <row r="2196" customFormat="false" ht="11.9" hidden="false" customHeight="true" outlineLevel="0" collapsed="false">
      <c r="A2196" s="3" t="str">
        <f aca="false">HYPERLINK("https://www.fabsurplus.com/sdi_catalog/salesItemDetails.do?id=18634")</f>
        <v>https://www.fabsurplus.com/sdi_catalog/salesItemDetails.do?id=18634</v>
      </c>
      <c r="B2196" s="3" t="s">
        <v>6103</v>
      </c>
      <c r="C2196" s="3" t="s">
        <v>5861</v>
      </c>
      <c r="D2196" s="3"/>
      <c r="E2196" s="3" t="s">
        <v>6104</v>
      </c>
      <c r="F2196" s="3" t="s">
        <v>16</v>
      </c>
      <c r="G2196" s="3" t="s">
        <v>6105</v>
      </c>
      <c r="H2196" s="3"/>
      <c r="I2196" s="4" t="n">
        <v>33756</v>
      </c>
      <c r="J2196" s="3" t="s">
        <v>19</v>
      </c>
      <c r="K2196" s="3"/>
      <c r="L2196" s="3" t="s">
        <v>15</v>
      </c>
    </row>
    <row r="2197" customFormat="false" ht="11.9" hidden="false" customHeight="true" outlineLevel="0" collapsed="false">
      <c r="A2197" s="2" t="str">
        <f aca="false">HYPERLINK("https://www.fabsurplus.com/sdi_catalog/salesItemDetails.do?id=83643")</f>
        <v>https://www.fabsurplus.com/sdi_catalog/salesItemDetails.do?id=83643</v>
      </c>
      <c r="B2197" s="2" t="s">
        <v>6106</v>
      </c>
      <c r="C2197" s="2" t="s">
        <v>5861</v>
      </c>
      <c r="D2197" s="2"/>
      <c r="E2197" s="2" t="s">
        <v>6107</v>
      </c>
      <c r="F2197" s="2" t="s">
        <v>77</v>
      </c>
      <c r="G2197" s="2" t="s">
        <v>41</v>
      </c>
      <c r="H2197" s="2" t="s">
        <v>27</v>
      </c>
      <c r="I2197" s="2"/>
      <c r="J2197" s="2" t="s">
        <v>19</v>
      </c>
      <c r="K2197" s="2" t="s">
        <v>20</v>
      </c>
      <c r="L2197" s="2" t="s">
        <v>6108</v>
      </c>
    </row>
    <row r="2198" customFormat="false" ht="11.9" hidden="false" customHeight="true" outlineLevel="0" collapsed="false">
      <c r="A2198" s="3" t="str">
        <f aca="false">HYPERLINK("https://www.fabsurplus.com/sdi_catalog/salesItemDetails.do?id=34149")</f>
        <v>https://www.fabsurplus.com/sdi_catalog/salesItemDetails.do?id=34149</v>
      </c>
      <c r="B2198" s="3" t="s">
        <v>6109</v>
      </c>
      <c r="C2198" s="3" t="s">
        <v>6110</v>
      </c>
      <c r="D2198" s="3" t="s">
        <v>5974</v>
      </c>
      <c r="E2198" s="3" t="s">
        <v>6111</v>
      </c>
      <c r="F2198" s="3" t="s">
        <v>16</v>
      </c>
      <c r="G2198" s="3" t="s">
        <v>17</v>
      </c>
      <c r="H2198" s="3" t="s">
        <v>27</v>
      </c>
      <c r="I2198" s="3"/>
      <c r="J2198" s="3"/>
      <c r="K2198" s="3"/>
      <c r="L2198" s="3"/>
    </row>
    <row r="2199" customFormat="false" ht="11.9" hidden="false" customHeight="true" outlineLevel="0" collapsed="false">
      <c r="A2199" s="2" t="str">
        <f aca="false">HYPERLINK("https://www.fabsurplus.com/sdi_catalog/salesItemDetails.do?id=53036")</f>
        <v>https://www.fabsurplus.com/sdi_catalog/salesItemDetails.do?id=53036</v>
      </c>
      <c r="B2199" s="2" t="s">
        <v>6112</v>
      </c>
      <c r="C2199" s="2" t="s">
        <v>6113</v>
      </c>
      <c r="D2199" s="2" t="s">
        <v>6114</v>
      </c>
      <c r="E2199" s="2" t="s">
        <v>6115</v>
      </c>
      <c r="F2199" s="2" t="s">
        <v>16</v>
      </c>
      <c r="G2199" s="2" t="s">
        <v>17</v>
      </c>
      <c r="H2199" s="2" t="s">
        <v>27</v>
      </c>
      <c r="I2199" s="2"/>
      <c r="J2199" s="2" t="s">
        <v>19</v>
      </c>
      <c r="K2199" s="2" t="s">
        <v>20</v>
      </c>
      <c r="L2199" s="6" t="s">
        <v>6116</v>
      </c>
    </row>
    <row r="2200" customFormat="false" ht="11.9" hidden="false" customHeight="true" outlineLevel="0" collapsed="false">
      <c r="A2200" s="3" t="str">
        <f aca="false">HYPERLINK("https://www.fabsurplus.com/sdi_catalog/salesItemDetails.do?id=84411")</f>
        <v>https://www.fabsurplus.com/sdi_catalog/salesItemDetails.do?id=84411</v>
      </c>
      <c r="B2200" s="3" t="s">
        <v>6117</v>
      </c>
      <c r="C2200" s="3" t="s">
        <v>6118</v>
      </c>
      <c r="D2200" s="3" t="s">
        <v>5776</v>
      </c>
      <c r="E2200" s="3" t="s">
        <v>6119</v>
      </c>
      <c r="F2200" s="3" t="s">
        <v>16</v>
      </c>
      <c r="G2200" s="3" t="s">
        <v>41</v>
      </c>
      <c r="H2200" s="3" t="s">
        <v>27</v>
      </c>
      <c r="I2200" s="4" t="n">
        <v>34850.9166666667</v>
      </c>
      <c r="J2200" s="3" t="s">
        <v>19</v>
      </c>
      <c r="K2200" s="3" t="s">
        <v>20</v>
      </c>
      <c r="L2200" s="5" t="s">
        <v>6120</v>
      </c>
    </row>
    <row r="2201" customFormat="false" ht="11.9" hidden="false" customHeight="true" outlineLevel="0" collapsed="false">
      <c r="A2201" s="2" t="str">
        <f aca="false">HYPERLINK("https://www.fabsurplus.com/sdi_catalog/salesItemDetails.do?id=34116")</f>
        <v>https://www.fabsurplus.com/sdi_catalog/salesItemDetails.do?id=34116</v>
      </c>
      <c r="B2201" s="2" t="s">
        <v>6121</v>
      </c>
      <c r="C2201" s="2" t="s">
        <v>6122</v>
      </c>
      <c r="D2201" s="2" t="s">
        <v>6123</v>
      </c>
      <c r="E2201" s="2" t="s">
        <v>6124</v>
      </c>
      <c r="F2201" s="2" t="s">
        <v>16</v>
      </c>
      <c r="G2201" s="2" t="s">
        <v>41</v>
      </c>
      <c r="H2201" s="2" t="s">
        <v>27</v>
      </c>
      <c r="I2201" s="2"/>
      <c r="J2201" s="2" t="s">
        <v>19</v>
      </c>
      <c r="K2201" s="2" t="s">
        <v>20</v>
      </c>
      <c r="L2201" s="6" t="s">
        <v>6125</v>
      </c>
    </row>
    <row r="2202" customFormat="false" ht="11.9" hidden="false" customHeight="true" outlineLevel="0" collapsed="false">
      <c r="A2202" s="2" t="str">
        <f aca="false">HYPERLINK("https://www.fabsurplus.com/sdi_catalog/salesItemDetails.do?id=35971")</f>
        <v>https://www.fabsurplus.com/sdi_catalog/salesItemDetails.do?id=35971</v>
      </c>
      <c r="B2202" s="2" t="s">
        <v>6126</v>
      </c>
      <c r="C2202" s="2" t="s">
        <v>6127</v>
      </c>
      <c r="D2202" s="2" t="s">
        <v>5792</v>
      </c>
      <c r="E2202" s="2" t="s">
        <v>6128</v>
      </c>
      <c r="F2202" s="2" t="s">
        <v>77</v>
      </c>
      <c r="G2202" s="2" t="s">
        <v>17</v>
      </c>
      <c r="H2202" s="2" t="s">
        <v>27</v>
      </c>
      <c r="I2202" s="7" t="n">
        <v>35947</v>
      </c>
      <c r="J2202" s="2" t="s">
        <v>19</v>
      </c>
      <c r="K2202" s="2" t="s">
        <v>20</v>
      </c>
      <c r="L2202" s="2" t="s">
        <v>6129</v>
      </c>
    </row>
    <row r="2203" customFormat="false" ht="11.9" hidden="false" customHeight="true" outlineLevel="0" collapsed="false">
      <c r="A2203" s="3" t="str">
        <f aca="false">HYPERLINK("https://www.fabsurplus.com/sdi_catalog/salesItemDetails.do?id=74239")</f>
        <v>https://www.fabsurplus.com/sdi_catalog/salesItemDetails.do?id=74239</v>
      </c>
      <c r="B2203" s="3" t="s">
        <v>6130</v>
      </c>
      <c r="C2203" s="3" t="s">
        <v>6131</v>
      </c>
      <c r="D2203" s="3" t="s">
        <v>6132</v>
      </c>
      <c r="E2203" s="3" t="s">
        <v>6133</v>
      </c>
      <c r="F2203" s="3" t="s">
        <v>16</v>
      </c>
      <c r="G2203" s="3" t="s">
        <v>17</v>
      </c>
      <c r="H2203" s="3" t="s">
        <v>35</v>
      </c>
      <c r="I2203" s="4" t="n">
        <v>38749</v>
      </c>
      <c r="J2203" s="3" t="s">
        <v>19</v>
      </c>
      <c r="K2203" s="3" t="s">
        <v>20</v>
      </c>
      <c r="L2203" s="5" t="s">
        <v>6134</v>
      </c>
    </row>
    <row r="2204" customFormat="false" ht="11.9" hidden="false" customHeight="true" outlineLevel="0" collapsed="false">
      <c r="A2204" s="2" t="str">
        <f aca="false">HYPERLINK("https://www.fabsurplus.com/sdi_catalog/salesItemDetails.do?id=103386")</f>
        <v>https://www.fabsurplus.com/sdi_catalog/salesItemDetails.do?id=103386</v>
      </c>
      <c r="B2204" s="2" t="s">
        <v>6135</v>
      </c>
      <c r="C2204" s="2" t="s">
        <v>6136</v>
      </c>
      <c r="D2204" s="2" t="s">
        <v>6137</v>
      </c>
      <c r="E2204" s="2" t="s">
        <v>6138</v>
      </c>
      <c r="F2204" s="2" t="s">
        <v>77</v>
      </c>
      <c r="G2204" s="2" t="s">
        <v>26</v>
      </c>
      <c r="H2204" s="2" t="s">
        <v>27</v>
      </c>
      <c r="I2204" s="7" t="n">
        <v>37011.9166666667</v>
      </c>
      <c r="J2204" s="2" t="s">
        <v>19</v>
      </c>
      <c r="K2204" s="2" t="s">
        <v>20</v>
      </c>
      <c r="L2204" s="2" t="s">
        <v>6139</v>
      </c>
    </row>
    <row r="2205" customFormat="false" ht="11.9" hidden="false" customHeight="true" outlineLevel="0" collapsed="false">
      <c r="A2205" s="2" t="str">
        <f aca="false">HYPERLINK("https://www.fabsurplus.com/sdi_catalog/salesItemDetails.do?id=83891")</f>
        <v>https://www.fabsurplus.com/sdi_catalog/salesItemDetails.do?id=83891</v>
      </c>
      <c r="B2205" s="2" t="s">
        <v>6140</v>
      </c>
      <c r="C2205" s="2" t="s">
        <v>6141</v>
      </c>
      <c r="D2205" s="2" t="s">
        <v>6142</v>
      </c>
      <c r="E2205" s="2" t="s">
        <v>6143</v>
      </c>
      <c r="F2205" s="2" t="s">
        <v>77</v>
      </c>
      <c r="G2205" s="2"/>
      <c r="H2205" s="2" t="s">
        <v>27</v>
      </c>
      <c r="I2205" s="2"/>
      <c r="J2205" s="2" t="s">
        <v>19</v>
      </c>
      <c r="K2205" s="2" t="s">
        <v>20</v>
      </c>
      <c r="L2205" s="6" t="s">
        <v>6144</v>
      </c>
    </row>
    <row r="2206" customFormat="false" ht="11.9" hidden="false" customHeight="true" outlineLevel="0" collapsed="false">
      <c r="A2206" s="3" t="str">
        <f aca="false">HYPERLINK("https://www.fabsurplus.com/sdi_catalog/salesItemDetails.do?id=83880")</f>
        <v>https://www.fabsurplus.com/sdi_catalog/salesItemDetails.do?id=83880</v>
      </c>
      <c r="B2206" s="3" t="s">
        <v>6145</v>
      </c>
      <c r="C2206" s="3" t="s">
        <v>6141</v>
      </c>
      <c r="D2206" s="3" t="s">
        <v>6146</v>
      </c>
      <c r="E2206" s="3" t="s">
        <v>6147</v>
      </c>
      <c r="F2206" s="3" t="s">
        <v>235</v>
      </c>
      <c r="G2206" s="3"/>
      <c r="H2206" s="3" t="s">
        <v>18</v>
      </c>
      <c r="I2206" s="3"/>
      <c r="J2206" s="3" t="s">
        <v>19</v>
      </c>
      <c r="K2206" s="3" t="s">
        <v>20</v>
      </c>
      <c r="L2206" s="5" t="s">
        <v>6148</v>
      </c>
    </row>
    <row r="2207" customFormat="false" ht="11.9" hidden="false" customHeight="true" outlineLevel="0" collapsed="false">
      <c r="A2207" s="2" t="str">
        <f aca="false">HYPERLINK("https://www.fabsurplus.com/sdi_catalog/salesItemDetails.do?id=83873")</f>
        <v>https://www.fabsurplus.com/sdi_catalog/salesItemDetails.do?id=83873</v>
      </c>
      <c r="B2207" s="2" t="s">
        <v>6149</v>
      </c>
      <c r="C2207" s="2" t="s">
        <v>6141</v>
      </c>
      <c r="D2207" s="2" t="s">
        <v>6150</v>
      </c>
      <c r="E2207" s="2"/>
      <c r="F2207" s="2" t="s">
        <v>77</v>
      </c>
      <c r="G2207" s="2" t="s">
        <v>41</v>
      </c>
      <c r="H2207" s="2" t="s">
        <v>27</v>
      </c>
      <c r="I2207" s="2"/>
      <c r="J2207" s="2" t="s">
        <v>19</v>
      </c>
      <c r="K2207" s="2" t="s">
        <v>20</v>
      </c>
      <c r="L2207" s="6" t="s">
        <v>6151</v>
      </c>
    </row>
    <row r="2208" customFormat="false" ht="11.9" hidden="false" customHeight="true" outlineLevel="0" collapsed="false">
      <c r="A2208" s="3" t="str">
        <f aca="false">HYPERLINK("https://www.fabsurplus.com/sdi_catalog/salesItemDetails.do?id=83846")</f>
        <v>https://www.fabsurplus.com/sdi_catalog/salesItemDetails.do?id=83846</v>
      </c>
      <c r="B2208" s="3" t="s">
        <v>6152</v>
      </c>
      <c r="C2208" s="3" t="s">
        <v>6141</v>
      </c>
      <c r="D2208" s="3" t="s">
        <v>6153</v>
      </c>
      <c r="E2208" s="3" t="s">
        <v>6154</v>
      </c>
      <c r="F2208" s="3" t="s">
        <v>77</v>
      </c>
      <c r="G2208" s="3" t="s">
        <v>26</v>
      </c>
      <c r="H2208" s="3" t="s">
        <v>27</v>
      </c>
      <c r="I2208" s="3"/>
      <c r="J2208" s="3" t="s">
        <v>19</v>
      </c>
      <c r="K2208" s="3" t="s">
        <v>20</v>
      </c>
      <c r="L2208" s="5" t="s">
        <v>6155</v>
      </c>
    </row>
    <row r="2209" customFormat="false" ht="11.9" hidden="false" customHeight="true" outlineLevel="0" collapsed="false">
      <c r="A2209" s="3" t="str">
        <f aca="false">HYPERLINK("https://www.fabsurplus.com/sdi_catalog/salesItemDetails.do?id=84265")</f>
        <v>https://www.fabsurplus.com/sdi_catalog/salesItemDetails.do?id=84265</v>
      </c>
      <c r="B2209" s="3" t="s">
        <v>6156</v>
      </c>
      <c r="C2209" s="3" t="s">
        <v>6141</v>
      </c>
      <c r="D2209" s="3" t="s">
        <v>6157</v>
      </c>
      <c r="E2209" s="3" t="s">
        <v>6154</v>
      </c>
      <c r="F2209" s="3" t="s">
        <v>16</v>
      </c>
      <c r="G2209" s="3"/>
      <c r="H2209" s="3" t="s">
        <v>27</v>
      </c>
      <c r="I2209" s="3"/>
      <c r="J2209" s="3" t="s">
        <v>19</v>
      </c>
      <c r="K2209" s="3" t="s">
        <v>20</v>
      </c>
      <c r="L2209" s="5" t="s">
        <v>6158</v>
      </c>
    </row>
    <row r="2210" customFormat="false" ht="11.9" hidden="false" customHeight="true" outlineLevel="0" collapsed="false">
      <c r="A2210" s="3" t="str">
        <f aca="false">HYPERLINK("https://www.fabsurplus.com/sdi_catalog/salesItemDetails.do?id=84223")</f>
        <v>https://www.fabsurplus.com/sdi_catalog/salesItemDetails.do?id=84223</v>
      </c>
      <c r="B2210" s="3" t="s">
        <v>6159</v>
      </c>
      <c r="C2210" s="3" t="s">
        <v>6141</v>
      </c>
      <c r="D2210" s="3" t="s">
        <v>6160</v>
      </c>
      <c r="E2210" s="3" t="s">
        <v>6161</v>
      </c>
      <c r="F2210" s="3" t="s">
        <v>69</v>
      </c>
      <c r="G2210" s="3" t="s">
        <v>26</v>
      </c>
      <c r="H2210" s="3" t="s">
        <v>944</v>
      </c>
      <c r="I2210" s="3"/>
      <c r="J2210" s="3" t="s">
        <v>19</v>
      </c>
      <c r="K2210" s="3" t="s">
        <v>20</v>
      </c>
      <c r="L2210" s="5" t="s">
        <v>6162</v>
      </c>
    </row>
    <row r="2211" customFormat="false" ht="11.9" hidden="false" customHeight="true" outlineLevel="0" collapsed="false">
      <c r="A2211" s="2" t="str">
        <f aca="false">HYPERLINK("https://www.fabsurplus.com/sdi_catalog/salesItemDetails.do?id=84224")</f>
        <v>https://www.fabsurplus.com/sdi_catalog/salesItemDetails.do?id=84224</v>
      </c>
      <c r="B2211" s="2" t="s">
        <v>6163</v>
      </c>
      <c r="C2211" s="2" t="s">
        <v>6141</v>
      </c>
      <c r="D2211" s="2" t="s">
        <v>6160</v>
      </c>
      <c r="E2211" s="2" t="s">
        <v>6161</v>
      </c>
      <c r="F2211" s="2" t="s">
        <v>16</v>
      </c>
      <c r="G2211" s="2" t="s">
        <v>26</v>
      </c>
      <c r="H2211" s="2" t="s">
        <v>944</v>
      </c>
      <c r="I2211" s="2"/>
      <c r="J2211" s="2" t="s">
        <v>19</v>
      </c>
      <c r="K2211" s="2" t="s">
        <v>20</v>
      </c>
      <c r="L2211" s="6" t="s">
        <v>6164</v>
      </c>
    </row>
    <row r="2212" customFormat="false" ht="11.9" hidden="false" customHeight="true" outlineLevel="0" collapsed="false">
      <c r="A2212" s="2" t="str">
        <f aca="false">HYPERLINK("https://www.fabsurplus.com/sdi_catalog/salesItemDetails.do?id=84261")</f>
        <v>https://www.fabsurplus.com/sdi_catalog/salesItemDetails.do?id=84261</v>
      </c>
      <c r="B2212" s="2" t="s">
        <v>6165</v>
      </c>
      <c r="C2212" s="2" t="s">
        <v>6141</v>
      </c>
      <c r="D2212" s="2" t="s">
        <v>6166</v>
      </c>
      <c r="E2212" s="2" t="s">
        <v>6154</v>
      </c>
      <c r="F2212" s="2" t="s">
        <v>77</v>
      </c>
      <c r="G2212" s="2"/>
      <c r="H2212" s="2" t="s">
        <v>27</v>
      </c>
      <c r="I2212" s="2"/>
      <c r="J2212" s="2" t="s">
        <v>19</v>
      </c>
      <c r="K2212" s="2" t="s">
        <v>20</v>
      </c>
      <c r="L2212" s="6" t="s">
        <v>6167</v>
      </c>
    </row>
    <row r="2213" customFormat="false" ht="11.9" hidden="false" customHeight="true" outlineLevel="0" collapsed="false">
      <c r="A2213" s="3" t="str">
        <f aca="false">HYPERLINK("https://www.fabsurplus.com/sdi_catalog/salesItemDetails.do?id=84258")</f>
        <v>https://www.fabsurplus.com/sdi_catalog/salesItemDetails.do?id=84258</v>
      </c>
      <c r="B2213" s="3" t="s">
        <v>6168</v>
      </c>
      <c r="C2213" s="3" t="s">
        <v>6141</v>
      </c>
      <c r="D2213" s="3" t="s">
        <v>6169</v>
      </c>
      <c r="E2213" s="3" t="s">
        <v>6154</v>
      </c>
      <c r="F2213" s="3" t="s">
        <v>101</v>
      </c>
      <c r="G2213" s="3"/>
      <c r="H2213" s="3" t="s">
        <v>27</v>
      </c>
      <c r="I2213" s="3"/>
      <c r="J2213" s="3" t="s">
        <v>19</v>
      </c>
      <c r="K2213" s="3" t="s">
        <v>20</v>
      </c>
      <c r="L2213" s="5" t="s">
        <v>6170</v>
      </c>
    </row>
    <row r="2214" customFormat="false" ht="11.9" hidden="false" customHeight="true" outlineLevel="0" collapsed="false">
      <c r="A2214" s="3" t="str">
        <f aca="false">HYPERLINK("https://www.fabsurplus.com/sdi_catalog/salesItemDetails.do?id=84270")</f>
        <v>https://www.fabsurplus.com/sdi_catalog/salesItemDetails.do?id=84270</v>
      </c>
      <c r="B2214" s="3" t="s">
        <v>6171</v>
      </c>
      <c r="C2214" s="3" t="s">
        <v>6141</v>
      </c>
      <c r="D2214" s="3" t="s">
        <v>6169</v>
      </c>
      <c r="E2214" s="3" t="s">
        <v>6154</v>
      </c>
      <c r="F2214" s="3" t="s">
        <v>77</v>
      </c>
      <c r="G2214" s="3"/>
      <c r="H2214" s="3" t="s">
        <v>27</v>
      </c>
      <c r="I2214" s="3"/>
      <c r="J2214" s="3" t="s">
        <v>19</v>
      </c>
      <c r="K2214" s="3" t="s">
        <v>20</v>
      </c>
      <c r="L2214" s="5" t="s">
        <v>6172</v>
      </c>
    </row>
    <row r="2215" customFormat="false" ht="11.9" hidden="false" customHeight="true" outlineLevel="0" collapsed="false">
      <c r="A2215" s="2" t="str">
        <f aca="false">HYPERLINK("https://www.fabsurplus.com/sdi_catalog/salesItemDetails.do?id=84266")</f>
        <v>https://www.fabsurplus.com/sdi_catalog/salesItemDetails.do?id=84266</v>
      </c>
      <c r="B2215" s="2" t="s">
        <v>6173</v>
      </c>
      <c r="C2215" s="2" t="s">
        <v>6141</v>
      </c>
      <c r="D2215" s="2" t="s">
        <v>6174</v>
      </c>
      <c r="E2215" s="2" t="s">
        <v>6154</v>
      </c>
      <c r="F2215" s="2" t="s">
        <v>16</v>
      </c>
      <c r="G2215" s="2"/>
      <c r="H2215" s="2" t="s">
        <v>27</v>
      </c>
      <c r="I2215" s="2"/>
      <c r="J2215" s="2" t="s">
        <v>19</v>
      </c>
      <c r="K2215" s="2" t="s">
        <v>20</v>
      </c>
      <c r="L2215" s="6" t="s">
        <v>6175</v>
      </c>
    </row>
    <row r="2216" customFormat="false" ht="11.9" hidden="false" customHeight="true" outlineLevel="0" collapsed="false">
      <c r="A2216" s="2" t="str">
        <f aca="false">HYPERLINK("https://www.fabsurplus.com/sdi_catalog/salesItemDetails.do?id=84055")</f>
        <v>https://www.fabsurplus.com/sdi_catalog/salesItemDetails.do?id=84055</v>
      </c>
      <c r="B2216" s="2" t="s">
        <v>6176</v>
      </c>
      <c r="C2216" s="2" t="s">
        <v>6177</v>
      </c>
      <c r="D2216" s="2" t="s">
        <v>6178</v>
      </c>
      <c r="E2216" s="2" t="s">
        <v>6179</v>
      </c>
      <c r="F2216" s="2" t="s">
        <v>69</v>
      </c>
      <c r="G2216" s="2"/>
      <c r="H2216" s="2" t="s">
        <v>27</v>
      </c>
      <c r="I2216" s="2"/>
      <c r="J2216" s="2" t="s">
        <v>19</v>
      </c>
      <c r="K2216" s="2" t="s">
        <v>20</v>
      </c>
      <c r="L2216" s="6" t="s">
        <v>6180</v>
      </c>
    </row>
    <row r="2217" customFormat="false" ht="11.9" hidden="false" customHeight="true" outlineLevel="0" collapsed="false">
      <c r="A2217" s="3" t="str">
        <f aca="false">HYPERLINK("https://www.fabsurplus.com/sdi_catalog/salesItemDetails.do?id=84056")</f>
        <v>https://www.fabsurplus.com/sdi_catalog/salesItemDetails.do?id=84056</v>
      </c>
      <c r="B2217" s="3" t="s">
        <v>6181</v>
      </c>
      <c r="C2217" s="3" t="s">
        <v>6177</v>
      </c>
      <c r="D2217" s="3" t="s">
        <v>6178</v>
      </c>
      <c r="E2217" s="3" t="s">
        <v>6182</v>
      </c>
      <c r="F2217" s="3" t="s">
        <v>16</v>
      </c>
      <c r="G2217" s="3"/>
      <c r="H2217" s="3" t="s">
        <v>27</v>
      </c>
      <c r="I2217" s="3"/>
      <c r="J2217" s="3" t="s">
        <v>19</v>
      </c>
      <c r="K2217" s="3" t="s">
        <v>20</v>
      </c>
      <c r="L2217" s="5" t="s">
        <v>6183</v>
      </c>
    </row>
    <row r="2218" customFormat="false" ht="11.9" hidden="false" customHeight="true" outlineLevel="0" collapsed="false">
      <c r="A2218" s="2" t="str">
        <f aca="false">HYPERLINK("https://www.fabsurplus.com/sdi_catalog/salesItemDetails.do?id=84057")</f>
        <v>https://www.fabsurplus.com/sdi_catalog/salesItemDetails.do?id=84057</v>
      </c>
      <c r="B2218" s="2" t="s">
        <v>6184</v>
      </c>
      <c r="C2218" s="2" t="s">
        <v>6177</v>
      </c>
      <c r="D2218" s="2" t="s">
        <v>6178</v>
      </c>
      <c r="E2218" s="2" t="s">
        <v>6182</v>
      </c>
      <c r="F2218" s="2" t="s">
        <v>16</v>
      </c>
      <c r="G2218" s="2"/>
      <c r="H2218" s="2" t="s">
        <v>27</v>
      </c>
      <c r="I2218" s="2"/>
      <c r="J2218" s="2" t="s">
        <v>19</v>
      </c>
      <c r="K2218" s="2" t="s">
        <v>20</v>
      </c>
      <c r="L2218" s="6" t="s">
        <v>6185</v>
      </c>
    </row>
    <row r="2219" customFormat="false" ht="11.9" hidden="false" customHeight="true" outlineLevel="0" collapsed="false">
      <c r="A2219" s="3" t="str">
        <f aca="false">HYPERLINK("https://www.fabsurplus.com/sdi_catalog/salesItemDetails.do?id=83931")</f>
        <v>https://www.fabsurplus.com/sdi_catalog/salesItemDetails.do?id=83931</v>
      </c>
      <c r="B2219" s="3" t="s">
        <v>6186</v>
      </c>
      <c r="C2219" s="3" t="s">
        <v>6187</v>
      </c>
      <c r="D2219" s="3" t="s">
        <v>6188</v>
      </c>
      <c r="E2219" s="3" t="s">
        <v>6189</v>
      </c>
      <c r="F2219" s="3" t="s">
        <v>247</v>
      </c>
      <c r="G2219" s="3"/>
      <c r="H2219" s="3" t="s">
        <v>27</v>
      </c>
      <c r="I2219" s="3"/>
      <c r="J2219" s="3" t="s">
        <v>19</v>
      </c>
      <c r="K2219" s="3" t="s">
        <v>20</v>
      </c>
      <c r="L2219" s="5" t="s">
        <v>6190</v>
      </c>
    </row>
    <row r="2220" customFormat="false" ht="11.9" hidden="false" customHeight="true" outlineLevel="0" collapsed="false">
      <c r="A2220" s="2" t="str">
        <f aca="false">HYPERLINK("https://www.fabsurplus.com/sdi_catalog/salesItemDetails.do?id=84773")</f>
        <v>https://www.fabsurplus.com/sdi_catalog/salesItemDetails.do?id=84773</v>
      </c>
      <c r="B2220" s="2" t="s">
        <v>6191</v>
      </c>
      <c r="C2220" s="2" t="s">
        <v>6192</v>
      </c>
      <c r="D2220" s="2" t="s">
        <v>6193</v>
      </c>
      <c r="E2220" s="2" t="s">
        <v>6194</v>
      </c>
      <c r="F2220" s="2" t="s">
        <v>16</v>
      </c>
      <c r="G2220" s="2" t="s">
        <v>17</v>
      </c>
      <c r="H2220" s="2" t="s">
        <v>27</v>
      </c>
      <c r="I2220" s="7" t="n">
        <v>35946.9166666667</v>
      </c>
      <c r="J2220" s="2" t="s">
        <v>19</v>
      </c>
      <c r="K2220" s="2" t="s">
        <v>20</v>
      </c>
      <c r="L2220" s="6" t="s">
        <v>6195</v>
      </c>
    </row>
    <row r="2221" customFormat="false" ht="11.9" hidden="false" customHeight="true" outlineLevel="0" collapsed="false">
      <c r="A2221" s="2" t="str">
        <f aca="false">HYPERLINK("https://www.fabsurplus.com/sdi_catalog/salesItemDetails.do?id=84230")</f>
        <v>https://www.fabsurplus.com/sdi_catalog/salesItemDetails.do?id=84230</v>
      </c>
      <c r="B2221" s="2" t="s">
        <v>6196</v>
      </c>
      <c r="C2221" s="2" t="s">
        <v>6197</v>
      </c>
      <c r="D2221" s="2" t="s">
        <v>6198</v>
      </c>
      <c r="E2221" s="2" t="s">
        <v>6199</v>
      </c>
      <c r="F2221" s="2" t="s">
        <v>77</v>
      </c>
      <c r="G2221" s="2" t="s">
        <v>26</v>
      </c>
      <c r="H2221" s="2" t="s">
        <v>35</v>
      </c>
      <c r="I2221" s="2"/>
      <c r="J2221" s="2" t="s">
        <v>19</v>
      </c>
      <c r="K2221" s="2" t="s">
        <v>20</v>
      </c>
      <c r="L2221" s="6" t="s">
        <v>6200</v>
      </c>
    </row>
    <row r="2222" customFormat="false" ht="11.9" hidden="false" customHeight="true" outlineLevel="0" collapsed="false">
      <c r="A2222" s="3" t="str">
        <f aca="false">HYPERLINK("https://www.fabsurplus.com/sdi_catalog/salesItemDetails.do?id=84229")</f>
        <v>https://www.fabsurplus.com/sdi_catalog/salesItemDetails.do?id=84229</v>
      </c>
      <c r="B2222" s="3" t="s">
        <v>6201</v>
      </c>
      <c r="C2222" s="3" t="s">
        <v>6197</v>
      </c>
      <c r="D2222" s="3" t="s">
        <v>6202</v>
      </c>
      <c r="E2222" s="3" t="s">
        <v>6203</v>
      </c>
      <c r="F2222" s="3" t="s">
        <v>77</v>
      </c>
      <c r="G2222" s="3" t="s">
        <v>26</v>
      </c>
      <c r="H2222" s="3" t="s">
        <v>35</v>
      </c>
      <c r="I2222" s="3"/>
      <c r="J2222" s="3" t="s">
        <v>19</v>
      </c>
      <c r="K2222" s="3" t="s">
        <v>20</v>
      </c>
      <c r="L2222" s="5" t="s">
        <v>6204</v>
      </c>
    </row>
    <row r="2223" customFormat="false" ht="11.9" hidden="false" customHeight="true" outlineLevel="0" collapsed="false">
      <c r="A2223" s="2" t="str">
        <f aca="false">HYPERLINK("https://www.fabsurplus.com/sdi_catalog/salesItemDetails.do?id=84228")</f>
        <v>https://www.fabsurplus.com/sdi_catalog/salesItemDetails.do?id=84228</v>
      </c>
      <c r="B2223" s="2" t="s">
        <v>6205</v>
      </c>
      <c r="C2223" s="2" t="s">
        <v>6197</v>
      </c>
      <c r="D2223" s="2" t="s">
        <v>6206</v>
      </c>
      <c r="E2223" s="2" t="s">
        <v>6203</v>
      </c>
      <c r="F2223" s="2" t="s">
        <v>77</v>
      </c>
      <c r="G2223" s="2" t="s">
        <v>26</v>
      </c>
      <c r="H2223" s="2" t="s">
        <v>35</v>
      </c>
      <c r="I2223" s="2"/>
      <c r="J2223" s="2" t="s">
        <v>19</v>
      </c>
      <c r="K2223" s="2" t="s">
        <v>20</v>
      </c>
      <c r="L2223" s="6" t="s">
        <v>6207</v>
      </c>
    </row>
    <row r="2224" customFormat="false" ht="11.9" hidden="false" customHeight="true" outlineLevel="0" collapsed="false">
      <c r="A2224" s="3" t="str">
        <f aca="false">HYPERLINK("https://www.fabsurplus.com/sdi_catalog/salesItemDetails.do?id=84282")</f>
        <v>https://www.fabsurplus.com/sdi_catalog/salesItemDetails.do?id=84282</v>
      </c>
      <c r="B2224" s="3" t="s">
        <v>6208</v>
      </c>
      <c r="C2224" s="3" t="s">
        <v>6197</v>
      </c>
      <c r="D2224" s="3" t="s">
        <v>6209</v>
      </c>
      <c r="E2224" s="3" t="s">
        <v>6210</v>
      </c>
      <c r="F2224" s="3" t="s">
        <v>235</v>
      </c>
      <c r="G2224" s="3" t="s">
        <v>26</v>
      </c>
      <c r="H2224" s="3" t="s">
        <v>35</v>
      </c>
      <c r="I2224" s="3"/>
      <c r="J2224" s="3" t="s">
        <v>19</v>
      </c>
      <c r="K2224" s="3" t="s">
        <v>20</v>
      </c>
      <c r="L2224" s="5" t="s">
        <v>6211</v>
      </c>
    </row>
    <row r="2225" customFormat="false" ht="11.9" hidden="false" customHeight="true" outlineLevel="0" collapsed="false">
      <c r="A2225" s="3" t="str">
        <f aca="false">HYPERLINK("https://www.fabsurplus.com/sdi_catalog/salesItemDetails.do?id=84212")</f>
        <v>https://www.fabsurplus.com/sdi_catalog/salesItemDetails.do?id=84212</v>
      </c>
      <c r="B2225" s="3" t="s">
        <v>6212</v>
      </c>
      <c r="C2225" s="3" t="s">
        <v>6197</v>
      </c>
      <c r="D2225" s="3" t="s">
        <v>6213</v>
      </c>
      <c r="E2225" s="3" t="s">
        <v>6203</v>
      </c>
      <c r="F2225" s="3" t="s">
        <v>77</v>
      </c>
      <c r="G2225" s="3" t="s">
        <v>26</v>
      </c>
      <c r="H2225" s="3" t="s">
        <v>35</v>
      </c>
      <c r="I2225" s="3"/>
      <c r="J2225" s="3" t="s">
        <v>19</v>
      </c>
      <c r="K2225" s="3" t="s">
        <v>20</v>
      </c>
      <c r="L2225" s="5" t="s">
        <v>6207</v>
      </c>
    </row>
    <row r="2226" customFormat="false" ht="11.9" hidden="false" customHeight="true" outlineLevel="0" collapsed="false">
      <c r="A2226" s="3" t="str">
        <f aca="false">HYPERLINK("https://www.fabsurplus.com/sdi_catalog/salesItemDetails.do?id=110325")</f>
        <v>https://www.fabsurplus.com/sdi_catalog/salesItemDetails.do?id=110325</v>
      </c>
      <c r="B2226" s="3" t="s">
        <v>6214</v>
      </c>
      <c r="C2226" s="3" t="s">
        <v>6215</v>
      </c>
      <c r="D2226" s="3" t="s">
        <v>6216</v>
      </c>
      <c r="E2226" s="3" t="s">
        <v>133</v>
      </c>
      <c r="F2226" s="3" t="s">
        <v>16</v>
      </c>
      <c r="G2226" s="3" t="s">
        <v>41</v>
      </c>
      <c r="H2226" s="3"/>
      <c r="I2226" s="3"/>
      <c r="J2226" s="3" t="s">
        <v>42</v>
      </c>
      <c r="K2226" s="3"/>
      <c r="L2226" s="3" t="s">
        <v>6217</v>
      </c>
    </row>
    <row r="2227" customFormat="false" ht="11.9" hidden="false" customHeight="true" outlineLevel="0" collapsed="false">
      <c r="A2227" s="3" t="str">
        <f aca="false">HYPERLINK("https://www.fabsurplus.com/sdi_catalog/salesItemDetails.do?id=110326")</f>
        <v>https://www.fabsurplus.com/sdi_catalog/salesItemDetails.do?id=110326</v>
      </c>
      <c r="B2227" s="3" t="s">
        <v>6218</v>
      </c>
      <c r="C2227" s="3" t="s">
        <v>6219</v>
      </c>
      <c r="D2227" s="3" t="s">
        <v>6220</v>
      </c>
      <c r="E2227" s="3" t="s">
        <v>40</v>
      </c>
      <c r="F2227" s="3" t="s">
        <v>16</v>
      </c>
      <c r="G2227" s="3" t="s">
        <v>41</v>
      </c>
      <c r="H2227" s="3"/>
      <c r="I2227" s="3"/>
      <c r="J2227" s="3" t="s">
        <v>42</v>
      </c>
      <c r="K2227" s="3"/>
      <c r="L2227" s="3" t="s">
        <v>6221</v>
      </c>
    </row>
    <row r="2228" customFormat="false" ht="11.9" hidden="false" customHeight="true" outlineLevel="0" collapsed="false">
      <c r="A2228" s="2" t="str">
        <f aca="false">HYPERLINK("https://www.fabsurplus.com/sdi_catalog/salesItemDetails.do?id=115395")</f>
        <v>https://www.fabsurplus.com/sdi_catalog/salesItemDetails.do?id=115395</v>
      </c>
      <c r="B2228" s="2" t="s">
        <v>6222</v>
      </c>
      <c r="C2228" s="2" t="s">
        <v>6223</v>
      </c>
      <c r="D2228" s="2" t="s">
        <v>6224</v>
      </c>
      <c r="E2228" s="2" t="s">
        <v>6225</v>
      </c>
      <c r="F2228" s="2" t="s">
        <v>16</v>
      </c>
      <c r="G2228" s="2" t="s">
        <v>26</v>
      </c>
      <c r="H2228" s="2"/>
      <c r="I2228" s="2"/>
      <c r="J2228" s="2" t="s">
        <v>19</v>
      </c>
      <c r="K2228" s="2"/>
      <c r="L2228" s="2" t="s">
        <v>63</v>
      </c>
    </row>
    <row r="2229" customFormat="false" ht="11.9" hidden="false" customHeight="true" outlineLevel="0" collapsed="false">
      <c r="A2229" s="3" t="str">
        <f aca="false">HYPERLINK("https://www.fabsurplus.com/sdi_catalog/salesItemDetails.do?id=110328")</f>
        <v>https://www.fabsurplus.com/sdi_catalog/salesItemDetails.do?id=110328</v>
      </c>
      <c r="B2229" s="3" t="s">
        <v>6226</v>
      </c>
      <c r="C2229" s="3" t="s">
        <v>6219</v>
      </c>
      <c r="D2229" s="3" t="s">
        <v>6227</v>
      </c>
      <c r="E2229" s="3" t="s">
        <v>133</v>
      </c>
      <c r="F2229" s="3" t="s">
        <v>16</v>
      </c>
      <c r="G2229" s="3" t="s">
        <v>41</v>
      </c>
      <c r="H2229" s="3"/>
      <c r="I2229" s="3"/>
      <c r="J2229" s="3" t="s">
        <v>42</v>
      </c>
      <c r="K2229" s="3"/>
      <c r="L2229" s="3" t="s">
        <v>6228</v>
      </c>
    </row>
    <row r="2230" customFormat="false" ht="11.9" hidden="false" customHeight="true" outlineLevel="0" collapsed="false">
      <c r="A2230" s="2" t="str">
        <f aca="false">HYPERLINK("https://www.fabsurplus.com/sdi_catalog/salesItemDetails.do?id=110327")</f>
        <v>https://www.fabsurplus.com/sdi_catalog/salesItemDetails.do?id=110327</v>
      </c>
      <c r="B2230" s="2" t="s">
        <v>6229</v>
      </c>
      <c r="C2230" s="2" t="s">
        <v>6219</v>
      </c>
      <c r="D2230" s="2" t="s">
        <v>6227</v>
      </c>
      <c r="E2230" s="2" t="s">
        <v>133</v>
      </c>
      <c r="F2230" s="2" t="s">
        <v>16</v>
      </c>
      <c r="G2230" s="2" t="s">
        <v>41</v>
      </c>
      <c r="H2230" s="2"/>
      <c r="I2230" s="2"/>
      <c r="J2230" s="2" t="s">
        <v>42</v>
      </c>
      <c r="K2230" s="2"/>
      <c r="L2230" s="2" t="s">
        <v>349</v>
      </c>
    </row>
    <row r="2231" customFormat="false" ht="11.9" hidden="false" customHeight="true" outlineLevel="0" collapsed="false">
      <c r="A2231" s="3" t="str">
        <f aca="false">HYPERLINK("https://www.fabsurplus.com/sdi_catalog/salesItemDetails.do?id=110330")</f>
        <v>https://www.fabsurplus.com/sdi_catalog/salesItemDetails.do?id=110330</v>
      </c>
      <c r="B2231" s="3" t="s">
        <v>6230</v>
      </c>
      <c r="C2231" s="3" t="s">
        <v>6219</v>
      </c>
      <c r="D2231" s="3" t="s">
        <v>414</v>
      </c>
      <c r="E2231" s="3" t="s">
        <v>40</v>
      </c>
      <c r="F2231" s="3" t="s">
        <v>16</v>
      </c>
      <c r="G2231" s="3" t="s">
        <v>41</v>
      </c>
      <c r="H2231" s="3"/>
      <c r="I2231" s="3"/>
      <c r="J2231" s="3" t="s">
        <v>42</v>
      </c>
      <c r="K2231" s="3"/>
      <c r="L2231" s="3" t="s">
        <v>349</v>
      </c>
    </row>
    <row r="2232" customFormat="false" ht="11.9" hidden="false" customHeight="true" outlineLevel="0" collapsed="false">
      <c r="A2232" s="2" t="str">
        <f aca="false">HYPERLINK("https://www.fabsurplus.com/sdi_catalog/salesItemDetails.do?id=110329")</f>
        <v>https://www.fabsurplus.com/sdi_catalog/salesItemDetails.do?id=110329</v>
      </c>
      <c r="B2232" s="2" t="s">
        <v>6231</v>
      </c>
      <c r="C2232" s="2" t="s">
        <v>6219</v>
      </c>
      <c r="D2232" s="2" t="s">
        <v>414</v>
      </c>
      <c r="E2232" s="2" t="s">
        <v>40</v>
      </c>
      <c r="F2232" s="2" t="s">
        <v>16</v>
      </c>
      <c r="G2232" s="2" t="s">
        <v>41</v>
      </c>
      <c r="H2232" s="2"/>
      <c r="I2232" s="2"/>
      <c r="J2232" s="2" t="s">
        <v>42</v>
      </c>
      <c r="K2232" s="2"/>
      <c r="L2232" s="2" t="s">
        <v>349</v>
      </c>
    </row>
    <row r="2233" customFormat="false" ht="11.9" hidden="false" customHeight="true" outlineLevel="0" collapsed="false">
      <c r="A2233" s="2" t="str">
        <f aca="false">HYPERLINK("https://www.fabsurplus.com/sdi_catalog/salesItemDetails.do?id=110331")</f>
        <v>https://www.fabsurplus.com/sdi_catalog/salesItemDetails.do?id=110331</v>
      </c>
      <c r="B2233" s="2" t="s">
        <v>6232</v>
      </c>
      <c r="C2233" s="2" t="s">
        <v>6219</v>
      </c>
      <c r="D2233" s="2" t="s">
        <v>6233</v>
      </c>
      <c r="E2233" s="2" t="s">
        <v>133</v>
      </c>
      <c r="F2233" s="2" t="s">
        <v>16</v>
      </c>
      <c r="G2233" s="2" t="s">
        <v>41</v>
      </c>
      <c r="H2233" s="2"/>
      <c r="I2233" s="2"/>
      <c r="J2233" s="2" t="s">
        <v>42</v>
      </c>
      <c r="K2233" s="2"/>
      <c r="L2233" s="2" t="s">
        <v>6234</v>
      </c>
    </row>
    <row r="2234" customFormat="false" ht="11.9" hidden="false" customHeight="true" outlineLevel="0" collapsed="false">
      <c r="A2234" s="3" t="str">
        <f aca="false">HYPERLINK("https://www.fabsurplus.com/sdi_catalog/salesItemDetails.do?id=110332")</f>
        <v>https://www.fabsurplus.com/sdi_catalog/salesItemDetails.do?id=110332</v>
      </c>
      <c r="B2234" s="3" t="s">
        <v>6235</v>
      </c>
      <c r="C2234" s="3" t="s">
        <v>6219</v>
      </c>
      <c r="D2234" s="3" t="s">
        <v>6236</v>
      </c>
      <c r="E2234" s="3" t="s">
        <v>133</v>
      </c>
      <c r="F2234" s="3" t="s">
        <v>16</v>
      </c>
      <c r="G2234" s="3" t="s">
        <v>41</v>
      </c>
      <c r="H2234" s="3"/>
      <c r="I2234" s="3"/>
      <c r="J2234" s="3" t="s">
        <v>42</v>
      </c>
      <c r="K2234" s="3"/>
      <c r="L2234" s="3" t="s">
        <v>6237</v>
      </c>
    </row>
    <row r="2235" customFormat="false" ht="11.9" hidden="false" customHeight="true" outlineLevel="0" collapsed="false">
      <c r="A2235" s="3" t="str">
        <f aca="false">HYPERLINK("https://www.fabsurplus.com/sdi_catalog/salesItemDetails.do?id=110334")</f>
        <v>https://www.fabsurplus.com/sdi_catalog/salesItemDetails.do?id=110334</v>
      </c>
      <c r="B2235" s="3" t="s">
        <v>6238</v>
      </c>
      <c r="C2235" s="3" t="s">
        <v>6219</v>
      </c>
      <c r="D2235" s="3" t="s">
        <v>6239</v>
      </c>
      <c r="E2235" s="3" t="s">
        <v>133</v>
      </c>
      <c r="F2235" s="3" t="s">
        <v>16</v>
      </c>
      <c r="G2235" s="3" t="s">
        <v>41</v>
      </c>
      <c r="H2235" s="3"/>
      <c r="I2235" s="3"/>
      <c r="J2235" s="3" t="s">
        <v>42</v>
      </c>
      <c r="K2235" s="3"/>
      <c r="L2235" s="3" t="s">
        <v>6240</v>
      </c>
    </row>
    <row r="2236" customFormat="false" ht="11.9" hidden="false" customHeight="true" outlineLevel="0" collapsed="false">
      <c r="A2236" s="2" t="str">
        <f aca="false">HYPERLINK("https://www.fabsurplus.com/sdi_catalog/salesItemDetails.do?id=110333")</f>
        <v>https://www.fabsurplus.com/sdi_catalog/salesItemDetails.do?id=110333</v>
      </c>
      <c r="B2236" s="2" t="s">
        <v>6241</v>
      </c>
      <c r="C2236" s="2" t="s">
        <v>6219</v>
      </c>
      <c r="D2236" s="2" t="s">
        <v>6239</v>
      </c>
      <c r="E2236" s="2" t="s">
        <v>133</v>
      </c>
      <c r="F2236" s="2" t="s">
        <v>16</v>
      </c>
      <c r="G2236" s="2" t="s">
        <v>41</v>
      </c>
      <c r="H2236" s="2"/>
      <c r="I2236" s="2"/>
      <c r="J2236" s="2" t="s">
        <v>42</v>
      </c>
      <c r="K2236" s="2"/>
      <c r="L2236" s="2" t="s">
        <v>6242</v>
      </c>
    </row>
    <row r="2237" customFormat="false" ht="11.9" hidden="false" customHeight="true" outlineLevel="0" collapsed="false">
      <c r="A2237" s="2" t="str">
        <f aca="false">HYPERLINK("https://www.fabsurplus.com/sdi_catalog/salesItemDetails.do?id=110335")</f>
        <v>https://www.fabsurplus.com/sdi_catalog/salesItemDetails.do?id=110335</v>
      </c>
      <c r="B2237" s="2" t="s">
        <v>6243</v>
      </c>
      <c r="C2237" s="2" t="s">
        <v>6219</v>
      </c>
      <c r="D2237" s="2" t="s">
        <v>6244</v>
      </c>
      <c r="E2237" s="2" t="s">
        <v>133</v>
      </c>
      <c r="F2237" s="2" t="s">
        <v>16</v>
      </c>
      <c r="G2237" s="2" t="s">
        <v>41</v>
      </c>
      <c r="H2237" s="2"/>
      <c r="I2237" s="2"/>
      <c r="J2237" s="2" t="s">
        <v>42</v>
      </c>
      <c r="K2237" s="2"/>
      <c r="L2237" s="2" t="s">
        <v>6245</v>
      </c>
    </row>
    <row r="2238" customFormat="false" ht="11.9" hidden="false" customHeight="true" outlineLevel="0" collapsed="false">
      <c r="A2238" s="2" t="str">
        <f aca="false">HYPERLINK("https://www.fabsurplus.com/sdi_catalog/salesItemDetails.do?id=84377")</f>
        <v>https://www.fabsurplus.com/sdi_catalog/salesItemDetails.do?id=84377</v>
      </c>
      <c r="B2238" s="2" t="s">
        <v>6246</v>
      </c>
      <c r="C2238" s="2" t="s">
        <v>6247</v>
      </c>
      <c r="D2238" s="2" t="s">
        <v>6248</v>
      </c>
      <c r="E2238" s="2" t="s">
        <v>6249</v>
      </c>
      <c r="F2238" s="2" t="s">
        <v>16</v>
      </c>
      <c r="G2238" s="2" t="s">
        <v>26</v>
      </c>
      <c r="H2238" s="2" t="s">
        <v>27</v>
      </c>
      <c r="I2238" s="7" t="n">
        <v>37042.9166666667</v>
      </c>
      <c r="J2238" s="2" t="s">
        <v>19</v>
      </c>
      <c r="K2238" s="2" t="s">
        <v>20</v>
      </c>
      <c r="L2238" s="6" t="s">
        <v>6250</v>
      </c>
    </row>
    <row r="2239" customFormat="false" ht="11.9" hidden="false" customHeight="true" outlineLevel="0" collapsed="false">
      <c r="A2239" s="3" t="str">
        <f aca="false">HYPERLINK("https://www.fabsurplus.com/sdi_catalog/salesItemDetails.do?id=105861")</f>
        <v>https://www.fabsurplus.com/sdi_catalog/salesItemDetails.do?id=105861</v>
      </c>
      <c r="B2239" s="3" t="s">
        <v>6251</v>
      </c>
      <c r="C2239" s="3" t="s">
        <v>6247</v>
      </c>
      <c r="D2239" s="3" t="s">
        <v>6252</v>
      </c>
      <c r="E2239" s="3" t="s">
        <v>6253</v>
      </c>
      <c r="F2239" s="3" t="s">
        <v>101</v>
      </c>
      <c r="G2239" s="3" t="s">
        <v>26</v>
      </c>
      <c r="H2239" s="3" t="s">
        <v>1691</v>
      </c>
      <c r="I2239" s="4" t="n">
        <v>36860.9583333333</v>
      </c>
      <c r="J2239" s="3" t="s">
        <v>19</v>
      </c>
      <c r="K2239" s="3" t="s">
        <v>20</v>
      </c>
      <c r="L2239" s="5" t="s">
        <v>6254</v>
      </c>
    </row>
    <row r="2240" customFormat="false" ht="11.9" hidden="false" customHeight="true" outlineLevel="0" collapsed="false">
      <c r="A2240" s="2" t="str">
        <f aca="false">HYPERLINK("https://www.fabsurplus.com/sdi_catalog/salesItemDetails.do?id=13044")</f>
        <v>https://www.fabsurplus.com/sdi_catalog/salesItemDetails.do?id=13044</v>
      </c>
      <c r="B2240" s="2" t="s">
        <v>6255</v>
      </c>
      <c r="C2240" s="2" t="s">
        <v>6256</v>
      </c>
      <c r="D2240" s="2" t="s">
        <v>6257</v>
      </c>
      <c r="E2240" s="2" t="s">
        <v>6258</v>
      </c>
      <c r="F2240" s="2" t="s">
        <v>16</v>
      </c>
      <c r="G2240" s="2" t="s">
        <v>26</v>
      </c>
      <c r="H2240" s="2" t="s">
        <v>27</v>
      </c>
      <c r="I2240" s="7" t="n">
        <v>37987</v>
      </c>
      <c r="J2240" s="2" t="s">
        <v>19</v>
      </c>
      <c r="K2240" s="2" t="s">
        <v>20</v>
      </c>
      <c r="L2240" s="6" t="s">
        <v>6259</v>
      </c>
    </row>
    <row r="2241" customFormat="false" ht="11.9" hidden="false" customHeight="true" outlineLevel="0" collapsed="false">
      <c r="A2241" s="2" t="str">
        <f aca="false">HYPERLINK("https://www.fabsurplus.com/sdi_catalog/salesItemDetails.do?id=110336")</f>
        <v>https://www.fabsurplus.com/sdi_catalog/salesItemDetails.do?id=110336</v>
      </c>
      <c r="B2241" s="2" t="s">
        <v>6260</v>
      </c>
      <c r="C2241" s="2" t="s">
        <v>6256</v>
      </c>
      <c r="D2241" s="2" t="s">
        <v>6261</v>
      </c>
      <c r="E2241" s="2" t="s">
        <v>47</v>
      </c>
      <c r="F2241" s="2" t="s">
        <v>16</v>
      </c>
      <c r="G2241" s="2" t="s">
        <v>41</v>
      </c>
      <c r="H2241" s="2"/>
      <c r="I2241" s="2"/>
      <c r="J2241" s="2" t="s">
        <v>42</v>
      </c>
      <c r="K2241" s="2"/>
      <c r="L2241" s="6" t="s">
        <v>6262</v>
      </c>
    </row>
    <row r="2242" customFormat="false" ht="11.9" hidden="false" customHeight="true" outlineLevel="0" collapsed="false">
      <c r="A2242" s="3" t="str">
        <f aca="false">HYPERLINK("https://www.fabsurplus.com/sdi_catalog/salesItemDetails.do?id=83570")</f>
        <v>https://www.fabsurplus.com/sdi_catalog/salesItemDetails.do?id=83570</v>
      </c>
      <c r="B2242" s="3" t="s">
        <v>6263</v>
      </c>
      <c r="C2242" s="3" t="s">
        <v>6264</v>
      </c>
      <c r="D2242" s="3" t="s">
        <v>6265</v>
      </c>
      <c r="E2242" s="3" t="s">
        <v>6266</v>
      </c>
      <c r="F2242" s="3" t="s">
        <v>16</v>
      </c>
      <c r="G2242" s="3" t="s">
        <v>6267</v>
      </c>
      <c r="H2242" s="3" t="s">
        <v>27</v>
      </c>
      <c r="I2242" s="4" t="n">
        <v>34850.9166666667</v>
      </c>
      <c r="J2242" s="3" t="s">
        <v>19</v>
      </c>
      <c r="K2242" s="3" t="s">
        <v>20</v>
      </c>
      <c r="L2242" s="5" t="s">
        <v>6268</v>
      </c>
    </row>
    <row r="2243" customFormat="false" ht="11.9" hidden="false" customHeight="true" outlineLevel="0" collapsed="false">
      <c r="A2243" s="2" t="str">
        <f aca="false">HYPERLINK("https://www.fabsurplus.com/sdi_catalog/salesItemDetails.do?id=77003")</f>
        <v>https://www.fabsurplus.com/sdi_catalog/salesItemDetails.do?id=77003</v>
      </c>
      <c r="B2243" s="2" t="s">
        <v>6269</v>
      </c>
      <c r="C2243" s="2" t="s">
        <v>6270</v>
      </c>
      <c r="D2243" s="2" t="s">
        <v>6271</v>
      </c>
      <c r="E2243" s="2" t="s">
        <v>6272</v>
      </c>
      <c r="F2243" s="2" t="s">
        <v>16</v>
      </c>
      <c r="G2243" s="2" t="s">
        <v>4077</v>
      </c>
      <c r="H2243" s="2" t="s">
        <v>35</v>
      </c>
      <c r="I2243" s="2"/>
      <c r="J2243" s="2" t="s">
        <v>19</v>
      </c>
      <c r="K2243" s="2" t="s">
        <v>20</v>
      </c>
      <c r="L2243" s="6" t="s">
        <v>6273</v>
      </c>
    </row>
    <row r="2244" customFormat="false" ht="11.9" hidden="false" customHeight="true" outlineLevel="0" collapsed="false">
      <c r="A2244" s="3" t="str">
        <f aca="false">HYPERLINK("https://www.fabsurplus.com/sdi_catalog/salesItemDetails.do?id=115396")</f>
        <v>https://www.fabsurplus.com/sdi_catalog/salesItemDetails.do?id=115396</v>
      </c>
      <c r="B2244" s="3" t="s">
        <v>6274</v>
      </c>
      <c r="C2244" s="3" t="s">
        <v>6275</v>
      </c>
      <c r="D2244" s="3" t="s">
        <v>6276</v>
      </c>
      <c r="E2244" s="3" t="s">
        <v>6277</v>
      </c>
      <c r="F2244" s="3" t="s">
        <v>16</v>
      </c>
      <c r="G2244" s="3" t="s">
        <v>26</v>
      </c>
      <c r="H2244" s="3"/>
      <c r="I2244" s="3"/>
      <c r="J2244" s="3" t="s">
        <v>19</v>
      </c>
      <c r="K2244" s="3"/>
      <c r="L2244" s="3" t="s">
        <v>63</v>
      </c>
    </row>
    <row r="2245" customFormat="false" ht="11.9" hidden="false" customHeight="true" outlineLevel="0" collapsed="false">
      <c r="A2245" s="3" t="str">
        <f aca="false">HYPERLINK("https://www.fabsurplus.com/sdi_catalog/salesItemDetails.do?id=106241")</f>
        <v>https://www.fabsurplus.com/sdi_catalog/salesItemDetails.do?id=106241</v>
      </c>
      <c r="B2245" s="3" t="s">
        <v>6278</v>
      </c>
      <c r="C2245" s="3" t="s">
        <v>6275</v>
      </c>
      <c r="D2245" s="3" t="s">
        <v>6279</v>
      </c>
      <c r="E2245" s="3" t="s">
        <v>6280</v>
      </c>
      <c r="F2245" s="3" t="s">
        <v>16</v>
      </c>
      <c r="G2245" s="3" t="s">
        <v>26</v>
      </c>
      <c r="H2245" s="3" t="s">
        <v>35</v>
      </c>
      <c r="I2245" s="3"/>
      <c r="J2245" s="3" t="s">
        <v>19</v>
      </c>
      <c r="K2245" s="3" t="s">
        <v>20</v>
      </c>
      <c r="L2245" s="5" t="s">
        <v>6281</v>
      </c>
    </row>
    <row r="2246" customFormat="false" ht="11.9" hidden="false" customHeight="true" outlineLevel="0" collapsed="false">
      <c r="A2246" s="3" t="str">
        <f aca="false">HYPERLINK("https://www.fabsurplus.com/sdi_catalog/salesItemDetails.do?id=115399")</f>
        <v>https://www.fabsurplus.com/sdi_catalog/salesItemDetails.do?id=115399</v>
      </c>
      <c r="B2246" s="3" t="s">
        <v>6282</v>
      </c>
      <c r="C2246" s="3" t="s">
        <v>6275</v>
      </c>
      <c r="D2246" s="3" t="s">
        <v>6283</v>
      </c>
      <c r="E2246" s="3" t="s">
        <v>6284</v>
      </c>
      <c r="F2246" s="3" t="s">
        <v>16</v>
      </c>
      <c r="G2246" s="3" t="s">
        <v>26</v>
      </c>
      <c r="H2246" s="3"/>
      <c r="I2246" s="3"/>
      <c r="J2246" s="3" t="s">
        <v>19</v>
      </c>
      <c r="K2246" s="3"/>
      <c r="L2246" s="3" t="s">
        <v>63</v>
      </c>
    </row>
    <row r="2247" customFormat="false" ht="11.9" hidden="false" customHeight="true" outlineLevel="0" collapsed="false">
      <c r="A2247" s="3" t="str">
        <f aca="false">HYPERLINK("https://www.fabsurplus.com/sdi_catalog/salesItemDetails.do?id=115398")</f>
        <v>https://www.fabsurplus.com/sdi_catalog/salesItemDetails.do?id=115398</v>
      </c>
      <c r="B2247" s="3" t="s">
        <v>6285</v>
      </c>
      <c r="C2247" s="3" t="s">
        <v>6275</v>
      </c>
      <c r="D2247" s="3" t="s">
        <v>6283</v>
      </c>
      <c r="E2247" s="3" t="s">
        <v>6284</v>
      </c>
      <c r="F2247" s="3" t="s">
        <v>16</v>
      </c>
      <c r="G2247" s="3" t="s">
        <v>26</v>
      </c>
      <c r="H2247" s="3"/>
      <c r="I2247" s="3"/>
      <c r="J2247" s="3" t="s">
        <v>19</v>
      </c>
      <c r="K2247" s="3"/>
      <c r="L2247" s="3" t="s">
        <v>63</v>
      </c>
    </row>
    <row r="2248" customFormat="false" ht="11.9" hidden="false" customHeight="true" outlineLevel="0" collapsed="false">
      <c r="A2248" s="3" t="str">
        <f aca="false">HYPERLINK("https://www.fabsurplus.com/sdi_catalog/salesItemDetails.do?id=115397")</f>
        <v>https://www.fabsurplus.com/sdi_catalog/salesItemDetails.do?id=115397</v>
      </c>
      <c r="B2248" s="3" t="s">
        <v>6286</v>
      </c>
      <c r="C2248" s="3" t="s">
        <v>6275</v>
      </c>
      <c r="D2248" s="3" t="s">
        <v>6283</v>
      </c>
      <c r="E2248" s="3" t="s">
        <v>6284</v>
      </c>
      <c r="F2248" s="3" t="s">
        <v>16</v>
      </c>
      <c r="G2248" s="3" t="s">
        <v>26</v>
      </c>
      <c r="H2248" s="3"/>
      <c r="I2248" s="3"/>
      <c r="J2248" s="3" t="s">
        <v>19</v>
      </c>
      <c r="K2248" s="3"/>
      <c r="L2248" s="3" t="s">
        <v>63</v>
      </c>
    </row>
    <row r="2249" customFormat="false" ht="11.9" hidden="false" customHeight="true" outlineLevel="0" collapsed="false">
      <c r="A2249" s="2" t="str">
        <f aca="false">HYPERLINK("https://www.fabsurplus.com/sdi_catalog/salesItemDetails.do?id=33542")</f>
        <v>https://www.fabsurplus.com/sdi_catalog/salesItemDetails.do?id=33542</v>
      </c>
      <c r="B2249" s="2" t="s">
        <v>6287</v>
      </c>
      <c r="C2249" s="2" t="s">
        <v>6288</v>
      </c>
      <c r="D2249" s="2" t="s">
        <v>6289</v>
      </c>
      <c r="E2249" s="2" t="s">
        <v>6290</v>
      </c>
      <c r="F2249" s="2" t="s">
        <v>16</v>
      </c>
      <c r="G2249" s="2" t="s">
        <v>6291</v>
      </c>
      <c r="H2249" s="2" t="s">
        <v>27</v>
      </c>
      <c r="I2249" s="2"/>
      <c r="J2249" s="2" t="s">
        <v>19</v>
      </c>
      <c r="K2249" s="2" t="s">
        <v>20</v>
      </c>
      <c r="L2249" s="6" t="s">
        <v>6292</v>
      </c>
    </row>
    <row r="2250" customFormat="false" ht="11.9" hidden="false" customHeight="true" outlineLevel="0" collapsed="false">
      <c r="A2250" s="3" t="str">
        <f aca="false">HYPERLINK("https://www.fabsurplus.com/sdi_catalog/salesItemDetails.do?id=77092")</f>
        <v>https://www.fabsurplus.com/sdi_catalog/salesItemDetails.do?id=77092</v>
      </c>
      <c r="B2250" s="3" t="s">
        <v>6293</v>
      </c>
      <c r="C2250" s="3" t="s">
        <v>6294</v>
      </c>
      <c r="D2250" s="3" t="s">
        <v>6295</v>
      </c>
      <c r="E2250" s="3" t="s">
        <v>6296</v>
      </c>
      <c r="F2250" s="3" t="s">
        <v>16</v>
      </c>
      <c r="G2250" s="3"/>
      <c r="H2250" s="3"/>
      <c r="I2250" s="3"/>
      <c r="J2250" s="3" t="s">
        <v>19</v>
      </c>
      <c r="K2250" s="3"/>
      <c r="L2250" s="3"/>
    </row>
    <row r="2251" customFormat="false" ht="11.9" hidden="false" customHeight="true" outlineLevel="0" collapsed="false">
      <c r="A2251" s="2" t="str">
        <f aca="false">HYPERLINK("https://www.fabsurplus.com/sdi_catalog/salesItemDetails.do?id=83885")</f>
        <v>https://www.fabsurplus.com/sdi_catalog/salesItemDetails.do?id=83885</v>
      </c>
      <c r="B2251" s="2" t="s">
        <v>6297</v>
      </c>
      <c r="C2251" s="2" t="s">
        <v>6298</v>
      </c>
      <c r="D2251" s="2" t="s">
        <v>6299</v>
      </c>
      <c r="E2251" s="2" t="s">
        <v>6300</v>
      </c>
      <c r="F2251" s="2" t="s">
        <v>69</v>
      </c>
      <c r="G2251" s="2"/>
      <c r="H2251" s="2" t="s">
        <v>18</v>
      </c>
      <c r="I2251" s="2"/>
      <c r="J2251" s="2" t="s">
        <v>19</v>
      </c>
      <c r="K2251" s="2" t="s">
        <v>20</v>
      </c>
      <c r="L2251" s="6" t="s">
        <v>6301</v>
      </c>
    </row>
    <row r="2252" customFormat="false" ht="11.9" hidden="false" customHeight="true" outlineLevel="0" collapsed="false">
      <c r="A2252" s="2" t="str">
        <f aca="false">HYPERLINK("https://www.fabsurplus.com/sdi_catalog/salesItemDetails.do?id=83882")</f>
        <v>https://www.fabsurplus.com/sdi_catalog/salesItemDetails.do?id=83882</v>
      </c>
      <c r="B2252" s="2" t="s">
        <v>6302</v>
      </c>
      <c r="C2252" s="2" t="s">
        <v>6303</v>
      </c>
      <c r="D2252" s="2" t="s">
        <v>6304</v>
      </c>
      <c r="E2252" s="2" t="s">
        <v>6305</v>
      </c>
      <c r="F2252" s="2" t="s">
        <v>16</v>
      </c>
      <c r="G2252" s="2"/>
      <c r="H2252" s="2" t="s">
        <v>18</v>
      </c>
      <c r="I2252" s="7" t="n">
        <v>40299</v>
      </c>
      <c r="J2252" s="2" t="s">
        <v>19</v>
      </c>
      <c r="K2252" s="2" t="s">
        <v>20</v>
      </c>
      <c r="L2252" s="6" t="s">
        <v>6306</v>
      </c>
    </row>
    <row r="2253" customFormat="false" ht="11.9" hidden="false" customHeight="true" outlineLevel="0" collapsed="false">
      <c r="A2253" s="3" t="str">
        <f aca="false">HYPERLINK("https://www.fabsurplus.com/sdi_catalog/salesItemDetails.do?id=83637")</f>
        <v>https://www.fabsurplus.com/sdi_catalog/salesItemDetails.do?id=83637</v>
      </c>
      <c r="B2253" s="3" t="s">
        <v>6307</v>
      </c>
      <c r="C2253" s="3" t="s">
        <v>6303</v>
      </c>
      <c r="D2253" s="3" t="s">
        <v>6308</v>
      </c>
      <c r="E2253" s="3" t="s">
        <v>6309</v>
      </c>
      <c r="F2253" s="3" t="s">
        <v>6310</v>
      </c>
      <c r="G2253" s="3"/>
      <c r="H2253" s="3" t="s">
        <v>18</v>
      </c>
      <c r="I2253" s="3"/>
      <c r="J2253" s="3" t="s">
        <v>19</v>
      </c>
      <c r="K2253" s="3" t="s">
        <v>20</v>
      </c>
      <c r="L2253" s="5" t="s">
        <v>6311</v>
      </c>
    </row>
    <row r="2254" customFormat="false" ht="11.9" hidden="false" customHeight="true" outlineLevel="0" collapsed="false">
      <c r="A2254" s="3" t="str">
        <f aca="false">HYPERLINK("https://www.fabsurplus.com/sdi_catalog/salesItemDetails.do?id=115400")</f>
        <v>https://www.fabsurplus.com/sdi_catalog/salesItemDetails.do?id=115400</v>
      </c>
      <c r="B2254" s="3" t="s">
        <v>6312</v>
      </c>
      <c r="C2254" s="3" t="s">
        <v>6313</v>
      </c>
      <c r="D2254" s="3" t="s">
        <v>6314</v>
      </c>
      <c r="E2254" s="3" t="s">
        <v>6315</v>
      </c>
      <c r="F2254" s="3" t="s">
        <v>77</v>
      </c>
      <c r="G2254" s="3" t="s">
        <v>26</v>
      </c>
      <c r="H2254" s="3"/>
      <c r="I2254" s="3"/>
      <c r="J2254" s="3" t="s">
        <v>19</v>
      </c>
      <c r="K2254" s="3"/>
      <c r="L2254" s="3" t="s">
        <v>63</v>
      </c>
    </row>
    <row r="2255" customFormat="false" ht="11.9" hidden="false" customHeight="true" outlineLevel="0" collapsed="false">
      <c r="A2255" s="3" t="str">
        <f aca="false">HYPERLINK("https://www.fabsurplus.com/sdi_catalog/salesItemDetails.do?id=80244")</f>
        <v>https://www.fabsurplus.com/sdi_catalog/salesItemDetails.do?id=80244</v>
      </c>
      <c r="B2255" s="3" t="s">
        <v>6316</v>
      </c>
      <c r="C2255" s="3" t="s">
        <v>6317</v>
      </c>
      <c r="D2255" s="3" t="s">
        <v>6318</v>
      </c>
      <c r="E2255" s="3" t="s">
        <v>6319</v>
      </c>
      <c r="F2255" s="3" t="s">
        <v>16</v>
      </c>
      <c r="G2255" s="3" t="s">
        <v>26</v>
      </c>
      <c r="H2255" s="3" t="s">
        <v>1691</v>
      </c>
      <c r="I2255" s="4" t="n">
        <v>35400</v>
      </c>
      <c r="J2255" s="3" t="s">
        <v>19</v>
      </c>
      <c r="K2255" s="3" t="s">
        <v>20</v>
      </c>
      <c r="L2255" s="3" t="s">
        <v>6320</v>
      </c>
    </row>
    <row r="2256" customFormat="false" ht="11.9" hidden="false" customHeight="true" outlineLevel="0" collapsed="false">
      <c r="A2256" s="2" t="str">
        <f aca="false">HYPERLINK("https://www.fabsurplus.com/sdi_catalog/salesItemDetails.do?id=84374")</f>
        <v>https://www.fabsurplus.com/sdi_catalog/salesItemDetails.do?id=84374</v>
      </c>
      <c r="B2256" s="2" t="s">
        <v>6321</v>
      </c>
      <c r="C2256" s="2" t="s">
        <v>6322</v>
      </c>
      <c r="D2256" s="2" t="s">
        <v>6323</v>
      </c>
      <c r="E2256" s="2" t="s">
        <v>6324</v>
      </c>
      <c r="F2256" s="2" t="s">
        <v>16</v>
      </c>
      <c r="G2256" s="2"/>
      <c r="H2256" s="2" t="s">
        <v>27</v>
      </c>
      <c r="I2256" s="2"/>
      <c r="J2256" s="2" t="s">
        <v>19</v>
      </c>
      <c r="K2256" s="2" t="s">
        <v>20</v>
      </c>
      <c r="L2256" s="6" t="s">
        <v>6325</v>
      </c>
    </row>
    <row r="2257" customFormat="false" ht="11.9" hidden="false" customHeight="true" outlineLevel="0" collapsed="false">
      <c r="A2257" s="3" t="str">
        <f aca="false">HYPERLINK("https://www.fabsurplus.com/sdi_catalog/salesItemDetails.do?id=84059")</f>
        <v>https://www.fabsurplus.com/sdi_catalog/salesItemDetails.do?id=84059</v>
      </c>
      <c r="B2257" s="3" t="s">
        <v>6326</v>
      </c>
      <c r="C2257" s="3" t="s">
        <v>6327</v>
      </c>
      <c r="D2257" s="3" t="s">
        <v>6328</v>
      </c>
      <c r="E2257" s="3" t="s">
        <v>6329</v>
      </c>
      <c r="F2257" s="3" t="s">
        <v>16</v>
      </c>
      <c r="G2257" s="3" t="s">
        <v>6330</v>
      </c>
      <c r="H2257" s="3" t="s">
        <v>27</v>
      </c>
      <c r="I2257" s="3"/>
      <c r="J2257" s="3" t="s">
        <v>19</v>
      </c>
      <c r="K2257" s="3" t="s">
        <v>20</v>
      </c>
      <c r="L2257" s="5" t="s">
        <v>6331</v>
      </c>
    </row>
    <row r="2258" customFormat="false" ht="11.9" hidden="false" customHeight="true" outlineLevel="0" collapsed="false">
      <c r="A2258" s="3" t="str">
        <f aca="false">HYPERLINK("https://www.fabsurplus.com/sdi_catalog/salesItemDetails.do?id=80265")</f>
        <v>https://www.fabsurplus.com/sdi_catalog/salesItemDetails.do?id=80265</v>
      </c>
      <c r="B2258" s="3" t="s">
        <v>6332</v>
      </c>
      <c r="C2258" s="3" t="s">
        <v>6333</v>
      </c>
      <c r="D2258" s="3" t="s">
        <v>6334</v>
      </c>
      <c r="E2258" s="3" t="s">
        <v>6335</v>
      </c>
      <c r="F2258" s="3" t="s">
        <v>16</v>
      </c>
      <c r="G2258" s="3" t="s">
        <v>17</v>
      </c>
      <c r="H2258" s="3" t="s">
        <v>18</v>
      </c>
      <c r="I2258" s="3"/>
      <c r="J2258" s="3" t="s">
        <v>19</v>
      </c>
      <c r="K2258" s="3" t="s">
        <v>20</v>
      </c>
      <c r="L2258" s="3"/>
    </row>
    <row r="2259" customFormat="false" ht="11.9" hidden="false" customHeight="true" outlineLevel="0" collapsed="false">
      <c r="A2259" s="2" t="str">
        <f aca="false">HYPERLINK("https://www.fabsurplus.com/sdi_catalog/salesItemDetails.do?id=80260")</f>
        <v>https://www.fabsurplus.com/sdi_catalog/salesItemDetails.do?id=80260</v>
      </c>
      <c r="B2259" s="2" t="s">
        <v>6336</v>
      </c>
      <c r="C2259" s="2" t="s">
        <v>6333</v>
      </c>
      <c r="D2259" s="2" t="s">
        <v>6337</v>
      </c>
      <c r="E2259" s="2" t="s">
        <v>6338</v>
      </c>
      <c r="F2259" s="2" t="s">
        <v>101</v>
      </c>
      <c r="G2259" s="2" t="s">
        <v>41</v>
      </c>
      <c r="H2259" s="2" t="s">
        <v>27</v>
      </c>
      <c r="I2259" s="2"/>
      <c r="J2259" s="2" t="s">
        <v>19</v>
      </c>
      <c r="K2259" s="2" t="s">
        <v>20</v>
      </c>
      <c r="L2259" s="6" t="s">
        <v>6339</v>
      </c>
    </row>
    <row r="2260" customFormat="false" ht="11.9" hidden="false" customHeight="true" outlineLevel="0" collapsed="false">
      <c r="A2260" s="2" t="str">
        <f aca="false">HYPERLINK("https://www.fabsurplus.com/sdi_catalog/salesItemDetails.do?id=80245")</f>
        <v>https://www.fabsurplus.com/sdi_catalog/salesItemDetails.do?id=80245</v>
      </c>
      <c r="B2260" s="2" t="s">
        <v>6340</v>
      </c>
      <c r="C2260" s="2" t="s">
        <v>6341</v>
      </c>
      <c r="D2260" s="2" t="s">
        <v>6342</v>
      </c>
      <c r="E2260" s="2" t="s">
        <v>6343</v>
      </c>
      <c r="F2260" s="2" t="s">
        <v>77</v>
      </c>
      <c r="G2260" s="2"/>
      <c r="H2260" s="2" t="s">
        <v>18</v>
      </c>
      <c r="I2260" s="2"/>
      <c r="J2260" s="2" t="s">
        <v>19</v>
      </c>
      <c r="K2260" s="2" t="s">
        <v>20</v>
      </c>
      <c r="L2260" s="2" t="s">
        <v>6344</v>
      </c>
    </row>
    <row r="2261" customFormat="false" ht="11.9" hidden="false" customHeight="true" outlineLevel="0" collapsed="false">
      <c r="A2261" s="3" t="str">
        <f aca="false">HYPERLINK("https://www.fabsurplus.com/sdi_catalog/salesItemDetails.do?id=82220")</f>
        <v>https://www.fabsurplus.com/sdi_catalog/salesItemDetails.do?id=82220</v>
      </c>
      <c r="B2261" s="3" t="s">
        <v>6345</v>
      </c>
      <c r="C2261" s="3" t="s">
        <v>6346</v>
      </c>
      <c r="D2261" s="3" t="s">
        <v>6347</v>
      </c>
      <c r="E2261" s="3" t="s">
        <v>6348</v>
      </c>
      <c r="F2261" s="3" t="s">
        <v>16</v>
      </c>
      <c r="G2261" s="3"/>
      <c r="H2261" s="3" t="s">
        <v>35</v>
      </c>
      <c r="I2261" s="3"/>
      <c r="J2261" s="3" t="s">
        <v>19</v>
      </c>
      <c r="K2261" s="3" t="s">
        <v>20</v>
      </c>
      <c r="L2261" s="5" t="s">
        <v>6349</v>
      </c>
    </row>
    <row r="2262" customFormat="false" ht="11.9" hidden="false" customHeight="true" outlineLevel="0" collapsed="false">
      <c r="A2262" s="3" t="str">
        <f aca="false">HYPERLINK("https://www.fabsurplus.com/sdi_catalog/salesItemDetails.do?id=83890")</f>
        <v>https://www.fabsurplus.com/sdi_catalog/salesItemDetails.do?id=83890</v>
      </c>
      <c r="B2262" s="3" t="s">
        <v>6350</v>
      </c>
      <c r="C2262" s="3" t="s">
        <v>6351</v>
      </c>
      <c r="D2262" s="3" t="s">
        <v>6352</v>
      </c>
      <c r="E2262" s="3" t="s">
        <v>6353</v>
      </c>
      <c r="F2262" s="3" t="s">
        <v>16</v>
      </c>
      <c r="G2262" s="3"/>
      <c r="H2262" s="3" t="s">
        <v>27</v>
      </c>
      <c r="I2262" s="4" t="n">
        <v>35490</v>
      </c>
      <c r="J2262" s="3" t="s">
        <v>19</v>
      </c>
      <c r="K2262" s="3" t="s">
        <v>20</v>
      </c>
      <c r="L2262" s="5" t="s">
        <v>6354</v>
      </c>
    </row>
    <row r="2263" customFormat="false" ht="11.9" hidden="false" customHeight="true" outlineLevel="0" collapsed="false">
      <c r="A2263" s="2" t="str">
        <f aca="false">HYPERLINK("https://www.fabsurplus.com/sdi_catalog/salesItemDetails.do?id=83812")</f>
        <v>https://www.fabsurplus.com/sdi_catalog/salesItemDetails.do?id=83812</v>
      </c>
      <c r="B2263" s="2" t="s">
        <v>6355</v>
      </c>
      <c r="C2263" s="2" t="s">
        <v>6351</v>
      </c>
      <c r="D2263" s="2" t="s">
        <v>6352</v>
      </c>
      <c r="E2263" s="2" t="s">
        <v>6356</v>
      </c>
      <c r="F2263" s="2" t="s">
        <v>16</v>
      </c>
      <c r="G2263" s="2"/>
      <c r="H2263" s="2" t="s">
        <v>27</v>
      </c>
      <c r="I2263" s="7" t="n">
        <v>35338.9166666667</v>
      </c>
      <c r="J2263" s="2" t="s">
        <v>19</v>
      </c>
      <c r="K2263" s="2" t="s">
        <v>20</v>
      </c>
      <c r="L2263" s="6" t="s">
        <v>6357</v>
      </c>
    </row>
    <row r="2264" customFormat="false" ht="11.9" hidden="false" customHeight="true" outlineLevel="0" collapsed="false">
      <c r="A2264" s="2" t="str">
        <f aca="false">HYPERLINK("https://www.fabsurplus.com/sdi_catalog/salesItemDetails.do?id=110337")</f>
        <v>https://www.fabsurplus.com/sdi_catalog/salesItemDetails.do?id=110337</v>
      </c>
      <c r="B2264" s="2" t="s">
        <v>6358</v>
      </c>
      <c r="C2264" s="2" t="s">
        <v>6359</v>
      </c>
      <c r="D2264" s="2" t="s">
        <v>6360</v>
      </c>
      <c r="E2264" s="2" t="s">
        <v>133</v>
      </c>
      <c r="F2264" s="2" t="s">
        <v>16</v>
      </c>
      <c r="G2264" s="2" t="s">
        <v>41</v>
      </c>
      <c r="H2264" s="2"/>
      <c r="I2264" s="2"/>
      <c r="J2264" s="2" t="s">
        <v>42</v>
      </c>
      <c r="K2264" s="2"/>
      <c r="L2264" s="6" t="s">
        <v>6361</v>
      </c>
    </row>
    <row r="2265" customFormat="false" ht="11.9" hidden="false" customHeight="true" outlineLevel="0" collapsed="false">
      <c r="A2265" s="3" t="str">
        <f aca="false">HYPERLINK("https://www.fabsurplus.com/sdi_catalog/salesItemDetails.do?id=110340")</f>
        <v>https://www.fabsurplus.com/sdi_catalog/salesItemDetails.do?id=110340</v>
      </c>
      <c r="B2265" s="3" t="s">
        <v>6362</v>
      </c>
      <c r="C2265" s="3" t="s">
        <v>6359</v>
      </c>
      <c r="D2265" s="3" t="s">
        <v>6363</v>
      </c>
      <c r="E2265" s="3" t="s">
        <v>133</v>
      </c>
      <c r="F2265" s="3" t="s">
        <v>16</v>
      </c>
      <c r="G2265" s="3" t="s">
        <v>41</v>
      </c>
      <c r="H2265" s="3"/>
      <c r="I2265" s="3"/>
      <c r="J2265" s="3" t="s">
        <v>42</v>
      </c>
      <c r="K2265" s="3"/>
      <c r="L2265" s="3" t="s">
        <v>6364</v>
      </c>
    </row>
    <row r="2266" customFormat="false" ht="11.9" hidden="false" customHeight="true" outlineLevel="0" collapsed="false">
      <c r="A2266" s="2" t="str">
        <f aca="false">HYPERLINK("https://www.fabsurplus.com/sdi_catalog/salesItemDetails.do?id=110339")</f>
        <v>https://www.fabsurplus.com/sdi_catalog/salesItemDetails.do?id=110339</v>
      </c>
      <c r="B2266" s="2" t="s">
        <v>6365</v>
      </c>
      <c r="C2266" s="2" t="s">
        <v>6359</v>
      </c>
      <c r="D2266" s="2" t="s">
        <v>6363</v>
      </c>
      <c r="E2266" s="2" t="s">
        <v>133</v>
      </c>
      <c r="F2266" s="2" t="s">
        <v>16</v>
      </c>
      <c r="G2266" s="2" t="s">
        <v>41</v>
      </c>
      <c r="H2266" s="2"/>
      <c r="I2266" s="2"/>
      <c r="J2266" s="2" t="s">
        <v>42</v>
      </c>
      <c r="K2266" s="2"/>
      <c r="L2266" s="2" t="s">
        <v>362</v>
      </c>
    </row>
    <row r="2267" customFormat="false" ht="11.9" hidden="false" customHeight="true" outlineLevel="0" collapsed="false">
      <c r="A2267" s="3" t="str">
        <f aca="false">HYPERLINK("https://www.fabsurplus.com/sdi_catalog/salesItemDetails.do?id=110338")</f>
        <v>https://www.fabsurplus.com/sdi_catalog/salesItemDetails.do?id=110338</v>
      </c>
      <c r="B2267" s="3" t="s">
        <v>6366</v>
      </c>
      <c r="C2267" s="3" t="s">
        <v>6359</v>
      </c>
      <c r="D2267" s="3" t="s">
        <v>6363</v>
      </c>
      <c r="E2267" s="3" t="s">
        <v>133</v>
      </c>
      <c r="F2267" s="3" t="s">
        <v>16</v>
      </c>
      <c r="G2267" s="3" t="s">
        <v>41</v>
      </c>
      <c r="H2267" s="3"/>
      <c r="I2267" s="3"/>
      <c r="J2267" s="3" t="s">
        <v>42</v>
      </c>
      <c r="K2267" s="3"/>
      <c r="L2267" s="3" t="s">
        <v>362</v>
      </c>
    </row>
    <row r="2268" customFormat="false" ht="11.9" hidden="false" customHeight="true" outlineLevel="0" collapsed="false">
      <c r="A2268" s="3" t="str">
        <f aca="false">HYPERLINK("https://www.fabsurplus.com/sdi_catalog/salesItemDetails.do?id=83554")</f>
        <v>https://www.fabsurplus.com/sdi_catalog/salesItemDetails.do?id=83554</v>
      </c>
      <c r="B2268" s="3" t="s">
        <v>6367</v>
      </c>
      <c r="C2268" s="3" t="s">
        <v>6368</v>
      </c>
      <c r="D2268" s="3" t="s">
        <v>6369</v>
      </c>
      <c r="E2268" s="3" t="s">
        <v>6370</v>
      </c>
      <c r="F2268" s="3" t="s">
        <v>16</v>
      </c>
      <c r="G2268" s="3" t="s">
        <v>6371</v>
      </c>
      <c r="H2268" s="3" t="s">
        <v>27</v>
      </c>
      <c r="I2268" s="3"/>
      <c r="J2268" s="3" t="s">
        <v>19</v>
      </c>
      <c r="K2268" s="3" t="s">
        <v>20</v>
      </c>
      <c r="L2268" s="5" t="s">
        <v>6372</v>
      </c>
    </row>
    <row r="2269" customFormat="false" ht="11.9" hidden="false" customHeight="true" outlineLevel="0" collapsed="false">
      <c r="A2269" s="2" t="str">
        <f aca="false">HYPERLINK("https://www.fabsurplus.com/sdi_catalog/salesItemDetails.do?id=83638")</f>
        <v>https://www.fabsurplus.com/sdi_catalog/salesItemDetails.do?id=83638</v>
      </c>
      <c r="B2269" s="2" t="s">
        <v>6373</v>
      </c>
      <c r="C2269" s="2" t="s">
        <v>6368</v>
      </c>
      <c r="D2269" s="2" t="s">
        <v>6374</v>
      </c>
      <c r="E2269" s="2" t="s">
        <v>6375</v>
      </c>
      <c r="F2269" s="2" t="s">
        <v>16</v>
      </c>
      <c r="G2269" s="2" t="s">
        <v>6376</v>
      </c>
      <c r="H2269" s="2" t="s">
        <v>18</v>
      </c>
      <c r="I2269" s="7" t="n">
        <v>38442.9166666667</v>
      </c>
      <c r="J2269" s="2" t="s">
        <v>19</v>
      </c>
      <c r="K2269" s="2" t="s">
        <v>20</v>
      </c>
      <c r="L2269" s="6" t="s">
        <v>6377</v>
      </c>
    </row>
    <row r="2270" customFormat="false" ht="11.9" hidden="false" customHeight="true" outlineLevel="0" collapsed="false">
      <c r="A2270" s="2" t="str">
        <f aca="false">HYPERLINK("https://www.fabsurplus.com/sdi_catalog/salesItemDetails.do?id=83523")</f>
        <v>https://www.fabsurplus.com/sdi_catalog/salesItemDetails.do?id=83523</v>
      </c>
      <c r="B2270" s="2" t="s">
        <v>6378</v>
      </c>
      <c r="C2270" s="2" t="s">
        <v>6368</v>
      </c>
      <c r="D2270" s="2" t="s">
        <v>6379</v>
      </c>
      <c r="E2270" s="2" t="s">
        <v>6380</v>
      </c>
      <c r="F2270" s="2" t="s">
        <v>16</v>
      </c>
      <c r="G2270" s="2" t="s">
        <v>6381</v>
      </c>
      <c r="H2270" s="2" t="s">
        <v>27</v>
      </c>
      <c r="I2270" s="2"/>
      <c r="J2270" s="2"/>
      <c r="K2270" s="2"/>
      <c r="L2270" s="6" t="s">
        <v>6382</v>
      </c>
    </row>
    <row r="2271" customFormat="false" ht="11.9" hidden="false" customHeight="true" outlineLevel="0" collapsed="false">
      <c r="A2271" s="2" t="str">
        <f aca="false">HYPERLINK("https://www.fabsurplus.com/sdi_catalog/salesItemDetails.do?id=114627")</f>
        <v>https://www.fabsurplus.com/sdi_catalog/salesItemDetails.do?id=114627</v>
      </c>
      <c r="B2271" s="2" t="s">
        <v>6383</v>
      </c>
      <c r="C2271" s="2" t="s">
        <v>6384</v>
      </c>
      <c r="D2271" s="2" t="s">
        <v>6385</v>
      </c>
      <c r="E2271" s="2" t="s">
        <v>6386</v>
      </c>
      <c r="F2271" s="2" t="s">
        <v>16</v>
      </c>
      <c r="G2271" s="2" t="s">
        <v>26</v>
      </c>
      <c r="H2271" s="2"/>
      <c r="I2271" s="2"/>
      <c r="J2271" s="2" t="s">
        <v>19</v>
      </c>
      <c r="K2271" s="2"/>
      <c r="L2271" s="2" t="s">
        <v>63</v>
      </c>
    </row>
    <row r="2272" customFormat="false" ht="11.9" hidden="false" customHeight="true" outlineLevel="0" collapsed="false">
      <c r="A2272" s="3" t="str">
        <f aca="false">HYPERLINK("https://www.fabsurplus.com/sdi_catalog/salesItemDetails.do?id=114626")</f>
        <v>https://www.fabsurplus.com/sdi_catalog/salesItemDetails.do?id=114626</v>
      </c>
      <c r="B2272" s="3" t="s">
        <v>6387</v>
      </c>
      <c r="C2272" s="3" t="s">
        <v>6384</v>
      </c>
      <c r="D2272" s="3" t="s">
        <v>6385</v>
      </c>
      <c r="E2272" s="3" t="s">
        <v>6386</v>
      </c>
      <c r="F2272" s="3" t="s">
        <v>16</v>
      </c>
      <c r="G2272" s="3" t="s">
        <v>26</v>
      </c>
      <c r="H2272" s="3"/>
      <c r="I2272" s="3"/>
      <c r="J2272" s="3" t="s">
        <v>19</v>
      </c>
      <c r="K2272" s="3"/>
      <c r="L2272" s="3" t="s">
        <v>63</v>
      </c>
    </row>
    <row r="2273" customFormat="false" ht="11.9" hidden="false" customHeight="true" outlineLevel="0" collapsed="false">
      <c r="A2273" s="2" t="str">
        <f aca="false">HYPERLINK("https://www.fabsurplus.com/sdi_catalog/salesItemDetails.do?id=114622")</f>
        <v>https://www.fabsurplus.com/sdi_catalog/salesItemDetails.do?id=114622</v>
      </c>
      <c r="B2273" s="2" t="s">
        <v>6388</v>
      </c>
      <c r="C2273" s="2" t="s">
        <v>6384</v>
      </c>
      <c r="D2273" s="2" t="s">
        <v>6385</v>
      </c>
      <c r="E2273" s="2" t="s">
        <v>6386</v>
      </c>
      <c r="F2273" s="2" t="s">
        <v>77</v>
      </c>
      <c r="G2273" s="2" t="s">
        <v>26</v>
      </c>
      <c r="H2273" s="2"/>
      <c r="I2273" s="2"/>
      <c r="J2273" s="2" t="s">
        <v>19</v>
      </c>
      <c r="K2273" s="2"/>
      <c r="L2273" s="2" t="s">
        <v>63</v>
      </c>
    </row>
    <row r="2274" customFormat="false" ht="11.9" hidden="false" customHeight="true" outlineLevel="0" collapsed="false">
      <c r="A2274" s="3" t="str">
        <f aca="false">HYPERLINK("https://www.fabsurplus.com/sdi_catalog/salesItemDetails.do?id=114621")</f>
        <v>https://www.fabsurplus.com/sdi_catalog/salesItemDetails.do?id=114621</v>
      </c>
      <c r="B2274" s="3" t="s">
        <v>6389</v>
      </c>
      <c r="C2274" s="3" t="s">
        <v>6384</v>
      </c>
      <c r="D2274" s="3" t="s">
        <v>6385</v>
      </c>
      <c r="E2274" s="3" t="s">
        <v>6386</v>
      </c>
      <c r="F2274" s="3" t="s">
        <v>77</v>
      </c>
      <c r="G2274" s="3" t="s">
        <v>26</v>
      </c>
      <c r="H2274" s="3"/>
      <c r="I2274" s="3"/>
      <c r="J2274" s="3" t="s">
        <v>19</v>
      </c>
      <c r="K2274" s="3"/>
      <c r="L2274" s="3" t="s">
        <v>63</v>
      </c>
    </row>
    <row r="2275" customFormat="false" ht="11.9" hidden="false" customHeight="true" outlineLevel="0" collapsed="false">
      <c r="A2275" s="2" t="str">
        <f aca="false">HYPERLINK("https://www.fabsurplus.com/sdi_catalog/salesItemDetails.do?id=74164")</f>
        <v>https://www.fabsurplus.com/sdi_catalog/salesItemDetails.do?id=74164</v>
      </c>
      <c r="B2275" s="2" t="s">
        <v>6390</v>
      </c>
      <c r="C2275" s="2" t="s">
        <v>6384</v>
      </c>
      <c r="D2275" s="2" t="s">
        <v>6391</v>
      </c>
      <c r="E2275" s="2" t="s">
        <v>6392</v>
      </c>
      <c r="F2275" s="2" t="s">
        <v>16</v>
      </c>
      <c r="G2275" s="2" t="s">
        <v>17</v>
      </c>
      <c r="H2275" s="2" t="s">
        <v>944</v>
      </c>
      <c r="I2275" s="7" t="n">
        <v>38717.9583333333</v>
      </c>
      <c r="J2275" s="2" t="s">
        <v>19</v>
      </c>
      <c r="K2275" s="2" t="s">
        <v>20</v>
      </c>
      <c r="L2275" s="6" t="s">
        <v>6393</v>
      </c>
    </row>
    <row r="2276" customFormat="false" ht="11.9" hidden="false" customHeight="true" outlineLevel="0" collapsed="false">
      <c r="A2276" s="2" t="str">
        <f aca="false">HYPERLINK("https://www.fabsurplus.com/sdi_catalog/salesItemDetails.do?id=115361")</f>
        <v>https://www.fabsurplus.com/sdi_catalog/salesItemDetails.do?id=115361</v>
      </c>
      <c r="B2276" s="2" t="s">
        <v>6394</v>
      </c>
      <c r="C2276" s="2" t="s">
        <v>6384</v>
      </c>
      <c r="D2276" s="2" t="s">
        <v>6395</v>
      </c>
      <c r="E2276" s="2" t="s">
        <v>6396</v>
      </c>
      <c r="F2276" s="2" t="s">
        <v>16</v>
      </c>
      <c r="G2276" s="2" t="s">
        <v>26</v>
      </c>
      <c r="H2276" s="2"/>
      <c r="I2276" s="2"/>
      <c r="J2276" s="2" t="s">
        <v>19</v>
      </c>
      <c r="K2276" s="2"/>
      <c r="L2276" s="2" t="s">
        <v>63</v>
      </c>
    </row>
    <row r="2277" customFormat="false" ht="11.9" hidden="false" customHeight="true" outlineLevel="0" collapsed="false">
      <c r="A2277" s="3" t="str">
        <f aca="false">HYPERLINK("https://www.fabsurplus.com/sdi_catalog/salesItemDetails.do?id=115360")</f>
        <v>https://www.fabsurplus.com/sdi_catalog/salesItemDetails.do?id=115360</v>
      </c>
      <c r="B2277" s="3" t="s">
        <v>6397</v>
      </c>
      <c r="C2277" s="3" t="s">
        <v>6384</v>
      </c>
      <c r="D2277" s="3" t="s">
        <v>6395</v>
      </c>
      <c r="E2277" s="3" t="s">
        <v>6396</v>
      </c>
      <c r="F2277" s="3" t="s">
        <v>16</v>
      </c>
      <c r="G2277" s="3" t="s">
        <v>26</v>
      </c>
      <c r="H2277" s="3"/>
      <c r="I2277" s="3"/>
      <c r="J2277" s="3" t="s">
        <v>19</v>
      </c>
      <c r="K2277" s="3"/>
      <c r="L2277" s="3" t="s">
        <v>63</v>
      </c>
    </row>
    <row r="2278" customFormat="false" ht="11.9" hidden="false" customHeight="true" outlineLevel="0" collapsed="false">
      <c r="A2278" s="2" t="str">
        <f aca="false">HYPERLINK("https://www.fabsurplus.com/sdi_catalog/salesItemDetails.do?id=115359")</f>
        <v>https://www.fabsurplus.com/sdi_catalog/salesItemDetails.do?id=115359</v>
      </c>
      <c r="B2278" s="2" t="s">
        <v>6398</v>
      </c>
      <c r="C2278" s="2" t="s">
        <v>6384</v>
      </c>
      <c r="D2278" s="2" t="s">
        <v>6395</v>
      </c>
      <c r="E2278" s="2" t="s">
        <v>6396</v>
      </c>
      <c r="F2278" s="2" t="s">
        <v>16</v>
      </c>
      <c r="G2278" s="2" t="s">
        <v>26</v>
      </c>
      <c r="H2278" s="2"/>
      <c r="I2278" s="2"/>
      <c r="J2278" s="2" t="s">
        <v>19</v>
      </c>
      <c r="K2278" s="2"/>
      <c r="L2278" s="2" t="s">
        <v>63</v>
      </c>
    </row>
    <row r="2279" customFormat="false" ht="11.9" hidden="false" customHeight="true" outlineLevel="0" collapsed="false">
      <c r="A2279" s="3" t="str">
        <f aca="false">HYPERLINK("https://www.fabsurplus.com/sdi_catalog/salesItemDetails.do?id=115358")</f>
        <v>https://www.fabsurplus.com/sdi_catalog/salesItemDetails.do?id=115358</v>
      </c>
      <c r="B2279" s="3" t="s">
        <v>6399</v>
      </c>
      <c r="C2279" s="3" t="s">
        <v>6384</v>
      </c>
      <c r="D2279" s="3" t="s">
        <v>6395</v>
      </c>
      <c r="E2279" s="3" t="s">
        <v>6396</v>
      </c>
      <c r="F2279" s="3" t="s">
        <v>16</v>
      </c>
      <c r="G2279" s="3" t="s">
        <v>26</v>
      </c>
      <c r="H2279" s="3"/>
      <c r="I2279" s="3"/>
      <c r="J2279" s="3" t="s">
        <v>19</v>
      </c>
      <c r="K2279" s="3"/>
      <c r="L2279" s="3" t="s">
        <v>63</v>
      </c>
    </row>
    <row r="2280" customFormat="false" ht="11.9" hidden="false" customHeight="true" outlineLevel="0" collapsed="false">
      <c r="A2280" s="3" t="str">
        <f aca="false">HYPERLINK("https://www.fabsurplus.com/sdi_catalog/salesItemDetails.do?id=77940")</f>
        <v>https://www.fabsurplus.com/sdi_catalog/salesItemDetails.do?id=77940</v>
      </c>
      <c r="B2280" s="3" t="s">
        <v>6400</v>
      </c>
      <c r="C2280" s="3" t="s">
        <v>6384</v>
      </c>
      <c r="D2280" s="3" t="s">
        <v>6401</v>
      </c>
      <c r="E2280" s="3" t="s">
        <v>6402</v>
      </c>
      <c r="F2280" s="3" t="s">
        <v>16</v>
      </c>
      <c r="G2280" s="3" t="s">
        <v>26</v>
      </c>
      <c r="H2280" s="3" t="s">
        <v>944</v>
      </c>
      <c r="I2280" s="3"/>
      <c r="J2280" s="3" t="s">
        <v>19</v>
      </c>
      <c r="K2280" s="3" t="s">
        <v>20</v>
      </c>
      <c r="L2280" s="5" t="s">
        <v>6403</v>
      </c>
    </row>
    <row r="2281" customFormat="false" ht="11.9" hidden="false" customHeight="true" outlineLevel="0" collapsed="false">
      <c r="A2281" s="2" t="str">
        <f aca="false">HYPERLINK("https://www.fabsurplus.com/sdi_catalog/salesItemDetails.do?id=87366")</f>
        <v>https://www.fabsurplus.com/sdi_catalog/salesItemDetails.do?id=87366</v>
      </c>
      <c r="B2281" s="2" t="s">
        <v>6404</v>
      </c>
      <c r="C2281" s="2" t="s">
        <v>6384</v>
      </c>
      <c r="D2281" s="2" t="s">
        <v>6405</v>
      </c>
      <c r="E2281" s="2" t="s">
        <v>6406</v>
      </c>
      <c r="F2281" s="2" t="s">
        <v>16</v>
      </c>
      <c r="G2281" s="2" t="s">
        <v>26</v>
      </c>
      <c r="H2281" s="2" t="s">
        <v>27</v>
      </c>
      <c r="I2281" s="2"/>
      <c r="J2281" s="2" t="s">
        <v>19</v>
      </c>
      <c r="K2281" s="2" t="s">
        <v>20</v>
      </c>
      <c r="L2281" s="6" t="s">
        <v>6407</v>
      </c>
    </row>
    <row r="2282" customFormat="false" ht="11.9" hidden="false" customHeight="true" outlineLevel="0" collapsed="false">
      <c r="A2282" s="2" t="str">
        <f aca="false">HYPERLINK("https://www.fabsurplus.com/sdi_catalog/salesItemDetails.do?id=115362")</f>
        <v>https://www.fabsurplus.com/sdi_catalog/salesItemDetails.do?id=115362</v>
      </c>
      <c r="B2282" s="2" t="s">
        <v>6408</v>
      </c>
      <c r="C2282" s="2" t="s">
        <v>6384</v>
      </c>
      <c r="D2282" s="2" t="s">
        <v>6409</v>
      </c>
      <c r="E2282" s="2" t="s">
        <v>6396</v>
      </c>
      <c r="F2282" s="2" t="s">
        <v>16</v>
      </c>
      <c r="G2282" s="2" t="s">
        <v>26</v>
      </c>
      <c r="H2282" s="2"/>
      <c r="I2282" s="2"/>
      <c r="J2282" s="2" t="s">
        <v>19</v>
      </c>
      <c r="K2282" s="2"/>
      <c r="L2282" s="2" t="s">
        <v>63</v>
      </c>
    </row>
    <row r="2283" customFormat="false" ht="11.9" hidden="false" customHeight="true" outlineLevel="0" collapsed="false">
      <c r="A2283" s="2" t="str">
        <f aca="false">HYPERLINK("https://www.fabsurplus.com/sdi_catalog/salesItemDetails.do?id=115363")</f>
        <v>https://www.fabsurplus.com/sdi_catalog/salesItemDetails.do?id=115363</v>
      </c>
      <c r="B2283" s="2" t="s">
        <v>6410</v>
      </c>
      <c r="C2283" s="2" t="s">
        <v>6384</v>
      </c>
      <c r="D2283" s="2" t="s">
        <v>6411</v>
      </c>
      <c r="E2283" s="2" t="s">
        <v>6396</v>
      </c>
      <c r="F2283" s="2" t="s">
        <v>16</v>
      </c>
      <c r="G2283" s="2" t="s">
        <v>26</v>
      </c>
      <c r="H2283" s="2"/>
      <c r="I2283" s="2"/>
      <c r="J2283" s="2" t="s">
        <v>19</v>
      </c>
      <c r="K2283" s="2"/>
      <c r="L2283" s="2" t="s">
        <v>63</v>
      </c>
    </row>
    <row r="2284" customFormat="false" ht="11.9" hidden="false" customHeight="true" outlineLevel="0" collapsed="false">
      <c r="A2284" s="3" t="str">
        <f aca="false">HYPERLINK("https://www.fabsurplus.com/sdi_catalog/salesItemDetails.do?id=115364")</f>
        <v>https://www.fabsurplus.com/sdi_catalog/salesItemDetails.do?id=115364</v>
      </c>
      <c r="B2284" s="3" t="s">
        <v>6412</v>
      </c>
      <c r="C2284" s="3" t="s">
        <v>6384</v>
      </c>
      <c r="D2284" s="3" t="s">
        <v>6411</v>
      </c>
      <c r="E2284" s="3" t="s">
        <v>6413</v>
      </c>
      <c r="F2284" s="3" t="s">
        <v>16</v>
      </c>
      <c r="G2284" s="3" t="s">
        <v>26</v>
      </c>
      <c r="H2284" s="3"/>
      <c r="I2284" s="3"/>
      <c r="J2284" s="3" t="s">
        <v>19</v>
      </c>
      <c r="K2284" s="3"/>
      <c r="L2284" s="3" t="s">
        <v>63</v>
      </c>
    </row>
    <row r="2285" customFormat="false" ht="11.9" hidden="false" customHeight="true" outlineLevel="0" collapsed="false">
      <c r="A2285" s="3" t="str">
        <f aca="false">HYPERLINK("https://www.fabsurplus.com/sdi_catalog/salesItemDetails.do?id=115366")</f>
        <v>https://www.fabsurplus.com/sdi_catalog/salesItemDetails.do?id=115366</v>
      </c>
      <c r="B2285" s="3" t="s">
        <v>6414</v>
      </c>
      <c r="C2285" s="3" t="s">
        <v>6384</v>
      </c>
      <c r="D2285" s="3" t="s">
        <v>6415</v>
      </c>
      <c r="E2285" s="3" t="s">
        <v>6416</v>
      </c>
      <c r="F2285" s="3" t="s">
        <v>16</v>
      </c>
      <c r="G2285" s="3" t="s">
        <v>26</v>
      </c>
      <c r="H2285" s="3"/>
      <c r="I2285" s="3"/>
      <c r="J2285" s="3" t="s">
        <v>19</v>
      </c>
      <c r="K2285" s="3"/>
      <c r="L2285" s="3" t="s">
        <v>63</v>
      </c>
    </row>
    <row r="2286" customFormat="false" ht="11.9" hidden="false" customHeight="true" outlineLevel="0" collapsed="false">
      <c r="A2286" s="3" t="str">
        <f aca="false">HYPERLINK("https://www.fabsurplus.com/sdi_catalog/salesItemDetails.do?id=115365")</f>
        <v>https://www.fabsurplus.com/sdi_catalog/salesItemDetails.do?id=115365</v>
      </c>
      <c r="B2286" s="3" t="s">
        <v>6417</v>
      </c>
      <c r="C2286" s="3" t="s">
        <v>6384</v>
      </c>
      <c r="D2286" s="3" t="s">
        <v>6418</v>
      </c>
      <c r="E2286" s="3" t="s">
        <v>6419</v>
      </c>
      <c r="F2286" s="3" t="s">
        <v>16</v>
      </c>
      <c r="G2286" s="3" t="s">
        <v>26</v>
      </c>
      <c r="H2286" s="3"/>
      <c r="I2286" s="3"/>
      <c r="J2286" s="3" t="s">
        <v>19</v>
      </c>
      <c r="K2286" s="3"/>
      <c r="L2286" s="3" t="s">
        <v>63</v>
      </c>
    </row>
    <row r="2287" customFormat="false" ht="11.9" hidden="false" customHeight="true" outlineLevel="0" collapsed="false">
      <c r="A2287" s="3" t="str">
        <f aca="false">HYPERLINK("https://www.fabsurplus.com/sdi_catalog/salesItemDetails.do?id=115367")</f>
        <v>https://www.fabsurplus.com/sdi_catalog/salesItemDetails.do?id=115367</v>
      </c>
      <c r="B2287" s="3" t="s">
        <v>6420</v>
      </c>
      <c r="C2287" s="3" t="s">
        <v>6384</v>
      </c>
      <c r="D2287" s="3" t="s">
        <v>6421</v>
      </c>
      <c r="E2287" s="3" t="s">
        <v>6422</v>
      </c>
      <c r="F2287" s="3" t="s">
        <v>16</v>
      </c>
      <c r="G2287" s="3" t="s">
        <v>26</v>
      </c>
      <c r="H2287" s="3"/>
      <c r="I2287" s="3"/>
      <c r="J2287" s="3" t="s">
        <v>19</v>
      </c>
      <c r="K2287" s="3"/>
      <c r="L2287" s="3" t="s">
        <v>63</v>
      </c>
    </row>
    <row r="2288" customFormat="false" ht="11.9" hidden="false" customHeight="true" outlineLevel="0" collapsed="false">
      <c r="A2288" s="3" t="str">
        <f aca="false">HYPERLINK("https://www.fabsurplus.com/sdi_catalog/salesItemDetails.do?id=115368")</f>
        <v>https://www.fabsurplus.com/sdi_catalog/salesItemDetails.do?id=115368</v>
      </c>
      <c r="B2288" s="3" t="s">
        <v>6423</v>
      </c>
      <c r="C2288" s="3" t="s">
        <v>6384</v>
      </c>
      <c r="D2288" s="3" t="s">
        <v>6424</v>
      </c>
      <c r="E2288" s="3" t="s">
        <v>6425</v>
      </c>
      <c r="F2288" s="3" t="s">
        <v>77</v>
      </c>
      <c r="G2288" s="3" t="s">
        <v>26</v>
      </c>
      <c r="H2288" s="3"/>
      <c r="I2288" s="3"/>
      <c r="J2288" s="3" t="s">
        <v>19</v>
      </c>
      <c r="K2288" s="3"/>
      <c r="L2288" s="3" t="s">
        <v>63</v>
      </c>
    </row>
    <row r="2289" customFormat="false" ht="11.9" hidden="false" customHeight="true" outlineLevel="0" collapsed="false">
      <c r="A2289" s="3" t="str">
        <f aca="false">HYPERLINK("https://www.fabsurplus.com/sdi_catalog/salesItemDetails.do?id=115369")</f>
        <v>https://www.fabsurplus.com/sdi_catalog/salesItemDetails.do?id=115369</v>
      </c>
      <c r="B2289" s="3" t="s">
        <v>6426</v>
      </c>
      <c r="C2289" s="3" t="s">
        <v>6384</v>
      </c>
      <c r="D2289" s="3" t="s">
        <v>6424</v>
      </c>
      <c r="E2289" s="3" t="s">
        <v>6427</v>
      </c>
      <c r="F2289" s="3" t="s">
        <v>16</v>
      </c>
      <c r="G2289" s="3" t="s">
        <v>26</v>
      </c>
      <c r="H2289" s="3"/>
      <c r="I2289" s="3"/>
      <c r="J2289" s="3" t="s">
        <v>19</v>
      </c>
      <c r="K2289" s="3"/>
      <c r="L2289" s="3" t="s">
        <v>63</v>
      </c>
    </row>
    <row r="2290" customFormat="false" ht="11.9" hidden="false" customHeight="true" outlineLevel="0" collapsed="false">
      <c r="A2290" s="3" t="str">
        <f aca="false">HYPERLINK("https://www.fabsurplus.com/sdi_catalog/salesItemDetails.do?id=115370")</f>
        <v>https://www.fabsurplus.com/sdi_catalog/salesItemDetails.do?id=115370</v>
      </c>
      <c r="B2290" s="3" t="s">
        <v>6428</v>
      </c>
      <c r="C2290" s="3" t="s">
        <v>6384</v>
      </c>
      <c r="D2290" s="3" t="s">
        <v>6429</v>
      </c>
      <c r="E2290" s="3" t="s">
        <v>6430</v>
      </c>
      <c r="F2290" s="3" t="s">
        <v>16</v>
      </c>
      <c r="G2290" s="3" t="s">
        <v>26</v>
      </c>
      <c r="H2290" s="3"/>
      <c r="I2290" s="3"/>
      <c r="J2290" s="3" t="s">
        <v>19</v>
      </c>
      <c r="K2290" s="3"/>
      <c r="L2290" s="3" t="s">
        <v>63</v>
      </c>
    </row>
    <row r="2291" customFormat="false" ht="11.9" hidden="false" customHeight="true" outlineLevel="0" collapsed="false">
      <c r="A2291" s="3" t="str">
        <f aca="false">HYPERLINK("https://www.fabsurplus.com/sdi_catalog/salesItemDetails.do?id=115371")</f>
        <v>https://www.fabsurplus.com/sdi_catalog/salesItemDetails.do?id=115371</v>
      </c>
      <c r="B2291" s="3" t="s">
        <v>6431</v>
      </c>
      <c r="C2291" s="3" t="s">
        <v>6384</v>
      </c>
      <c r="D2291" s="3" t="s">
        <v>6432</v>
      </c>
      <c r="E2291" s="3" t="s">
        <v>6433</v>
      </c>
      <c r="F2291" s="3" t="s">
        <v>16</v>
      </c>
      <c r="G2291" s="3" t="s">
        <v>26</v>
      </c>
      <c r="H2291" s="3"/>
      <c r="I2291" s="3"/>
      <c r="J2291" s="3" t="s">
        <v>19</v>
      </c>
      <c r="K2291" s="3"/>
      <c r="L2291" s="3" t="s">
        <v>63</v>
      </c>
    </row>
    <row r="2292" customFormat="false" ht="11.9" hidden="false" customHeight="true" outlineLevel="0" collapsed="false">
      <c r="A2292" s="3" t="str">
        <f aca="false">HYPERLINK("https://www.fabsurplus.com/sdi_catalog/salesItemDetails.do?id=110341")</f>
        <v>https://www.fabsurplus.com/sdi_catalog/salesItemDetails.do?id=110341</v>
      </c>
      <c r="B2292" s="3" t="s">
        <v>6434</v>
      </c>
      <c r="C2292" s="3" t="s">
        <v>6384</v>
      </c>
      <c r="D2292" s="3" t="s">
        <v>6435</v>
      </c>
      <c r="E2292" s="3" t="s">
        <v>47</v>
      </c>
      <c r="F2292" s="3" t="s">
        <v>16</v>
      </c>
      <c r="G2292" s="3" t="s">
        <v>41</v>
      </c>
      <c r="H2292" s="3"/>
      <c r="I2292" s="3"/>
      <c r="J2292" s="3" t="s">
        <v>42</v>
      </c>
      <c r="K2292" s="3"/>
      <c r="L2292" s="3" t="s">
        <v>6436</v>
      </c>
    </row>
    <row r="2293" customFormat="false" ht="11.9" hidden="false" customHeight="true" outlineLevel="0" collapsed="false">
      <c r="A2293" s="3" t="str">
        <f aca="false">HYPERLINK("https://www.fabsurplus.com/sdi_catalog/salesItemDetails.do?id=115372")</f>
        <v>https://www.fabsurplus.com/sdi_catalog/salesItemDetails.do?id=115372</v>
      </c>
      <c r="B2293" s="3" t="s">
        <v>6437</v>
      </c>
      <c r="C2293" s="3" t="s">
        <v>6384</v>
      </c>
      <c r="D2293" s="3" t="s">
        <v>6438</v>
      </c>
      <c r="E2293" s="3" t="s">
        <v>6439</v>
      </c>
      <c r="F2293" s="3" t="s">
        <v>16</v>
      </c>
      <c r="G2293" s="3" t="s">
        <v>26</v>
      </c>
      <c r="H2293" s="3"/>
      <c r="I2293" s="3"/>
      <c r="J2293" s="3" t="s">
        <v>19</v>
      </c>
      <c r="K2293" s="3"/>
      <c r="L2293" s="3" t="s">
        <v>63</v>
      </c>
    </row>
    <row r="2294" customFormat="false" ht="11.9" hidden="false" customHeight="true" outlineLevel="0" collapsed="false">
      <c r="A2294" s="3" t="str">
        <f aca="false">HYPERLINK("https://www.fabsurplus.com/sdi_catalog/salesItemDetails.do?id=110345")</f>
        <v>https://www.fabsurplus.com/sdi_catalog/salesItemDetails.do?id=110345</v>
      </c>
      <c r="B2294" s="3" t="s">
        <v>6440</v>
      </c>
      <c r="C2294" s="3" t="s">
        <v>6384</v>
      </c>
      <c r="D2294" s="3" t="s">
        <v>6441</v>
      </c>
      <c r="E2294" s="3" t="s">
        <v>133</v>
      </c>
      <c r="F2294" s="3" t="s">
        <v>16</v>
      </c>
      <c r="G2294" s="3" t="s">
        <v>41</v>
      </c>
      <c r="H2294" s="3"/>
      <c r="I2294" s="3"/>
      <c r="J2294" s="3" t="s">
        <v>42</v>
      </c>
      <c r="K2294" s="3"/>
      <c r="L2294" s="3" t="s">
        <v>6442</v>
      </c>
    </row>
    <row r="2295" customFormat="false" ht="11.9" hidden="false" customHeight="true" outlineLevel="0" collapsed="false">
      <c r="A2295" s="2" t="str">
        <f aca="false">HYPERLINK("https://www.fabsurplus.com/sdi_catalog/salesItemDetails.do?id=110344")</f>
        <v>https://www.fabsurplus.com/sdi_catalog/salesItemDetails.do?id=110344</v>
      </c>
      <c r="B2295" s="2" t="s">
        <v>6443</v>
      </c>
      <c r="C2295" s="2" t="s">
        <v>6384</v>
      </c>
      <c r="D2295" s="2" t="s">
        <v>6441</v>
      </c>
      <c r="E2295" s="2" t="s">
        <v>133</v>
      </c>
      <c r="F2295" s="2" t="s">
        <v>16</v>
      </c>
      <c r="G2295" s="2" t="s">
        <v>41</v>
      </c>
      <c r="H2295" s="2"/>
      <c r="I2295" s="2"/>
      <c r="J2295" s="2" t="s">
        <v>42</v>
      </c>
      <c r="K2295" s="2"/>
      <c r="L2295" s="2" t="s">
        <v>6442</v>
      </c>
    </row>
    <row r="2296" customFormat="false" ht="11.9" hidden="false" customHeight="true" outlineLevel="0" collapsed="false">
      <c r="A2296" s="3" t="str">
        <f aca="false">HYPERLINK("https://www.fabsurplus.com/sdi_catalog/salesItemDetails.do?id=110343")</f>
        <v>https://www.fabsurplus.com/sdi_catalog/salesItemDetails.do?id=110343</v>
      </c>
      <c r="B2296" s="3" t="s">
        <v>6444</v>
      </c>
      <c r="C2296" s="3" t="s">
        <v>6384</v>
      </c>
      <c r="D2296" s="3" t="s">
        <v>6441</v>
      </c>
      <c r="E2296" s="3" t="s">
        <v>133</v>
      </c>
      <c r="F2296" s="3" t="s">
        <v>16</v>
      </c>
      <c r="G2296" s="3" t="s">
        <v>41</v>
      </c>
      <c r="H2296" s="3"/>
      <c r="I2296" s="3"/>
      <c r="J2296" s="3" t="s">
        <v>42</v>
      </c>
      <c r="K2296" s="3"/>
      <c r="L2296" s="3" t="s">
        <v>6442</v>
      </c>
    </row>
    <row r="2297" customFormat="false" ht="11.9" hidden="false" customHeight="true" outlineLevel="0" collapsed="false">
      <c r="A2297" s="2" t="str">
        <f aca="false">HYPERLINK("https://www.fabsurplus.com/sdi_catalog/salesItemDetails.do?id=110342")</f>
        <v>https://www.fabsurplus.com/sdi_catalog/salesItemDetails.do?id=110342</v>
      </c>
      <c r="B2297" s="2" t="s">
        <v>6445</v>
      </c>
      <c r="C2297" s="2" t="s">
        <v>6384</v>
      </c>
      <c r="D2297" s="2" t="s">
        <v>6441</v>
      </c>
      <c r="E2297" s="2" t="s">
        <v>133</v>
      </c>
      <c r="F2297" s="2" t="s">
        <v>16</v>
      </c>
      <c r="G2297" s="2" t="s">
        <v>41</v>
      </c>
      <c r="H2297" s="2"/>
      <c r="I2297" s="2"/>
      <c r="J2297" s="2" t="s">
        <v>42</v>
      </c>
      <c r="K2297" s="2"/>
      <c r="L2297" s="2" t="s">
        <v>6442</v>
      </c>
    </row>
    <row r="2298" customFormat="false" ht="11.9" hidden="false" customHeight="true" outlineLevel="0" collapsed="false">
      <c r="A2298" s="2" t="str">
        <f aca="false">HYPERLINK("https://www.fabsurplus.com/sdi_catalog/salesItemDetails.do?id=110346")</f>
        <v>https://www.fabsurplus.com/sdi_catalog/salesItemDetails.do?id=110346</v>
      </c>
      <c r="B2298" s="2" t="s">
        <v>6446</v>
      </c>
      <c r="C2298" s="2" t="s">
        <v>6384</v>
      </c>
      <c r="D2298" s="2" t="s">
        <v>6447</v>
      </c>
      <c r="E2298" s="2" t="s">
        <v>133</v>
      </c>
      <c r="F2298" s="2" t="s">
        <v>16</v>
      </c>
      <c r="G2298" s="2" t="s">
        <v>41</v>
      </c>
      <c r="H2298" s="2"/>
      <c r="I2298" s="2"/>
      <c r="J2298" s="2" t="s">
        <v>42</v>
      </c>
      <c r="K2298" s="2"/>
      <c r="L2298" s="2" t="s">
        <v>349</v>
      </c>
    </row>
    <row r="2299" customFormat="false" ht="11.9" hidden="false" customHeight="true" outlineLevel="0" collapsed="false">
      <c r="A2299" s="3" t="str">
        <f aca="false">HYPERLINK("https://www.fabsurplus.com/sdi_catalog/salesItemDetails.do?id=69856")</f>
        <v>https://www.fabsurplus.com/sdi_catalog/salesItemDetails.do?id=69856</v>
      </c>
      <c r="B2299" s="3" t="s">
        <v>6448</v>
      </c>
      <c r="C2299" s="3" t="s">
        <v>6384</v>
      </c>
      <c r="D2299" s="3" t="s">
        <v>6449</v>
      </c>
      <c r="E2299" s="3" t="s">
        <v>6450</v>
      </c>
      <c r="F2299" s="3" t="s">
        <v>16</v>
      </c>
      <c r="G2299" s="3" t="s">
        <v>17</v>
      </c>
      <c r="H2299" s="3" t="s">
        <v>27</v>
      </c>
      <c r="I2299" s="3"/>
      <c r="J2299" s="3" t="s">
        <v>19</v>
      </c>
      <c r="K2299" s="3" t="s">
        <v>20</v>
      </c>
      <c r="L2299" s="3" t="s">
        <v>6451</v>
      </c>
    </row>
    <row r="2300" customFormat="false" ht="11.9" hidden="false" customHeight="true" outlineLevel="0" collapsed="false">
      <c r="A2300" s="3" t="str">
        <f aca="false">HYPERLINK("https://www.fabsurplus.com/sdi_catalog/salesItemDetails.do?id=101024")</f>
        <v>https://www.fabsurplus.com/sdi_catalog/salesItemDetails.do?id=101024</v>
      </c>
      <c r="B2300" s="3" t="s">
        <v>6452</v>
      </c>
      <c r="C2300" s="3" t="s">
        <v>6453</v>
      </c>
      <c r="D2300" s="3" t="s">
        <v>6454</v>
      </c>
      <c r="E2300" s="3" t="s">
        <v>6455</v>
      </c>
      <c r="F2300" s="3" t="s">
        <v>16</v>
      </c>
      <c r="G2300" s="3" t="s">
        <v>17</v>
      </c>
      <c r="H2300" s="3" t="s">
        <v>27</v>
      </c>
      <c r="I2300" s="3"/>
      <c r="J2300" s="3" t="s">
        <v>19</v>
      </c>
      <c r="K2300" s="3" t="s">
        <v>20</v>
      </c>
      <c r="L2300" s="5" t="s">
        <v>6456</v>
      </c>
    </row>
    <row r="2301" customFormat="false" ht="11.9" hidden="false" customHeight="true" outlineLevel="0" collapsed="false">
      <c r="A2301" s="2" t="str">
        <f aca="false">HYPERLINK("https://www.fabsurplus.com/sdi_catalog/salesItemDetails.do?id=84235")</f>
        <v>https://www.fabsurplus.com/sdi_catalog/salesItemDetails.do?id=84235</v>
      </c>
      <c r="B2301" s="2" t="s">
        <v>6457</v>
      </c>
      <c r="C2301" s="2" t="s">
        <v>6458</v>
      </c>
      <c r="D2301" s="2" t="s">
        <v>6459</v>
      </c>
      <c r="E2301" s="2" t="s">
        <v>6460</v>
      </c>
      <c r="F2301" s="2" t="s">
        <v>16</v>
      </c>
      <c r="G2301" s="2" t="s">
        <v>26</v>
      </c>
      <c r="H2301" s="2" t="s">
        <v>35</v>
      </c>
      <c r="I2301" s="2"/>
      <c r="J2301" s="2" t="s">
        <v>19</v>
      </c>
      <c r="K2301" s="2" t="s">
        <v>20</v>
      </c>
      <c r="L2301" s="2" t="s">
        <v>6461</v>
      </c>
    </row>
    <row r="2302" customFormat="false" ht="11.9" hidden="false" customHeight="true" outlineLevel="0" collapsed="false">
      <c r="A2302" s="3" t="str">
        <f aca="false">HYPERLINK("https://www.fabsurplus.com/sdi_catalog/salesItemDetails.do?id=72156")</f>
        <v>https://www.fabsurplus.com/sdi_catalog/salesItemDetails.do?id=72156</v>
      </c>
      <c r="B2302" s="3" t="s">
        <v>6462</v>
      </c>
      <c r="C2302" s="3" t="s">
        <v>6463</v>
      </c>
      <c r="D2302" s="3" t="s">
        <v>6464</v>
      </c>
      <c r="E2302" s="3" t="s">
        <v>6465</v>
      </c>
      <c r="F2302" s="3" t="s">
        <v>16</v>
      </c>
      <c r="G2302" s="3" t="s">
        <v>26</v>
      </c>
      <c r="H2302" s="3" t="s">
        <v>18</v>
      </c>
      <c r="I2302" s="4" t="n">
        <v>39022</v>
      </c>
      <c r="J2302" s="3" t="s">
        <v>19</v>
      </c>
      <c r="K2302" s="3" t="s">
        <v>20</v>
      </c>
      <c r="L2302" s="5" t="s">
        <v>6466</v>
      </c>
    </row>
    <row r="2303" customFormat="false" ht="11.9" hidden="false" customHeight="true" outlineLevel="0" collapsed="false">
      <c r="A2303" s="2" t="str">
        <f aca="false">HYPERLINK("https://www.fabsurplus.com/sdi_catalog/salesItemDetails.do?id=84372")</f>
        <v>https://www.fabsurplus.com/sdi_catalog/salesItemDetails.do?id=84372</v>
      </c>
      <c r="B2303" s="2" t="s">
        <v>6467</v>
      </c>
      <c r="C2303" s="2" t="s">
        <v>6468</v>
      </c>
      <c r="D2303" s="2" t="s">
        <v>6469</v>
      </c>
      <c r="E2303" s="2" t="s">
        <v>6470</v>
      </c>
      <c r="F2303" s="2" t="s">
        <v>16</v>
      </c>
      <c r="G2303" s="2"/>
      <c r="H2303" s="2" t="s">
        <v>27</v>
      </c>
      <c r="I2303" s="7" t="n">
        <v>36192</v>
      </c>
      <c r="J2303" s="2" t="s">
        <v>19</v>
      </c>
      <c r="K2303" s="2" t="s">
        <v>20</v>
      </c>
      <c r="L2303" s="6" t="s">
        <v>6471</v>
      </c>
    </row>
    <row r="2304" customFormat="false" ht="11.9" hidden="false" customHeight="true" outlineLevel="0" collapsed="false">
      <c r="A2304" s="2" t="str">
        <f aca="false">HYPERLINK("https://www.fabsurplus.com/sdi_catalog/salesItemDetails.do?id=82230")</f>
        <v>https://www.fabsurplus.com/sdi_catalog/salesItemDetails.do?id=82230</v>
      </c>
      <c r="B2304" s="2" t="s">
        <v>6472</v>
      </c>
      <c r="C2304" s="2" t="s">
        <v>6473</v>
      </c>
      <c r="D2304" s="2" t="s">
        <v>414</v>
      </c>
      <c r="E2304" s="2" t="s">
        <v>6474</v>
      </c>
      <c r="F2304" s="2" t="s">
        <v>16</v>
      </c>
      <c r="G2304" s="2"/>
      <c r="H2304" s="2" t="s">
        <v>35</v>
      </c>
      <c r="I2304" s="7" t="n">
        <v>37226</v>
      </c>
      <c r="J2304" s="2" t="s">
        <v>19</v>
      </c>
      <c r="K2304" s="2" t="s">
        <v>20</v>
      </c>
      <c r="L2304" s="6" t="s">
        <v>6475</v>
      </c>
    </row>
    <row r="2305" customFormat="false" ht="11.9" hidden="false" customHeight="true" outlineLevel="0" collapsed="false">
      <c r="A2305" s="3" t="str">
        <f aca="false">HYPERLINK("https://www.fabsurplus.com/sdi_catalog/salesItemDetails.do?id=79968")</f>
        <v>https://www.fabsurplus.com/sdi_catalog/salesItemDetails.do?id=79968</v>
      </c>
      <c r="B2305" s="3" t="s">
        <v>6476</v>
      </c>
      <c r="C2305" s="3" t="s">
        <v>6473</v>
      </c>
      <c r="D2305" s="3" t="s">
        <v>6477</v>
      </c>
      <c r="E2305" s="3" t="s">
        <v>6478</v>
      </c>
      <c r="F2305" s="3" t="s">
        <v>77</v>
      </c>
      <c r="G2305" s="3"/>
      <c r="H2305" s="3" t="s">
        <v>35</v>
      </c>
      <c r="I2305" s="4" t="n">
        <v>37226</v>
      </c>
      <c r="J2305" s="3" t="s">
        <v>19</v>
      </c>
      <c r="K2305" s="3" t="s">
        <v>20</v>
      </c>
      <c r="L2305" s="5" t="s">
        <v>6479</v>
      </c>
    </row>
    <row r="2306" customFormat="false" ht="11.9" hidden="false" customHeight="true" outlineLevel="0" collapsed="false">
      <c r="A2306" s="3" t="str">
        <f aca="false">HYPERLINK("https://www.fabsurplus.com/sdi_catalog/salesItemDetails.do?id=106242")</f>
        <v>https://www.fabsurplus.com/sdi_catalog/salesItemDetails.do?id=106242</v>
      </c>
      <c r="B2306" s="3" t="s">
        <v>6480</v>
      </c>
      <c r="C2306" s="3" t="s">
        <v>6473</v>
      </c>
      <c r="D2306" s="3" t="s">
        <v>6481</v>
      </c>
      <c r="E2306" s="3" t="s">
        <v>6482</v>
      </c>
      <c r="F2306" s="3" t="s">
        <v>235</v>
      </c>
      <c r="G2306" s="3" t="s">
        <v>41</v>
      </c>
      <c r="H2306" s="3" t="s">
        <v>35</v>
      </c>
      <c r="I2306" s="4" t="n">
        <v>37288</v>
      </c>
      <c r="J2306" s="3" t="s">
        <v>19</v>
      </c>
      <c r="K2306" s="3" t="s">
        <v>20</v>
      </c>
      <c r="L2306" s="5" t="s">
        <v>6483</v>
      </c>
    </row>
    <row r="2307" customFormat="false" ht="11.9" hidden="false" customHeight="true" outlineLevel="0" collapsed="false">
      <c r="A2307" s="2" t="str">
        <f aca="false">HYPERLINK("https://www.fabsurplus.com/sdi_catalog/salesItemDetails.do?id=77197")</f>
        <v>https://www.fabsurplus.com/sdi_catalog/salesItemDetails.do?id=77197</v>
      </c>
      <c r="B2307" s="2" t="s">
        <v>6484</v>
      </c>
      <c r="C2307" s="2" t="s">
        <v>6485</v>
      </c>
      <c r="D2307" s="2" t="s">
        <v>6486</v>
      </c>
      <c r="E2307" s="2" t="s">
        <v>6487</v>
      </c>
      <c r="F2307" s="2" t="s">
        <v>199</v>
      </c>
      <c r="G2307" s="2" t="s">
        <v>6488</v>
      </c>
      <c r="H2307" s="2" t="s">
        <v>27</v>
      </c>
      <c r="I2307" s="2"/>
      <c r="J2307" s="2" t="s">
        <v>19</v>
      </c>
      <c r="K2307" s="2" t="s">
        <v>20</v>
      </c>
      <c r="L2307" s="6" t="s">
        <v>6489</v>
      </c>
    </row>
    <row r="2308" customFormat="false" ht="11.9" hidden="false" customHeight="true" outlineLevel="0" collapsed="false">
      <c r="A2308" s="3" t="str">
        <f aca="false">HYPERLINK("https://www.fabsurplus.com/sdi_catalog/salesItemDetails.do?id=84369")</f>
        <v>https://www.fabsurplus.com/sdi_catalog/salesItemDetails.do?id=84369</v>
      </c>
      <c r="B2308" s="3" t="s">
        <v>6490</v>
      </c>
      <c r="C2308" s="3" t="s">
        <v>6491</v>
      </c>
      <c r="D2308" s="3" t="s">
        <v>6492</v>
      </c>
      <c r="E2308" s="3" t="s">
        <v>6493</v>
      </c>
      <c r="F2308" s="3" t="s">
        <v>16</v>
      </c>
      <c r="G2308" s="3"/>
      <c r="H2308" s="3" t="s">
        <v>27</v>
      </c>
      <c r="I2308" s="4" t="n">
        <v>32933</v>
      </c>
      <c r="J2308" s="3" t="s">
        <v>19</v>
      </c>
      <c r="K2308" s="3" t="s">
        <v>20</v>
      </c>
      <c r="L2308" s="5" t="s">
        <v>6494</v>
      </c>
    </row>
    <row r="2309" customFormat="false" ht="11.9" hidden="false" customHeight="true" outlineLevel="0" collapsed="false">
      <c r="A2309" s="2" t="str">
        <f aca="false">HYPERLINK("https://www.fabsurplus.com/sdi_catalog/salesItemDetails.do?id=83887")</f>
        <v>https://www.fabsurplus.com/sdi_catalog/salesItemDetails.do?id=83887</v>
      </c>
      <c r="B2309" s="2" t="s">
        <v>6495</v>
      </c>
      <c r="C2309" s="2" t="s">
        <v>6496</v>
      </c>
      <c r="D2309" s="2" t="s">
        <v>6497</v>
      </c>
      <c r="E2309" s="2" t="s">
        <v>6498</v>
      </c>
      <c r="F2309" s="2" t="s">
        <v>16</v>
      </c>
      <c r="G2309" s="2"/>
      <c r="H2309" s="2" t="s">
        <v>18</v>
      </c>
      <c r="I2309" s="7" t="n">
        <v>38139</v>
      </c>
      <c r="J2309" s="2" t="s">
        <v>19</v>
      </c>
      <c r="K2309" s="2" t="s">
        <v>20</v>
      </c>
      <c r="L2309" s="6" t="s">
        <v>6499</v>
      </c>
    </row>
    <row r="2310" customFormat="false" ht="11.9" hidden="false" customHeight="true" outlineLevel="0" collapsed="false">
      <c r="A2310" s="2" t="str">
        <f aca="false">HYPERLINK("https://www.fabsurplus.com/sdi_catalog/salesItemDetails.do?id=83889")</f>
        <v>https://www.fabsurplus.com/sdi_catalog/salesItemDetails.do?id=83889</v>
      </c>
      <c r="B2310" s="2" t="s">
        <v>6500</v>
      </c>
      <c r="C2310" s="2" t="s">
        <v>6496</v>
      </c>
      <c r="D2310" s="2" t="s">
        <v>6501</v>
      </c>
      <c r="E2310" s="2" t="s">
        <v>6502</v>
      </c>
      <c r="F2310" s="2" t="s">
        <v>16</v>
      </c>
      <c r="G2310" s="2" t="s">
        <v>6501</v>
      </c>
      <c r="H2310" s="2" t="s">
        <v>18</v>
      </c>
      <c r="I2310" s="2"/>
      <c r="J2310" s="2" t="s">
        <v>19</v>
      </c>
      <c r="K2310" s="2" t="s">
        <v>20</v>
      </c>
      <c r="L2310" s="6" t="s">
        <v>6503</v>
      </c>
    </row>
    <row r="2311" customFormat="false" ht="11.9" hidden="false" customHeight="true" outlineLevel="0" collapsed="false">
      <c r="A2311" s="3" t="str">
        <f aca="false">HYPERLINK("https://www.fabsurplus.com/sdi_catalog/salesItemDetails.do?id=83888")</f>
        <v>https://www.fabsurplus.com/sdi_catalog/salesItemDetails.do?id=83888</v>
      </c>
      <c r="B2311" s="3" t="s">
        <v>6504</v>
      </c>
      <c r="C2311" s="3" t="s">
        <v>6496</v>
      </c>
      <c r="D2311" s="3" t="s">
        <v>6505</v>
      </c>
      <c r="E2311" s="3" t="s">
        <v>6506</v>
      </c>
      <c r="F2311" s="3" t="s">
        <v>16</v>
      </c>
      <c r="G2311" s="3"/>
      <c r="H2311" s="3" t="s">
        <v>18</v>
      </c>
      <c r="I2311" s="3"/>
      <c r="J2311" s="3" t="s">
        <v>19</v>
      </c>
      <c r="K2311" s="3" t="s">
        <v>20</v>
      </c>
      <c r="L2311" s="5" t="s">
        <v>6507</v>
      </c>
    </row>
    <row r="2312" customFormat="false" ht="11.9" hidden="false" customHeight="true" outlineLevel="0" collapsed="false">
      <c r="A2312" s="3" t="str">
        <f aca="false">HYPERLINK("https://www.fabsurplus.com/sdi_catalog/salesItemDetails.do?id=83545")</f>
        <v>https://www.fabsurplus.com/sdi_catalog/salesItemDetails.do?id=83545</v>
      </c>
      <c r="B2312" s="3" t="s">
        <v>6508</v>
      </c>
      <c r="C2312" s="3" t="s">
        <v>6509</v>
      </c>
      <c r="D2312" s="3" t="s">
        <v>6510</v>
      </c>
      <c r="E2312" s="3" t="s">
        <v>6511</v>
      </c>
      <c r="F2312" s="3" t="s">
        <v>16</v>
      </c>
      <c r="G2312" s="3" t="s">
        <v>26</v>
      </c>
      <c r="H2312" s="3" t="s">
        <v>35</v>
      </c>
      <c r="I2312" s="3"/>
      <c r="J2312" s="3" t="s">
        <v>19</v>
      </c>
      <c r="K2312" s="3" t="s">
        <v>20</v>
      </c>
      <c r="L2312" s="5" t="s">
        <v>6512</v>
      </c>
    </row>
    <row r="2313" customFormat="false" ht="11.9" hidden="false" customHeight="true" outlineLevel="0" collapsed="false">
      <c r="A2313" s="2" t="str">
        <f aca="false">HYPERLINK("https://www.fabsurplus.com/sdi_catalog/salesItemDetails.do?id=74168")</f>
        <v>https://www.fabsurplus.com/sdi_catalog/salesItemDetails.do?id=74168</v>
      </c>
      <c r="B2313" s="2" t="s">
        <v>6513</v>
      </c>
      <c r="C2313" s="2" t="s">
        <v>6514</v>
      </c>
      <c r="D2313" s="2" t="s">
        <v>6515</v>
      </c>
      <c r="E2313" s="2" t="s">
        <v>6516</v>
      </c>
      <c r="F2313" s="2" t="s">
        <v>16</v>
      </c>
      <c r="G2313" s="2" t="s">
        <v>26</v>
      </c>
      <c r="H2313" s="2" t="s">
        <v>35</v>
      </c>
      <c r="I2313" s="7" t="n">
        <v>34851</v>
      </c>
      <c r="J2313" s="2" t="s">
        <v>19</v>
      </c>
      <c r="K2313" s="2" t="s">
        <v>20</v>
      </c>
      <c r="L2313" s="6" t="s">
        <v>6517</v>
      </c>
    </row>
    <row r="2314" customFormat="false" ht="11.9" hidden="false" customHeight="true" outlineLevel="0" collapsed="false">
      <c r="A2314" s="3" t="str">
        <f aca="false">HYPERLINK("https://www.fabsurplus.com/sdi_catalog/salesItemDetails.do?id=32206")</f>
        <v>https://www.fabsurplus.com/sdi_catalog/salesItemDetails.do?id=32206</v>
      </c>
      <c r="B2314" s="3" t="s">
        <v>6518</v>
      </c>
      <c r="C2314" s="3" t="s">
        <v>6519</v>
      </c>
      <c r="D2314" s="3" t="s">
        <v>6520</v>
      </c>
      <c r="E2314" s="3" t="s">
        <v>6521</v>
      </c>
      <c r="F2314" s="3" t="s">
        <v>77</v>
      </c>
      <c r="G2314" s="3" t="s">
        <v>6522</v>
      </c>
      <c r="H2314" s="3" t="s">
        <v>27</v>
      </c>
      <c r="I2314" s="3"/>
      <c r="J2314" s="3" t="s">
        <v>19</v>
      </c>
      <c r="K2314" s="3" t="s">
        <v>20</v>
      </c>
      <c r="L2314" s="3" t="s">
        <v>6523</v>
      </c>
    </row>
    <row r="2315" customFormat="false" ht="11.9" hidden="false" customHeight="true" outlineLevel="0" collapsed="false">
      <c r="A2315" s="3" t="str">
        <f aca="false">HYPERLINK("https://www.fabsurplus.com/sdi_catalog/salesItemDetails.do?id=105870")</f>
        <v>https://www.fabsurplus.com/sdi_catalog/salesItemDetails.do?id=105870</v>
      </c>
      <c r="B2315" s="3" t="s">
        <v>6524</v>
      </c>
      <c r="C2315" s="3" t="s">
        <v>6525</v>
      </c>
      <c r="D2315" s="3" t="s">
        <v>6526</v>
      </c>
      <c r="E2315" s="3" t="s">
        <v>6527</v>
      </c>
      <c r="F2315" s="3" t="s">
        <v>16</v>
      </c>
      <c r="G2315" s="3" t="s">
        <v>17</v>
      </c>
      <c r="H2315" s="3" t="s">
        <v>1691</v>
      </c>
      <c r="I2315" s="3"/>
      <c r="J2315" s="3" t="s">
        <v>19</v>
      </c>
      <c r="K2315" s="3" t="s">
        <v>20</v>
      </c>
      <c r="L2315" s="3"/>
    </row>
    <row r="2316" customFormat="false" ht="11.9" hidden="false" customHeight="true" outlineLevel="0" collapsed="false">
      <c r="A2316" s="2" t="str">
        <f aca="false">HYPERLINK("https://www.fabsurplus.com/sdi_catalog/salesItemDetails.do?id=105869")</f>
        <v>https://www.fabsurplus.com/sdi_catalog/salesItemDetails.do?id=105869</v>
      </c>
      <c r="B2316" s="2" t="s">
        <v>6528</v>
      </c>
      <c r="C2316" s="2" t="s">
        <v>6525</v>
      </c>
      <c r="D2316" s="2" t="s">
        <v>6529</v>
      </c>
      <c r="E2316" s="2" t="s">
        <v>6530</v>
      </c>
      <c r="F2316" s="2" t="s">
        <v>16</v>
      </c>
      <c r="G2316" s="2" t="s">
        <v>17</v>
      </c>
      <c r="H2316" s="2" t="s">
        <v>1691</v>
      </c>
      <c r="I2316" s="2"/>
      <c r="J2316" s="2" t="s">
        <v>19</v>
      </c>
      <c r="K2316" s="2" t="s">
        <v>20</v>
      </c>
      <c r="L2316" s="2"/>
    </row>
    <row r="2317" customFormat="false" ht="11.9" hidden="false" customHeight="true" outlineLevel="0" collapsed="false">
      <c r="A2317" s="3" t="str">
        <f aca="false">HYPERLINK("https://www.fabsurplus.com/sdi_catalog/salesItemDetails.do?id=105868")</f>
        <v>https://www.fabsurplus.com/sdi_catalog/salesItemDetails.do?id=105868</v>
      </c>
      <c r="B2317" s="3" t="s">
        <v>6531</v>
      </c>
      <c r="C2317" s="3" t="s">
        <v>6525</v>
      </c>
      <c r="D2317" s="3" t="s">
        <v>6532</v>
      </c>
      <c r="E2317" s="3" t="s">
        <v>6527</v>
      </c>
      <c r="F2317" s="3" t="s">
        <v>16</v>
      </c>
      <c r="G2317" s="3" t="s">
        <v>17</v>
      </c>
      <c r="H2317" s="3" t="s">
        <v>1691</v>
      </c>
      <c r="I2317" s="3"/>
      <c r="J2317" s="3" t="s">
        <v>19</v>
      </c>
      <c r="K2317" s="3" t="s">
        <v>20</v>
      </c>
      <c r="L2317" s="3"/>
    </row>
    <row r="2318" customFormat="false" ht="11.9" hidden="false" customHeight="true" outlineLevel="0" collapsed="false">
      <c r="A2318" s="2" t="str">
        <f aca="false">HYPERLINK("https://www.fabsurplus.com/sdi_catalog/salesItemDetails.do?id=105867")</f>
        <v>https://www.fabsurplus.com/sdi_catalog/salesItemDetails.do?id=105867</v>
      </c>
      <c r="B2318" s="2" t="s">
        <v>6533</v>
      </c>
      <c r="C2318" s="2" t="s">
        <v>6525</v>
      </c>
      <c r="D2318" s="2" t="s">
        <v>6534</v>
      </c>
      <c r="E2318" s="2" t="s">
        <v>6527</v>
      </c>
      <c r="F2318" s="2" t="s">
        <v>16</v>
      </c>
      <c r="G2318" s="2" t="s">
        <v>17</v>
      </c>
      <c r="H2318" s="2" t="s">
        <v>1691</v>
      </c>
      <c r="I2318" s="2"/>
      <c r="J2318" s="2" t="s">
        <v>19</v>
      </c>
      <c r="K2318" s="2" t="s">
        <v>20</v>
      </c>
      <c r="L2318" s="2"/>
    </row>
    <row r="2319" customFormat="false" ht="11.9" hidden="false" customHeight="true" outlineLevel="0" collapsed="false">
      <c r="A2319" s="2" t="str">
        <f aca="false">HYPERLINK("https://www.fabsurplus.com/sdi_catalog/salesItemDetails.do?id=83906")</f>
        <v>https://www.fabsurplus.com/sdi_catalog/salesItemDetails.do?id=83906</v>
      </c>
      <c r="B2319" s="2" t="s">
        <v>6535</v>
      </c>
      <c r="C2319" s="2" t="s">
        <v>6536</v>
      </c>
      <c r="D2319" s="2"/>
      <c r="E2319" s="2" t="s">
        <v>6537</v>
      </c>
      <c r="F2319" s="2" t="s">
        <v>16</v>
      </c>
      <c r="G2319" s="2"/>
      <c r="H2319" s="2" t="s">
        <v>18</v>
      </c>
      <c r="I2319" s="7" t="n">
        <v>33938.9583333333</v>
      </c>
      <c r="J2319" s="2" t="s">
        <v>19</v>
      </c>
      <c r="K2319" s="2" t="s">
        <v>20</v>
      </c>
      <c r="L2319" s="6" t="s">
        <v>6538</v>
      </c>
    </row>
    <row r="2320" customFormat="false" ht="11.9" hidden="false" customHeight="true" outlineLevel="0" collapsed="false">
      <c r="A2320" s="3" t="str">
        <f aca="false">HYPERLINK("https://www.fabsurplus.com/sdi_catalog/salesItemDetails.do?id=83628")</f>
        <v>https://www.fabsurplus.com/sdi_catalog/salesItemDetails.do?id=83628</v>
      </c>
      <c r="B2320" s="3" t="s">
        <v>6539</v>
      </c>
      <c r="C2320" s="3" t="s">
        <v>6540</v>
      </c>
      <c r="D2320" s="3" t="s">
        <v>6541</v>
      </c>
      <c r="E2320" s="3" t="s">
        <v>15</v>
      </c>
      <c r="F2320" s="3" t="s">
        <v>69</v>
      </c>
      <c r="G2320" s="3"/>
      <c r="H2320" s="3" t="s">
        <v>18</v>
      </c>
      <c r="I2320" s="3"/>
      <c r="J2320" s="3" t="s">
        <v>19</v>
      </c>
      <c r="K2320" s="3" t="s">
        <v>20</v>
      </c>
      <c r="L2320" s="5" t="s">
        <v>6542</v>
      </c>
    </row>
    <row r="2321" customFormat="false" ht="11.9" hidden="false" customHeight="true" outlineLevel="0" collapsed="false">
      <c r="A2321" s="3" t="str">
        <f aca="false">HYPERLINK("https://www.fabsurplus.com/sdi_catalog/salesItemDetails.do?id=32214")</f>
        <v>https://www.fabsurplus.com/sdi_catalog/salesItemDetails.do?id=32214</v>
      </c>
      <c r="B2321" s="3" t="s">
        <v>6543</v>
      </c>
      <c r="C2321" s="3" t="s">
        <v>6544</v>
      </c>
      <c r="D2321" s="3" t="s">
        <v>6545</v>
      </c>
      <c r="E2321" s="3" t="s">
        <v>6546</v>
      </c>
      <c r="F2321" s="3" t="s">
        <v>77</v>
      </c>
      <c r="G2321" s="3" t="s">
        <v>3238</v>
      </c>
      <c r="H2321" s="3" t="s">
        <v>27</v>
      </c>
      <c r="I2321" s="3"/>
      <c r="J2321" s="3" t="s">
        <v>19</v>
      </c>
      <c r="K2321" s="3" t="s">
        <v>20</v>
      </c>
      <c r="L2321" s="3" t="s">
        <v>3239</v>
      </c>
    </row>
    <row r="2322" customFormat="false" ht="11.9" hidden="false" customHeight="true" outlineLevel="0" collapsed="false">
      <c r="A2322" s="2" t="str">
        <f aca="false">HYPERLINK("https://www.fabsurplus.com/sdi_catalog/salesItemDetails.do?id=32210")</f>
        <v>https://www.fabsurplus.com/sdi_catalog/salesItemDetails.do?id=32210</v>
      </c>
      <c r="B2322" s="2" t="s">
        <v>6547</v>
      </c>
      <c r="C2322" s="2" t="s">
        <v>6544</v>
      </c>
      <c r="D2322" s="2" t="s">
        <v>6548</v>
      </c>
      <c r="E2322" s="2" t="s">
        <v>6549</v>
      </c>
      <c r="F2322" s="2" t="s">
        <v>16</v>
      </c>
      <c r="G2322" s="2" t="s">
        <v>3908</v>
      </c>
      <c r="H2322" s="2" t="s">
        <v>27</v>
      </c>
      <c r="I2322" s="2"/>
      <c r="J2322" s="2" t="s">
        <v>19</v>
      </c>
      <c r="K2322" s="2" t="s">
        <v>20</v>
      </c>
      <c r="L2322" s="2" t="s">
        <v>6550</v>
      </c>
    </row>
    <row r="2323" customFormat="false" ht="11.9" hidden="false" customHeight="true" outlineLevel="0" collapsed="false">
      <c r="A2323" s="2" t="str">
        <f aca="false">HYPERLINK("https://www.fabsurplus.com/sdi_catalog/salesItemDetails.do?id=83597")</f>
        <v>https://www.fabsurplus.com/sdi_catalog/salesItemDetails.do?id=83597</v>
      </c>
      <c r="B2323" s="2" t="s">
        <v>6551</v>
      </c>
      <c r="C2323" s="2" t="s">
        <v>6544</v>
      </c>
      <c r="D2323" s="2" t="s">
        <v>6552</v>
      </c>
      <c r="E2323" s="2" t="s">
        <v>6553</v>
      </c>
      <c r="F2323" s="2" t="s">
        <v>16</v>
      </c>
      <c r="G2323" s="2" t="s">
        <v>17</v>
      </c>
      <c r="H2323" s="2" t="s">
        <v>35</v>
      </c>
      <c r="I2323" s="2"/>
      <c r="J2323" s="2" t="s">
        <v>19</v>
      </c>
      <c r="K2323" s="2" t="s">
        <v>20</v>
      </c>
      <c r="L2323" s="6" t="s">
        <v>6554</v>
      </c>
    </row>
    <row r="2324" customFormat="false" ht="11.9" hidden="false" customHeight="true" outlineLevel="0" collapsed="false">
      <c r="A2324" s="3" t="str">
        <f aca="false">HYPERLINK("https://www.fabsurplus.com/sdi_catalog/salesItemDetails.do?id=70301")</f>
        <v>https://www.fabsurplus.com/sdi_catalog/salesItemDetails.do?id=70301</v>
      </c>
      <c r="B2324" s="3" t="s">
        <v>6555</v>
      </c>
      <c r="C2324" s="3" t="s">
        <v>6556</v>
      </c>
      <c r="D2324" s="3" t="s">
        <v>6557</v>
      </c>
      <c r="E2324" s="3" t="s">
        <v>6558</v>
      </c>
      <c r="F2324" s="3" t="s">
        <v>16</v>
      </c>
      <c r="G2324" s="3" t="s">
        <v>41</v>
      </c>
      <c r="H2324" s="3" t="s">
        <v>35</v>
      </c>
      <c r="I2324" s="3"/>
      <c r="J2324" s="3" t="s">
        <v>19</v>
      </c>
      <c r="K2324" s="3" t="s">
        <v>20</v>
      </c>
      <c r="L2324" s="5" t="s">
        <v>6559</v>
      </c>
    </row>
    <row r="2325" customFormat="false" ht="11.9" hidden="false" customHeight="true" outlineLevel="0" collapsed="false">
      <c r="A2325" s="3" t="str">
        <f aca="false">HYPERLINK("https://www.fabsurplus.com/sdi_catalog/salesItemDetails.do?id=110357")</f>
        <v>https://www.fabsurplus.com/sdi_catalog/salesItemDetails.do?id=110357</v>
      </c>
      <c r="B2325" s="3" t="s">
        <v>6560</v>
      </c>
      <c r="C2325" s="3" t="s">
        <v>6561</v>
      </c>
      <c r="D2325" s="3" t="s">
        <v>6562</v>
      </c>
      <c r="E2325" s="3" t="s">
        <v>133</v>
      </c>
      <c r="F2325" s="3" t="s">
        <v>16</v>
      </c>
      <c r="G2325" s="3" t="s">
        <v>41</v>
      </c>
      <c r="H2325" s="3"/>
      <c r="I2325" s="3"/>
      <c r="J2325" s="3" t="s">
        <v>42</v>
      </c>
      <c r="K2325" s="3"/>
      <c r="L2325" s="3" t="s">
        <v>349</v>
      </c>
    </row>
    <row r="2326" customFormat="false" ht="11.9" hidden="false" customHeight="true" outlineLevel="0" collapsed="false">
      <c r="A2326" s="2" t="str">
        <f aca="false">HYPERLINK("https://www.fabsurplus.com/sdi_catalog/salesItemDetails.do?id=110356")</f>
        <v>https://www.fabsurplus.com/sdi_catalog/salesItemDetails.do?id=110356</v>
      </c>
      <c r="B2326" s="2" t="s">
        <v>6563</v>
      </c>
      <c r="C2326" s="2" t="s">
        <v>6561</v>
      </c>
      <c r="D2326" s="2" t="s">
        <v>6562</v>
      </c>
      <c r="E2326" s="2" t="s">
        <v>133</v>
      </c>
      <c r="F2326" s="2" t="s">
        <v>16</v>
      </c>
      <c r="G2326" s="2" t="s">
        <v>41</v>
      </c>
      <c r="H2326" s="2"/>
      <c r="I2326" s="2"/>
      <c r="J2326" s="2" t="s">
        <v>42</v>
      </c>
      <c r="K2326" s="2"/>
      <c r="L2326" s="2" t="s">
        <v>349</v>
      </c>
    </row>
    <row r="2327" customFormat="false" ht="11.9" hidden="false" customHeight="true" outlineLevel="0" collapsed="false">
      <c r="A2327" s="3" t="str">
        <f aca="false">HYPERLINK("https://www.fabsurplus.com/sdi_catalog/salesItemDetails.do?id=110355")</f>
        <v>https://www.fabsurplus.com/sdi_catalog/salesItemDetails.do?id=110355</v>
      </c>
      <c r="B2327" s="3" t="s">
        <v>6564</v>
      </c>
      <c r="C2327" s="3" t="s">
        <v>6561</v>
      </c>
      <c r="D2327" s="3" t="s">
        <v>6562</v>
      </c>
      <c r="E2327" s="3" t="s">
        <v>133</v>
      </c>
      <c r="F2327" s="3" t="s">
        <v>16</v>
      </c>
      <c r="G2327" s="3" t="s">
        <v>41</v>
      </c>
      <c r="H2327" s="3"/>
      <c r="I2327" s="3"/>
      <c r="J2327" s="3" t="s">
        <v>42</v>
      </c>
      <c r="K2327" s="3"/>
      <c r="L2327" s="3" t="s">
        <v>349</v>
      </c>
    </row>
    <row r="2328" customFormat="false" ht="11.9" hidden="false" customHeight="true" outlineLevel="0" collapsed="false">
      <c r="A2328" s="2" t="str">
        <f aca="false">HYPERLINK("https://www.fabsurplus.com/sdi_catalog/salesItemDetails.do?id=110354")</f>
        <v>https://www.fabsurplus.com/sdi_catalog/salesItemDetails.do?id=110354</v>
      </c>
      <c r="B2328" s="2" t="s">
        <v>6565</v>
      </c>
      <c r="C2328" s="2" t="s">
        <v>6561</v>
      </c>
      <c r="D2328" s="2" t="s">
        <v>6562</v>
      </c>
      <c r="E2328" s="2" t="s">
        <v>133</v>
      </c>
      <c r="F2328" s="2" t="s">
        <v>16</v>
      </c>
      <c r="G2328" s="2" t="s">
        <v>41</v>
      </c>
      <c r="H2328" s="2"/>
      <c r="I2328" s="2"/>
      <c r="J2328" s="2" t="s">
        <v>42</v>
      </c>
      <c r="K2328" s="2"/>
      <c r="L2328" s="2" t="s">
        <v>349</v>
      </c>
    </row>
    <row r="2329" customFormat="false" ht="11.9" hidden="false" customHeight="true" outlineLevel="0" collapsed="false">
      <c r="A2329" s="3" t="str">
        <f aca="false">HYPERLINK("https://www.fabsurplus.com/sdi_catalog/salesItemDetails.do?id=110353")</f>
        <v>https://www.fabsurplus.com/sdi_catalog/salesItemDetails.do?id=110353</v>
      </c>
      <c r="B2329" s="3" t="s">
        <v>6566</v>
      </c>
      <c r="C2329" s="3" t="s">
        <v>6561</v>
      </c>
      <c r="D2329" s="3" t="s">
        <v>6562</v>
      </c>
      <c r="E2329" s="3" t="s">
        <v>133</v>
      </c>
      <c r="F2329" s="3" t="s">
        <v>16</v>
      </c>
      <c r="G2329" s="3" t="s">
        <v>41</v>
      </c>
      <c r="H2329" s="3"/>
      <c r="I2329" s="3"/>
      <c r="J2329" s="3" t="s">
        <v>42</v>
      </c>
      <c r="K2329" s="3"/>
      <c r="L2329" s="3" t="s">
        <v>349</v>
      </c>
    </row>
    <row r="2330" customFormat="false" ht="11.9" hidden="false" customHeight="true" outlineLevel="0" collapsed="false">
      <c r="A2330" s="2" t="str">
        <f aca="false">HYPERLINK("https://www.fabsurplus.com/sdi_catalog/salesItemDetails.do?id=110352")</f>
        <v>https://www.fabsurplus.com/sdi_catalog/salesItemDetails.do?id=110352</v>
      </c>
      <c r="B2330" s="2" t="s">
        <v>6567</v>
      </c>
      <c r="C2330" s="2" t="s">
        <v>6561</v>
      </c>
      <c r="D2330" s="2" t="s">
        <v>6562</v>
      </c>
      <c r="E2330" s="2" t="s">
        <v>133</v>
      </c>
      <c r="F2330" s="2" t="s">
        <v>16</v>
      </c>
      <c r="G2330" s="2" t="s">
        <v>41</v>
      </c>
      <c r="H2330" s="2"/>
      <c r="I2330" s="2"/>
      <c r="J2330" s="2" t="s">
        <v>42</v>
      </c>
      <c r="K2330" s="2"/>
      <c r="L2330" s="2" t="s">
        <v>349</v>
      </c>
    </row>
    <row r="2331" customFormat="false" ht="11.9" hidden="false" customHeight="true" outlineLevel="0" collapsed="false">
      <c r="A2331" s="3" t="str">
        <f aca="false">HYPERLINK("https://www.fabsurplus.com/sdi_catalog/salesItemDetails.do?id=110351")</f>
        <v>https://www.fabsurplus.com/sdi_catalog/salesItemDetails.do?id=110351</v>
      </c>
      <c r="B2331" s="3" t="s">
        <v>6568</v>
      </c>
      <c r="C2331" s="3" t="s">
        <v>6561</v>
      </c>
      <c r="D2331" s="3" t="s">
        <v>6562</v>
      </c>
      <c r="E2331" s="3" t="s">
        <v>133</v>
      </c>
      <c r="F2331" s="3" t="s">
        <v>16</v>
      </c>
      <c r="G2331" s="3" t="s">
        <v>41</v>
      </c>
      <c r="H2331" s="3"/>
      <c r="I2331" s="3"/>
      <c r="J2331" s="3" t="s">
        <v>42</v>
      </c>
      <c r="K2331" s="3"/>
      <c r="L2331" s="3" t="s">
        <v>349</v>
      </c>
    </row>
    <row r="2332" customFormat="false" ht="11.9" hidden="false" customHeight="true" outlineLevel="0" collapsed="false">
      <c r="A2332" s="2" t="str">
        <f aca="false">HYPERLINK("https://www.fabsurplus.com/sdi_catalog/salesItemDetails.do?id=110350")</f>
        <v>https://www.fabsurplus.com/sdi_catalog/salesItemDetails.do?id=110350</v>
      </c>
      <c r="B2332" s="2" t="s">
        <v>6569</v>
      </c>
      <c r="C2332" s="2" t="s">
        <v>6561</v>
      </c>
      <c r="D2332" s="2" t="s">
        <v>6562</v>
      </c>
      <c r="E2332" s="2" t="s">
        <v>133</v>
      </c>
      <c r="F2332" s="2" t="s">
        <v>16</v>
      </c>
      <c r="G2332" s="2" t="s">
        <v>41</v>
      </c>
      <c r="H2332" s="2"/>
      <c r="I2332" s="2"/>
      <c r="J2332" s="2" t="s">
        <v>42</v>
      </c>
      <c r="K2332" s="2"/>
      <c r="L2332" s="2" t="s">
        <v>349</v>
      </c>
    </row>
    <row r="2333" customFormat="false" ht="11.9" hidden="false" customHeight="true" outlineLevel="0" collapsed="false">
      <c r="A2333" s="3" t="str">
        <f aca="false">HYPERLINK("https://www.fabsurplus.com/sdi_catalog/salesItemDetails.do?id=110349")</f>
        <v>https://www.fabsurplus.com/sdi_catalog/salesItemDetails.do?id=110349</v>
      </c>
      <c r="B2333" s="3" t="s">
        <v>6570</v>
      </c>
      <c r="C2333" s="3" t="s">
        <v>6561</v>
      </c>
      <c r="D2333" s="3" t="s">
        <v>6562</v>
      </c>
      <c r="E2333" s="3" t="s">
        <v>133</v>
      </c>
      <c r="F2333" s="3" t="s">
        <v>16</v>
      </c>
      <c r="G2333" s="3" t="s">
        <v>41</v>
      </c>
      <c r="H2333" s="3"/>
      <c r="I2333" s="3"/>
      <c r="J2333" s="3" t="s">
        <v>42</v>
      </c>
      <c r="K2333" s="3"/>
      <c r="L2333" s="3" t="s">
        <v>349</v>
      </c>
    </row>
    <row r="2334" customFormat="false" ht="11.9" hidden="false" customHeight="true" outlineLevel="0" collapsed="false">
      <c r="A2334" s="2" t="str">
        <f aca="false">HYPERLINK("https://www.fabsurplus.com/sdi_catalog/salesItemDetails.do?id=110348")</f>
        <v>https://www.fabsurplus.com/sdi_catalog/salesItemDetails.do?id=110348</v>
      </c>
      <c r="B2334" s="2" t="s">
        <v>6571</v>
      </c>
      <c r="C2334" s="2" t="s">
        <v>6561</v>
      </c>
      <c r="D2334" s="2" t="s">
        <v>6562</v>
      </c>
      <c r="E2334" s="2" t="s">
        <v>133</v>
      </c>
      <c r="F2334" s="2" t="s">
        <v>16</v>
      </c>
      <c r="G2334" s="2" t="s">
        <v>41</v>
      </c>
      <c r="H2334" s="2"/>
      <c r="I2334" s="2"/>
      <c r="J2334" s="2" t="s">
        <v>42</v>
      </c>
      <c r="K2334" s="2"/>
      <c r="L2334" s="2" t="s">
        <v>349</v>
      </c>
    </row>
    <row r="2335" customFormat="false" ht="11.9" hidden="false" customHeight="true" outlineLevel="0" collapsed="false">
      <c r="A2335" s="3" t="str">
        <f aca="false">HYPERLINK("https://www.fabsurplus.com/sdi_catalog/salesItemDetails.do?id=110347")</f>
        <v>https://www.fabsurplus.com/sdi_catalog/salesItemDetails.do?id=110347</v>
      </c>
      <c r="B2335" s="3" t="s">
        <v>6572</v>
      </c>
      <c r="C2335" s="3" t="s">
        <v>6561</v>
      </c>
      <c r="D2335" s="3" t="s">
        <v>6562</v>
      </c>
      <c r="E2335" s="3" t="s">
        <v>133</v>
      </c>
      <c r="F2335" s="3" t="s">
        <v>16</v>
      </c>
      <c r="G2335" s="3" t="s">
        <v>41</v>
      </c>
      <c r="H2335" s="3"/>
      <c r="I2335" s="3"/>
      <c r="J2335" s="3" t="s">
        <v>42</v>
      </c>
      <c r="K2335" s="3"/>
      <c r="L2335" s="3" t="s">
        <v>349</v>
      </c>
    </row>
    <row r="2336" customFormat="false" ht="11.9" hidden="false" customHeight="true" outlineLevel="0" collapsed="false">
      <c r="A2336" s="2" t="str">
        <f aca="false">HYPERLINK("https://www.fabsurplus.com/sdi_catalog/salesItemDetails.do?id=70300")</f>
        <v>https://www.fabsurplus.com/sdi_catalog/salesItemDetails.do?id=70300</v>
      </c>
      <c r="B2336" s="2" t="s">
        <v>6573</v>
      </c>
      <c r="C2336" s="2" t="s">
        <v>6574</v>
      </c>
      <c r="D2336" s="2" t="s">
        <v>6575</v>
      </c>
      <c r="E2336" s="2" t="s">
        <v>6576</v>
      </c>
      <c r="F2336" s="2" t="s">
        <v>77</v>
      </c>
      <c r="G2336" s="2" t="s">
        <v>41</v>
      </c>
      <c r="H2336" s="2" t="s">
        <v>18</v>
      </c>
      <c r="I2336" s="2"/>
      <c r="J2336" s="2" t="s">
        <v>19</v>
      </c>
      <c r="K2336" s="2" t="s">
        <v>20</v>
      </c>
      <c r="L2336" s="2" t="s">
        <v>4228</v>
      </c>
    </row>
    <row r="2337" customFormat="false" ht="11.9" hidden="false" customHeight="true" outlineLevel="0" collapsed="false">
      <c r="A2337" s="3" t="str">
        <f aca="false">HYPERLINK("https://www.fabsurplus.com/sdi_catalog/salesItemDetails.do?id=115307")</f>
        <v>https://www.fabsurplus.com/sdi_catalog/salesItemDetails.do?id=115307</v>
      </c>
      <c r="B2337" s="3" t="s">
        <v>6577</v>
      </c>
      <c r="C2337" s="3" t="s">
        <v>6578</v>
      </c>
      <c r="D2337" s="3" t="s">
        <v>6579</v>
      </c>
      <c r="E2337" s="3" t="s">
        <v>6580</v>
      </c>
      <c r="F2337" s="3" t="s">
        <v>16</v>
      </c>
      <c r="G2337" s="3" t="s">
        <v>41</v>
      </c>
      <c r="H2337" s="3"/>
      <c r="I2337" s="3"/>
      <c r="J2337" s="3" t="s">
        <v>19</v>
      </c>
      <c r="K2337" s="3"/>
      <c r="L2337" s="3" t="s">
        <v>63</v>
      </c>
    </row>
    <row r="2338" customFormat="false" ht="11.9" hidden="false" customHeight="true" outlineLevel="0" collapsed="false">
      <c r="A2338" s="2" t="str">
        <f aca="false">HYPERLINK("https://www.fabsurplus.com/sdi_catalog/salesItemDetails.do?id=115308")</f>
        <v>https://www.fabsurplus.com/sdi_catalog/salesItemDetails.do?id=115308</v>
      </c>
      <c r="B2338" s="2" t="s">
        <v>6581</v>
      </c>
      <c r="C2338" s="2" t="s">
        <v>6578</v>
      </c>
      <c r="D2338" s="2" t="s">
        <v>6582</v>
      </c>
      <c r="E2338" s="2" t="s">
        <v>6583</v>
      </c>
      <c r="F2338" s="2" t="s">
        <v>16</v>
      </c>
      <c r="G2338" s="2" t="s">
        <v>41</v>
      </c>
      <c r="H2338" s="2"/>
      <c r="I2338" s="2"/>
      <c r="J2338" s="2" t="s">
        <v>19</v>
      </c>
      <c r="K2338" s="2"/>
      <c r="L2338" s="2" t="s">
        <v>63</v>
      </c>
    </row>
    <row r="2339" customFormat="false" ht="11.9" hidden="false" customHeight="true" outlineLevel="0" collapsed="false">
      <c r="A2339" s="3" t="str">
        <f aca="false">HYPERLINK("https://www.fabsurplus.com/sdi_catalog/salesItemDetails.do?id=115309")</f>
        <v>https://www.fabsurplus.com/sdi_catalog/salesItemDetails.do?id=115309</v>
      </c>
      <c r="B2339" s="3" t="s">
        <v>6584</v>
      </c>
      <c r="C2339" s="3" t="s">
        <v>6578</v>
      </c>
      <c r="D2339" s="3" t="s">
        <v>6585</v>
      </c>
      <c r="E2339" s="3" t="s">
        <v>6586</v>
      </c>
      <c r="F2339" s="3" t="s">
        <v>262</v>
      </c>
      <c r="G2339" s="3" t="s">
        <v>41</v>
      </c>
      <c r="H2339" s="3"/>
      <c r="I2339" s="3"/>
      <c r="J2339" s="3" t="s">
        <v>19</v>
      </c>
      <c r="K2339" s="3"/>
      <c r="L2339" s="3" t="s">
        <v>63</v>
      </c>
    </row>
    <row r="2340" customFormat="false" ht="11.9" hidden="false" customHeight="true" outlineLevel="0" collapsed="false">
      <c r="A2340" s="2" t="str">
        <f aca="false">HYPERLINK("https://www.fabsurplus.com/sdi_catalog/salesItemDetails.do?id=115310")</f>
        <v>https://www.fabsurplus.com/sdi_catalog/salesItemDetails.do?id=115310</v>
      </c>
      <c r="B2340" s="2" t="s">
        <v>6587</v>
      </c>
      <c r="C2340" s="2" t="s">
        <v>6578</v>
      </c>
      <c r="D2340" s="2" t="s">
        <v>6588</v>
      </c>
      <c r="E2340" s="2" t="s">
        <v>6580</v>
      </c>
      <c r="F2340" s="2" t="s">
        <v>16</v>
      </c>
      <c r="G2340" s="2" t="s">
        <v>41</v>
      </c>
      <c r="H2340" s="2"/>
      <c r="I2340" s="2"/>
      <c r="J2340" s="2" t="s">
        <v>19</v>
      </c>
      <c r="K2340" s="2"/>
      <c r="L2340" s="2" t="s">
        <v>63</v>
      </c>
    </row>
    <row r="2341" customFormat="false" ht="11.9" hidden="false" customHeight="true" outlineLevel="0" collapsed="false">
      <c r="A2341" s="3" t="str">
        <f aca="false">HYPERLINK("https://www.fabsurplus.com/sdi_catalog/salesItemDetails.do?id=115311")</f>
        <v>https://www.fabsurplus.com/sdi_catalog/salesItemDetails.do?id=115311</v>
      </c>
      <c r="B2341" s="3" t="s">
        <v>6589</v>
      </c>
      <c r="C2341" s="3" t="s">
        <v>6578</v>
      </c>
      <c r="D2341" s="3" t="s">
        <v>6590</v>
      </c>
      <c r="E2341" s="3" t="s">
        <v>6586</v>
      </c>
      <c r="F2341" s="3" t="s">
        <v>104</v>
      </c>
      <c r="G2341" s="3" t="s">
        <v>41</v>
      </c>
      <c r="H2341" s="3"/>
      <c r="I2341" s="3"/>
      <c r="J2341" s="3" t="s">
        <v>19</v>
      </c>
      <c r="K2341" s="3"/>
      <c r="L2341" s="3" t="s">
        <v>63</v>
      </c>
    </row>
    <row r="2342" customFormat="false" ht="11.9" hidden="false" customHeight="true" outlineLevel="0" collapsed="false">
      <c r="A2342" s="2" t="str">
        <f aca="false">HYPERLINK("https://www.fabsurplus.com/sdi_catalog/salesItemDetails.do?id=115312")</f>
        <v>https://www.fabsurplus.com/sdi_catalog/salesItemDetails.do?id=115312</v>
      </c>
      <c r="B2342" s="2" t="s">
        <v>6591</v>
      </c>
      <c r="C2342" s="2" t="s">
        <v>6578</v>
      </c>
      <c r="D2342" s="2" t="s">
        <v>6592</v>
      </c>
      <c r="E2342" s="2" t="s">
        <v>6580</v>
      </c>
      <c r="F2342" s="2" t="s">
        <v>77</v>
      </c>
      <c r="G2342" s="2" t="s">
        <v>41</v>
      </c>
      <c r="H2342" s="2"/>
      <c r="I2342" s="2"/>
      <c r="J2342" s="2" t="s">
        <v>19</v>
      </c>
      <c r="K2342" s="2"/>
      <c r="L2342" s="2" t="s">
        <v>63</v>
      </c>
    </row>
    <row r="2343" customFormat="false" ht="11.9" hidden="false" customHeight="true" outlineLevel="0" collapsed="false">
      <c r="A2343" s="3" t="str">
        <f aca="false">HYPERLINK("https://www.fabsurplus.com/sdi_catalog/salesItemDetails.do?id=115313")</f>
        <v>https://www.fabsurplus.com/sdi_catalog/salesItemDetails.do?id=115313</v>
      </c>
      <c r="B2343" s="3" t="s">
        <v>6593</v>
      </c>
      <c r="C2343" s="3" t="s">
        <v>6578</v>
      </c>
      <c r="D2343" s="3" t="s">
        <v>6594</v>
      </c>
      <c r="E2343" s="3" t="s">
        <v>6580</v>
      </c>
      <c r="F2343" s="3" t="s">
        <v>101</v>
      </c>
      <c r="G2343" s="3" t="s">
        <v>41</v>
      </c>
      <c r="H2343" s="3"/>
      <c r="I2343" s="3"/>
      <c r="J2343" s="3" t="s">
        <v>19</v>
      </c>
      <c r="K2343" s="3"/>
      <c r="L2343" s="3" t="s">
        <v>63</v>
      </c>
    </row>
    <row r="2344" customFormat="false" ht="11.9" hidden="false" customHeight="true" outlineLevel="0" collapsed="false">
      <c r="A2344" s="2" t="str">
        <f aca="false">HYPERLINK("https://www.fabsurplus.com/sdi_catalog/salesItemDetails.do?id=115314")</f>
        <v>https://www.fabsurplus.com/sdi_catalog/salesItemDetails.do?id=115314</v>
      </c>
      <c r="B2344" s="2" t="s">
        <v>6595</v>
      </c>
      <c r="C2344" s="2" t="s">
        <v>6578</v>
      </c>
      <c r="D2344" s="2" t="s">
        <v>6596</v>
      </c>
      <c r="E2344" s="2" t="s">
        <v>6597</v>
      </c>
      <c r="F2344" s="2" t="s">
        <v>16</v>
      </c>
      <c r="G2344" s="2" t="s">
        <v>41</v>
      </c>
      <c r="H2344" s="2"/>
      <c r="I2344" s="2"/>
      <c r="J2344" s="2" t="s">
        <v>19</v>
      </c>
      <c r="K2344" s="2"/>
      <c r="L2344" s="2" t="s">
        <v>63</v>
      </c>
    </row>
    <row r="2345" customFormat="false" ht="11.9" hidden="false" customHeight="true" outlineLevel="0" collapsed="false">
      <c r="A2345" s="3" t="str">
        <f aca="false">HYPERLINK("https://www.fabsurplus.com/sdi_catalog/salesItemDetails.do?id=115315")</f>
        <v>https://www.fabsurplus.com/sdi_catalog/salesItemDetails.do?id=115315</v>
      </c>
      <c r="B2345" s="3" t="s">
        <v>6598</v>
      </c>
      <c r="C2345" s="3" t="s">
        <v>6578</v>
      </c>
      <c r="D2345" s="3" t="s">
        <v>6599</v>
      </c>
      <c r="E2345" s="3" t="s">
        <v>6580</v>
      </c>
      <c r="F2345" s="3" t="s">
        <v>77</v>
      </c>
      <c r="G2345" s="3" t="s">
        <v>41</v>
      </c>
      <c r="H2345" s="3"/>
      <c r="I2345" s="3"/>
      <c r="J2345" s="3" t="s">
        <v>19</v>
      </c>
      <c r="K2345" s="3"/>
      <c r="L2345" s="3" t="s">
        <v>63</v>
      </c>
    </row>
    <row r="2346" customFormat="false" ht="11.9" hidden="false" customHeight="true" outlineLevel="0" collapsed="false">
      <c r="A2346" s="2" t="str">
        <f aca="false">HYPERLINK("https://www.fabsurplus.com/sdi_catalog/salesItemDetails.do?id=115316")</f>
        <v>https://www.fabsurplus.com/sdi_catalog/salesItemDetails.do?id=115316</v>
      </c>
      <c r="B2346" s="2" t="s">
        <v>6600</v>
      </c>
      <c r="C2346" s="2" t="s">
        <v>6578</v>
      </c>
      <c r="D2346" s="2" t="s">
        <v>6601</v>
      </c>
      <c r="E2346" s="2" t="s">
        <v>6580</v>
      </c>
      <c r="F2346" s="2" t="s">
        <v>16</v>
      </c>
      <c r="G2346" s="2" t="s">
        <v>41</v>
      </c>
      <c r="H2346" s="2"/>
      <c r="I2346" s="2"/>
      <c r="J2346" s="2" t="s">
        <v>19</v>
      </c>
      <c r="K2346" s="2"/>
      <c r="L2346" s="2" t="s">
        <v>63</v>
      </c>
    </row>
    <row r="2347" customFormat="false" ht="11.9" hidden="false" customHeight="true" outlineLevel="0" collapsed="false">
      <c r="A2347" s="3" t="str">
        <f aca="false">HYPERLINK("https://www.fabsurplus.com/sdi_catalog/salesItemDetails.do?id=115317")</f>
        <v>https://www.fabsurplus.com/sdi_catalog/salesItemDetails.do?id=115317</v>
      </c>
      <c r="B2347" s="3" t="s">
        <v>6602</v>
      </c>
      <c r="C2347" s="3" t="s">
        <v>6578</v>
      </c>
      <c r="D2347" s="3" t="s">
        <v>6603</v>
      </c>
      <c r="E2347" s="3" t="s">
        <v>6580</v>
      </c>
      <c r="F2347" s="3" t="s">
        <v>77</v>
      </c>
      <c r="G2347" s="3" t="s">
        <v>41</v>
      </c>
      <c r="H2347" s="3"/>
      <c r="I2347" s="3"/>
      <c r="J2347" s="3" t="s">
        <v>19</v>
      </c>
      <c r="K2347" s="3"/>
      <c r="L2347" s="3" t="s">
        <v>63</v>
      </c>
    </row>
    <row r="2348" customFormat="false" ht="11.9" hidden="false" customHeight="true" outlineLevel="0" collapsed="false">
      <c r="A2348" s="2" t="str">
        <f aca="false">HYPERLINK("https://www.fabsurplus.com/sdi_catalog/salesItemDetails.do?id=115318")</f>
        <v>https://www.fabsurplus.com/sdi_catalog/salesItemDetails.do?id=115318</v>
      </c>
      <c r="B2348" s="2" t="s">
        <v>6604</v>
      </c>
      <c r="C2348" s="2" t="s">
        <v>6578</v>
      </c>
      <c r="D2348" s="2" t="s">
        <v>6605</v>
      </c>
      <c r="E2348" s="2" t="s">
        <v>6580</v>
      </c>
      <c r="F2348" s="2" t="s">
        <v>16</v>
      </c>
      <c r="G2348" s="2" t="s">
        <v>41</v>
      </c>
      <c r="H2348" s="2"/>
      <c r="I2348" s="2"/>
      <c r="J2348" s="2" t="s">
        <v>19</v>
      </c>
      <c r="K2348" s="2"/>
      <c r="L2348" s="2" t="s">
        <v>63</v>
      </c>
    </row>
    <row r="2349" customFormat="false" ht="11.9" hidden="false" customHeight="true" outlineLevel="0" collapsed="false">
      <c r="A2349" s="3" t="str">
        <f aca="false">HYPERLINK("https://www.fabsurplus.com/sdi_catalog/salesItemDetails.do?id=115319")</f>
        <v>https://www.fabsurplus.com/sdi_catalog/salesItemDetails.do?id=115319</v>
      </c>
      <c r="B2349" s="3" t="s">
        <v>6606</v>
      </c>
      <c r="C2349" s="3" t="s">
        <v>6578</v>
      </c>
      <c r="D2349" s="3" t="s">
        <v>6607</v>
      </c>
      <c r="E2349" s="3" t="s">
        <v>6608</v>
      </c>
      <c r="F2349" s="3" t="s">
        <v>16</v>
      </c>
      <c r="G2349" s="3" t="s">
        <v>41</v>
      </c>
      <c r="H2349" s="3"/>
      <c r="I2349" s="3"/>
      <c r="J2349" s="3" t="s">
        <v>19</v>
      </c>
      <c r="K2349" s="3"/>
      <c r="L2349" s="3" t="s">
        <v>63</v>
      </c>
    </row>
    <row r="2350" customFormat="false" ht="11.9" hidden="false" customHeight="true" outlineLevel="0" collapsed="false">
      <c r="A2350" s="2" t="str">
        <f aca="false">HYPERLINK("https://www.fabsurplus.com/sdi_catalog/salesItemDetails.do?id=115320")</f>
        <v>https://www.fabsurplus.com/sdi_catalog/salesItemDetails.do?id=115320</v>
      </c>
      <c r="B2350" s="2" t="s">
        <v>6609</v>
      </c>
      <c r="C2350" s="2" t="s">
        <v>6578</v>
      </c>
      <c r="D2350" s="2" t="s">
        <v>6610</v>
      </c>
      <c r="E2350" s="2" t="s">
        <v>6580</v>
      </c>
      <c r="F2350" s="2" t="s">
        <v>16</v>
      </c>
      <c r="G2350" s="2" t="s">
        <v>41</v>
      </c>
      <c r="H2350" s="2"/>
      <c r="I2350" s="2"/>
      <c r="J2350" s="2" t="s">
        <v>19</v>
      </c>
      <c r="K2350" s="2"/>
      <c r="L2350" s="2" t="s">
        <v>63</v>
      </c>
    </row>
    <row r="2351" customFormat="false" ht="11.9" hidden="false" customHeight="true" outlineLevel="0" collapsed="false">
      <c r="A2351" s="3" t="str">
        <f aca="false">HYPERLINK("https://www.fabsurplus.com/sdi_catalog/salesItemDetails.do?id=115321")</f>
        <v>https://www.fabsurplus.com/sdi_catalog/salesItemDetails.do?id=115321</v>
      </c>
      <c r="B2351" s="3" t="s">
        <v>6611</v>
      </c>
      <c r="C2351" s="3" t="s">
        <v>6578</v>
      </c>
      <c r="D2351" s="3" t="s">
        <v>6612</v>
      </c>
      <c r="E2351" s="3" t="s">
        <v>6613</v>
      </c>
      <c r="F2351" s="3" t="s">
        <v>16</v>
      </c>
      <c r="G2351" s="3" t="s">
        <v>41</v>
      </c>
      <c r="H2351" s="3"/>
      <c r="I2351" s="3"/>
      <c r="J2351" s="3" t="s">
        <v>19</v>
      </c>
      <c r="K2351" s="3"/>
      <c r="L2351" s="3" t="s">
        <v>63</v>
      </c>
    </row>
    <row r="2352" customFormat="false" ht="11.9" hidden="false" customHeight="true" outlineLevel="0" collapsed="false">
      <c r="A2352" s="2" t="str">
        <f aca="false">HYPERLINK("https://www.fabsurplus.com/sdi_catalog/salesItemDetails.do?id=115322")</f>
        <v>https://www.fabsurplus.com/sdi_catalog/salesItemDetails.do?id=115322</v>
      </c>
      <c r="B2352" s="2" t="s">
        <v>6614</v>
      </c>
      <c r="C2352" s="2" t="s">
        <v>6578</v>
      </c>
      <c r="D2352" s="2" t="s">
        <v>6615</v>
      </c>
      <c r="E2352" s="2" t="s">
        <v>6580</v>
      </c>
      <c r="F2352" s="2" t="s">
        <v>16</v>
      </c>
      <c r="G2352" s="2" t="s">
        <v>41</v>
      </c>
      <c r="H2352" s="2"/>
      <c r="I2352" s="2"/>
      <c r="J2352" s="2" t="s">
        <v>19</v>
      </c>
      <c r="K2352" s="2"/>
      <c r="L2352" s="2" t="s">
        <v>63</v>
      </c>
    </row>
    <row r="2353" customFormat="false" ht="11.9" hidden="false" customHeight="true" outlineLevel="0" collapsed="false">
      <c r="A2353" s="3" t="str">
        <f aca="false">HYPERLINK("https://www.fabsurplus.com/sdi_catalog/salesItemDetails.do?id=115323")</f>
        <v>https://www.fabsurplus.com/sdi_catalog/salesItemDetails.do?id=115323</v>
      </c>
      <c r="B2353" s="3" t="s">
        <v>6616</v>
      </c>
      <c r="C2353" s="3" t="s">
        <v>6578</v>
      </c>
      <c r="D2353" s="3" t="s">
        <v>6617</v>
      </c>
      <c r="E2353" s="3" t="s">
        <v>6580</v>
      </c>
      <c r="F2353" s="3" t="s">
        <v>16</v>
      </c>
      <c r="G2353" s="3" t="s">
        <v>41</v>
      </c>
      <c r="H2353" s="3"/>
      <c r="I2353" s="3"/>
      <c r="J2353" s="3" t="s">
        <v>19</v>
      </c>
      <c r="K2353" s="3"/>
      <c r="L2353" s="3" t="s">
        <v>63</v>
      </c>
    </row>
    <row r="2354" customFormat="false" ht="11.9" hidden="false" customHeight="true" outlineLevel="0" collapsed="false">
      <c r="A2354" s="2" t="str">
        <f aca="false">HYPERLINK("https://www.fabsurplus.com/sdi_catalog/salesItemDetails.do?id=115324")</f>
        <v>https://www.fabsurplus.com/sdi_catalog/salesItemDetails.do?id=115324</v>
      </c>
      <c r="B2354" s="2" t="s">
        <v>6618</v>
      </c>
      <c r="C2354" s="2" t="s">
        <v>6578</v>
      </c>
      <c r="D2354" s="2" t="s">
        <v>6619</v>
      </c>
      <c r="E2354" s="2" t="s">
        <v>6580</v>
      </c>
      <c r="F2354" s="2" t="s">
        <v>77</v>
      </c>
      <c r="G2354" s="2" t="s">
        <v>41</v>
      </c>
      <c r="H2354" s="2"/>
      <c r="I2354" s="2"/>
      <c r="J2354" s="2" t="s">
        <v>19</v>
      </c>
      <c r="K2354" s="2"/>
      <c r="L2354" s="2" t="s">
        <v>63</v>
      </c>
    </row>
    <row r="2355" customFormat="false" ht="11.9" hidden="false" customHeight="true" outlineLevel="0" collapsed="false">
      <c r="A2355" s="3" t="str">
        <f aca="false">HYPERLINK("https://www.fabsurplus.com/sdi_catalog/salesItemDetails.do?id=115325")</f>
        <v>https://www.fabsurplus.com/sdi_catalog/salesItemDetails.do?id=115325</v>
      </c>
      <c r="B2355" s="3" t="s">
        <v>6620</v>
      </c>
      <c r="C2355" s="3" t="s">
        <v>6578</v>
      </c>
      <c r="D2355" s="3" t="s">
        <v>6621</v>
      </c>
      <c r="E2355" s="3" t="s">
        <v>6580</v>
      </c>
      <c r="F2355" s="3" t="s">
        <v>16</v>
      </c>
      <c r="G2355" s="3" t="s">
        <v>41</v>
      </c>
      <c r="H2355" s="3"/>
      <c r="I2355" s="3"/>
      <c r="J2355" s="3" t="s">
        <v>19</v>
      </c>
      <c r="K2355" s="3"/>
      <c r="L2355" s="3" t="s">
        <v>63</v>
      </c>
    </row>
    <row r="2356" customFormat="false" ht="11.9" hidden="false" customHeight="true" outlineLevel="0" collapsed="false">
      <c r="A2356" s="2" t="str">
        <f aca="false">HYPERLINK("https://www.fabsurplus.com/sdi_catalog/salesItemDetails.do?id=115326")</f>
        <v>https://www.fabsurplus.com/sdi_catalog/salesItemDetails.do?id=115326</v>
      </c>
      <c r="B2356" s="2" t="s">
        <v>6622</v>
      </c>
      <c r="C2356" s="2" t="s">
        <v>6578</v>
      </c>
      <c r="D2356" s="2" t="s">
        <v>6623</v>
      </c>
      <c r="E2356" s="2" t="s">
        <v>6580</v>
      </c>
      <c r="F2356" s="2" t="s">
        <v>16</v>
      </c>
      <c r="G2356" s="2" t="s">
        <v>41</v>
      </c>
      <c r="H2356" s="2"/>
      <c r="I2356" s="2"/>
      <c r="J2356" s="2" t="s">
        <v>19</v>
      </c>
      <c r="K2356" s="2"/>
      <c r="L2356" s="2" t="s">
        <v>63</v>
      </c>
    </row>
    <row r="2357" customFormat="false" ht="11.9" hidden="false" customHeight="true" outlineLevel="0" collapsed="false">
      <c r="A2357" s="3" t="str">
        <f aca="false">HYPERLINK("https://www.fabsurplus.com/sdi_catalog/salesItemDetails.do?id=115327")</f>
        <v>https://www.fabsurplus.com/sdi_catalog/salesItemDetails.do?id=115327</v>
      </c>
      <c r="B2357" s="3" t="s">
        <v>6624</v>
      </c>
      <c r="C2357" s="3" t="s">
        <v>6578</v>
      </c>
      <c r="D2357" s="3" t="s">
        <v>6625</v>
      </c>
      <c r="E2357" s="3" t="s">
        <v>6626</v>
      </c>
      <c r="F2357" s="3" t="s">
        <v>77</v>
      </c>
      <c r="G2357" s="3" t="s">
        <v>41</v>
      </c>
      <c r="H2357" s="3"/>
      <c r="I2357" s="3"/>
      <c r="J2357" s="3" t="s">
        <v>19</v>
      </c>
      <c r="K2357" s="3"/>
      <c r="L2357" s="3" t="s">
        <v>63</v>
      </c>
    </row>
    <row r="2358" customFormat="false" ht="11.9" hidden="false" customHeight="true" outlineLevel="0" collapsed="false">
      <c r="A2358" s="2" t="str">
        <f aca="false">HYPERLINK("https://www.fabsurplus.com/sdi_catalog/salesItemDetails.do?id=115328")</f>
        <v>https://www.fabsurplus.com/sdi_catalog/salesItemDetails.do?id=115328</v>
      </c>
      <c r="B2358" s="2" t="s">
        <v>6627</v>
      </c>
      <c r="C2358" s="2" t="s">
        <v>6578</v>
      </c>
      <c r="D2358" s="2" t="s">
        <v>6628</v>
      </c>
      <c r="E2358" s="2" t="s">
        <v>6629</v>
      </c>
      <c r="F2358" s="2" t="s">
        <v>77</v>
      </c>
      <c r="G2358" s="2" t="s">
        <v>41</v>
      </c>
      <c r="H2358" s="2"/>
      <c r="I2358" s="2"/>
      <c r="J2358" s="2" t="s">
        <v>19</v>
      </c>
      <c r="K2358" s="2"/>
      <c r="L2358" s="2" t="s">
        <v>63</v>
      </c>
    </row>
    <row r="2359" customFormat="false" ht="11.9" hidden="false" customHeight="true" outlineLevel="0" collapsed="false">
      <c r="A2359" s="3" t="str">
        <f aca="false">HYPERLINK("https://www.fabsurplus.com/sdi_catalog/salesItemDetails.do?id=115329")</f>
        <v>https://www.fabsurplus.com/sdi_catalog/salesItemDetails.do?id=115329</v>
      </c>
      <c r="B2359" s="3" t="s">
        <v>6630</v>
      </c>
      <c r="C2359" s="3" t="s">
        <v>6578</v>
      </c>
      <c r="D2359" s="3" t="s">
        <v>6631</v>
      </c>
      <c r="E2359" s="3" t="s">
        <v>6632</v>
      </c>
      <c r="F2359" s="3" t="s">
        <v>16</v>
      </c>
      <c r="G2359" s="3" t="s">
        <v>41</v>
      </c>
      <c r="H2359" s="3"/>
      <c r="I2359" s="3"/>
      <c r="J2359" s="3" t="s">
        <v>19</v>
      </c>
      <c r="K2359" s="3"/>
      <c r="L2359" s="3" t="s">
        <v>63</v>
      </c>
    </row>
    <row r="2360" customFormat="false" ht="11.9" hidden="false" customHeight="true" outlineLevel="0" collapsed="false">
      <c r="A2360" s="2" t="str">
        <f aca="false">HYPERLINK("https://www.fabsurplus.com/sdi_catalog/salesItemDetails.do?id=115330")</f>
        <v>https://www.fabsurplus.com/sdi_catalog/salesItemDetails.do?id=115330</v>
      </c>
      <c r="B2360" s="2" t="s">
        <v>6633</v>
      </c>
      <c r="C2360" s="2" t="s">
        <v>6578</v>
      </c>
      <c r="D2360" s="2" t="s">
        <v>6634</v>
      </c>
      <c r="E2360" s="2" t="s">
        <v>6635</v>
      </c>
      <c r="F2360" s="2" t="s">
        <v>16</v>
      </c>
      <c r="G2360" s="2" t="s">
        <v>41</v>
      </c>
      <c r="H2360" s="2"/>
      <c r="I2360" s="2"/>
      <c r="J2360" s="2" t="s">
        <v>19</v>
      </c>
      <c r="K2360" s="2"/>
      <c r="L2360" s="2" t="s">
        <v>63</v>
      </c>
    </row>
    <row r="2361" customFormat="false" ht="11.9" hidden="false" customHeight="true" outlineLevel="0" collapsed="false">
      <c r="A2361" s="3" t="str">
        <f aca="false">HYPERLINK("https://www.fabsurplus.com/sdi_catalog/salesItemDetails.do?id=115331")</f>
        <v>https://www.fabsurplus.com/sdi_catalog/salesItemDetails.do?id=115331</v>
      </c>
      <c r="B2361" s="3" t="s">
        <v>6636</v>
      </c>
      <c r="C2361" s="3" t="s">
        <v>6578</v>
      </c>
      <c r="D2361" s="3" t="s">
        <v>6637</v>
      </c>
      <c r="E2361" s="3" t="s">
        <v>6626</v>
      </c>
      <c r="F2361" s="3" t="s">
        <v>16</v>
      </c>
      <c r="G2361" s="3" t="s">
        <v>41</v>
      </c>
      <c r="H2361" s="3"/>
      <c r="I2361" s="3"/>
      <c r="J2361" s="3" t="s">
        <v>19</v>
      </c>
      <c r="K2361" s="3"/>
      <c r="L2361" s="3" t="s">
        <v>63</v>
      </c>
    </row>
    <row r="2362" customFormat="false" ht="11.9" hidden="false" customHeight="true" outlineLevel="0" collapsed="false">
      <c r="A2362" s="2" t="str">
        <f aca="false">HYPERLINK("https://www.fabsurplus.com/sdi_catalog/salesItemDetails.do?id=115332")</f>
        <v>https://www.fabsurplus.com/sdi_catalog/salesItemDetails.do?id=115332</v>
      </c>
      <c r="B2362" s="2" t="s">
        <v>6638</v>
      </c>
      <c r="C2362" s="2" t="s">
        <v>6578</v>
      </c>
      <c r="D2362" s="2" t="s">
        <v>6637</v>
      </c>
      <c r="E2362" s="2" t="s">
        <v>6639</v>
      </c>
      <c r="F2362" s="2" t="s">
        <v>77</v>
      </c>
      <c r="G2362" s="2" t="s">
        <v>41</v>
      </c>
      <c r="H2362" s="2"/>
      <c r="I2362" s="2"/>
      <c r="J2362" s="2" t="s">
        <v>19</v>
      </c>
      <c r="K2362" s="2"/>
      <c r="L2362" s="2" t="s">
        <v>63</v>
      </c>
    </row>
    <row r="2363" customFormat="false" ht="11.9" hidden="false" customHeight="true" outlineLevel="0" collapsed="false">
      <c r="A2363" s="3" t="str">
        <f aca="false">HYPERLINK("https://www.fabsurplus.com/sdi_catalog/salesItemDetails.do?id=115333")</f>
        <v>https://www.fabsurplus.com/sdi_catalog/salesItemDetails.do?id=115333</v>
      </c>
      <c r="B2363" s="3" t="s">
        <v>6640</v>
      </c>
      <c r="C2363" s="3" t="s">
        <v>6578</v>
      </c>
      <c r="D2363" s="3" t="s">
        <v>6641</v>
      </c>
      <c r="E2363" s="3" t="s">
        <v>6642</v>
      </c>
      <c r="F2363" s="3" t="s">
        <v>16</v>
      </c>
      <c r="G2363" s="3" t="s">
        <v>41</v>
      </c>
      <c r="H2363" s="3"/>
      <c r="I2363" s="3"/>
      <c r="J2363" s="3" t="s">
        <v>19</v>
      </c>
      <c r="K2363" s="3"/>
      <c r="L2363" s="3" t="s">
        <v>63</v>
      </c>
    </row>
    <row r="2364" customFormat="false" ht="11.9" hidden="false" customHeight="true" outlineLevel="0" collapsed="false">
      <c r="A2364" s="2" t="str">
        <f aca="false">HYPERLINK("https://www.fabsurplus.com/sdi_catalog/salesItemDetails.do?id=115334")</f>
        <v>https://www.fabsurplus.com/sdi_catalog/salesItemDetails.do?id=115334</v>
      </c>
      <c r="B2364" s="2" t="s">
        <v>6643</v>
      </c>
      <c r="C2364" s="2" t="s">
        <v>6578</v>
      </c>
      <c r="D2364" s="2" t="s">
        <v>6644</v>
      </c>
      <c r="E2364" s="2" t="s">
        <v>6639</v>
      </c>
      <c r="F2364" s="2" t="s">
        <v>16</v>
      </c>
      <c r="G2364" s="2" t="s">
        <v>41</v>
      </c>
      <c r="H2364" s="2"/>
      <c r="I2364" s="2"/>
      <c r="J2364" s="2" t="s">
        <v>19</v>
      </c>
      <c r="K2364" s="2"/>
      <c r="L2364" s="2" t="s">
        <v>63</v>
      </c>
    </row>
    <row r="2365" customFormat="false" ht="11.9" hidden="false" customHeight="true" outlineLevel="0" collapsed="false">
      <c r="A2365" s="3" t="str">
        <f aca="false">HYPERLINK("https://www.fabsurplus.com/sdi_catalog/salesItemDetails.do?id=115335")</f>
        <v>https://www.fabsurplus.com/sdi_catalog/salesItemDetails.do?id=115335</v>
      </c>
      <c r="B2365" s="3" t="s">
        <v>6645</v>
      </c>
      <c r="C2365" s="3" t="s">
        <v>6578</v>
      </c>
      <c r="D2365" s="3" t="s">
        <v>6646</v>
      </c>
      <c r="E2365" s="3" t="s">
        <v>6626</v>
      </c>
      <c r="F2365" s="3" t="s">
        <v>16</v>
      </c>
      <c r="G2365" s="3" t="s">
        <v>41</v>
      </c>
      <c r="H2365" s="3"/>
      <c r="I2365" s="3"/>
      <c r="J2365" s="3" t="s">
        <v>19</v>
      </c>
      <c r="K2365" s="3"/>
      <c r="L2365" s="3" t="s">
        <v>63</v>
      </c>
    </row>
    <row r="2366" customFormat="false" ht="11.9" hidden="false" customHeight="true" outlineLevel="0" collapsed="false">
      <c r="A2366" s="2" t="str">
        <f aca="false">HYPERLINK("https://www.fabsurplus.com/sdi_catalog/salesItemDetails.do?id=115336")</f>
        <v>https://www.fabsurplus.com/sdi_catalog/salesItemDetails.do?id=115336</v>
      </c>
      <c r="B2366" s="2" t="s">
        <v>6647</v>
      </c>
      <c r="C2366" s="2" t="s">
        <v>6578</v>
      </c>
      <c r="D2366" s="2" t="s">
        <v>6646</v>
      </c>
      <c r="E2366" s="2" t="s">
        <v>6639</v>
      </c>
      <c r="F2366" s="2" t="s">
        <v>16</v>
      </c>
      <c r="G2366" s="2" t="s">
        <v>41</v>
      </c>
      <c r="H2366" s="2"/>
      <c r="I2366" s="2"/>
      <c r="J2366" s="2" t="s">
        <v>19</v>
      </c>
      <c r="K2366" s="2"/>
      <c r="L2366" s="2" t="s">
        <v>63</v>
      </c>
    </row>
    <row r="2367" customFormat="false" ht="11.9" hidden="false" customHeight="true" outlineLevel="0" collapsed="false">
      <c r="A2367" s="3" t="str">
        <f aca="false">HYPERLINK("https://www.fabsurplus.com/sdi_catalog/salesItemDetails.do?id=115337")</f>
        <v>https://www.fabsurplus.com/sdi_catalog/salesItemDetails.do?id=115337</v>
      </c>
      <c r="B2367" s="3" t="s">
        <v>6648</v>
      </c>
      <c r="C2367" s="3" t="s">
        <v>6578</v>
      </c>
      <c r="D2367" s="3" t="s">
        <v>6649</v>
      </c>
      <c r="E2367" s="3" t="s">
        <v>6650</v>
      </c>
      <c r="F2367" s="3" t="s">
        <v>16</v>
      </c>
      <c r="G2367" s="3" t="s">
        <v>41</v>
      </c>
      <c r="H2367" s="3"/>
      <c r="I2367" s="3"/>
      <c r="J2367" s="3" t="s">
        <v>19</v>
      </c>
      <c r="K2367" s="3"/>
      <c r="L2367" s="3" t="s">
        <v>63</v>
      </c>
    </row>
    <row r="2368" customFormat="false" ht="11.9" hidden="false" customHeight="true" outlineLevel="0" collapsed="false">
      <c r="A2368" s="3" t="str">
        <f aca="false">HYPERLINK("https://www.fabsurplus.com/sdi_catalog/salesItemDetails.do?id=83552")</f>
        <v>https://www.fabsurplus.com/sdi_catalog/salesItemDetails.do?id=83552</v>
      </c>
      <c r="B2368" s="3" t="s">
        <v>6651</v>
      </c>
      <c r="C2368" s="3" t="s">
        <v>6652</v>
      </c>
      <c r="D2368" s="3" t="s">
        <v>6653</v>
      </c>
      <c r="E2368" s="3" t="s">
        <v>6654</v>
      </c>
      <c r="F2368" s="3" t="s">
        <v>101</v>
      </c>
      <c r="G2368" s="3" t="s">
        <v>6655</v>
      </c>
      <c r="H2368" s="3" t="s">
        <v>27</v>
      </c>
      <c r="I2368" s="4" t="n">
        <v>38411.9583333333</v>
      </c>
      <c r="J2368" s="3" t="s">
        <v>19</v>
      </c>
      <c r="K2368" s="3" t="s">
        <v>20</v>
      </c>
      <c r="L2368" s="3" t="s">
        <v>6656</v>
      </c>
    </row>
    <row r="2369" customFormat="false" ht="11.9" hidden="false" customHeight="true" outlineLevel="0" collapsed="false">
      <c r="A2369" s="2" t="str">
        <f aca="false">HYPERLINK("https://www.fabsurplus.com/sdi_catalog/salesItemDetails.do?id=103387")</f>
        <v>https://www.fabsurplus.com/sdi_catalog/salesItemDetails.do?id=103387</v>
      </c>
      <c r="B2369" s="2" t="s">
        <v>6657</v>
      </c>
      <c r="C2369" s="2" t="s">
        <v>6658</v>
      </c>
      <c r="D2369" s="2" t="s">
        <v>6659</v>
      </c>
      <c r="E2369" s="2" t="s">
        <v>6660</v>
      </c>
      <c r="F2369" s="2" t="s">
        <v>101</v>
      </c>
      <c r="G2369" s="2" t="s">
        <v>26</v>
      </c>
      <c r="H2369" s="2" t="s">
        <v>27</v>
      </c>
      <c r="I2369" s="2"/>
      <c r="J2369" s="2" t="s">
        <v>19</v>
      </c>
      <c r="K2369" s="2" t="s">
        <v>20</v>
      </c>
      <c r="L2369" s="6" t="s">
        <v>6661</v>
      </c>
    </row>
    <row r="2370" customFormat="false" ht="11.9" hidden="false" customHeight="true" outlineLevel="0" collapsed="false">
      <c r="A2370" s="2" t="str">
        <f aca="false">HYPERLINK("https://www.fabsurplus.com/sdi_catalog/salesItemDetails.do?id=103384")</f>
        <v>https://www.fabsurplus.com/sdi_catalog/salesItemDetails.do?id=103384</v>
      </c>
      <c r="B2370" s="2" t="s">
        <v>6662</v>
      </c>
      <c r="C2370" s="2" t="s">
        <v>6658</v>
      </c>
      <c r="D2370" s="2" t="s">
        <v>6663</v>
      </c>
      <c r="E2370" s="2" t="s">
        <v>6664</v>
      </c>
      <c r="F2370" s="2" t="s">
        <v>2061</v>
      </c>
      <c r="G2370" s="2" t="s">
        <v>26</v>
      </c>
      <c r="H2370" s="2" t="s">
        <v>27</v>
      </c>
      <c r="I2370" s="2"/>
      <c r="J2370" s="2" t="s">
        <v>19</v>
      </c>
      <c r="K2370" s="2" t="s">
        <v>20</v>
      </c>
      <c r="L2370" s="6" t="s">
        <v>6665</v>
      </c>
    </row>
    <row r="2371" customFormat="false" ht="11.9" hidden="false" customHeight="true" outlineLevel="0" collapsed="false">
      <c r="A2371" s="3" t="str">
        <f aca="false">HYPERLINK("https://www.fabsurplus.com/sdi_catalog/salesItemDetails.do?id=103385")</f>
        <v>https://www.fabsurplus.com/sdi_catalog/salesItemDetails.do?id=103385</v>
      </c>
      <c r="B2371" s="3" t="s">
        <v>6666</v>
      </c>
      <c r="C2371" s="3" t="s">
        <v>6658</v>
      </c>
      <c r="D2371" s="3" t="s">
        <v>6667</v>
      </c>
      <c r="E2371" s="3" t="s">
        <v>6668</v>
      </c>
      <c r="F2371" s="3" t="s">
        <v>5109</v>
      </c>
      <c r="G2371" s="3" t="s">
        <v>26</v>
      </c>
      <c r="H2371" s="3" t="s">
        <v>27</v>
      </c>
      <c r="I2371" s="3"/>
      <c r="J2371" s="3" t="s">
        <v>19</v>
      </c>
      <c r="K2371" s="3" t="s">
        <v>20</v>
      </c>
      <c r="L2371" s="5" t="s">
        <v>6669</v>
      </c>
    </row>
    <row r="2372" customFormat="false" ht="11.9" hidden="false" customHeight="true" outlineLevel="0" collapsed="false">
      <c r="A2372" s="3" t="str">
        <f aca="false">HYPERLINK("https://www.fabsurplus.com/sdi_catalog/salesItemDetails.do?id=83916")</f>
        <v>https://www.fabsurplus.com/sdi_catalog/salesItemDetails.do?id=83916</v>
      </c>
      <c r="B2372" s="3" t="s">
        <v>6670</v>
      </c>
      <c r="C2372" s="3" t="s">
        <v>6671</v>
      </c>
      <c r="D2372" s="3" t="s">
        <v>6672</v>
      </c>
      <c r="E2372" s="3"/>
      <c r="F2372" s="3" t="s">
        <v>16</v>
      </c>
      <c r="G2372" s="3"/>
      <c r="H2372" s="3" t="s">
        <v>18</v>
      </c>
      <c r="I2372" s="3"/>
      <c r="J2372" s="3" t="s">
        <v>19</v>
      </c>
      <c r="K2372" s="3" t="s">
        <v>20</v>
      </c>
      <c r="L2372" s="5" t="s">
        <v>6673</v>
      </c>
    </row>
    <row r="2373" customFormat="false" ht="11.9" hidden="false" customHeight="true" outlineLevel="0" collapsed="false">
      <c r="A2373" s="2" t="str">
        <f aca="false">HYPERLINK("https://www.fabsurplus.com/sdi_catalog/salesItemDetails.do?id=83917")</f>
        <v>https://www.fabsurplus.com/sdi_catalog/salesItemDetails.do?id=83917</v>
      </c>
      <c r="B2373" s="2" t="s">
        <v>6674</v>
      </c>
      <c r="C2373" s="2" t="s">
        <v>6671</v>
      </c>
      <c r="D2373" s="2" t="s">
        <v>6675</v>
      </c>
      <c r="E2373" s="2"/>
      <c r="F2373" s="2" t="s">
        <v>16</v>
      </c>
      <c r="G2373" s="2"/>
      <c r="H2373" s="2" t="s">
        <v>18</v>
      </c>
      <c r="I2373" s="2"/>
      <c r="J2373" s="2" t="s">
        <v>19</v>
      </c>
      <c r="K2373" s="2" t="s">
        <v>20</v>
      </c>
      <c r="L2373" s="6" t="s">
        <v>6676</v>
      </c>
    </row>
    <row r="2374" customFormat="false" ht="11.9" hidden="false" customHeight="true" outlineLevel="0" collapsed="false">
      <c r="A2374" s="3" t="str">
        <f aca="false">HYPERLINK("https://www.fabsurplus.com/sdi_catalog/salesItemDetails.do?id=83905")</f>
        <v>https://www.fabsurplus.com/sdi_catalog/salesItemDetails.do?id=83905</v>
      </c>
      <c r="B2374" s="3" t="s">
        <v>6677</v>
      </c>
      <c r="C2374" s="3" t="s">
        <v>6671</v>
      </c>
      <c r="D2374" s="3" t="s">
        <v>6678</v>
      </c>
      <c r="E2374" s="3" t="s">
        <v>6679</v>
      </c>
      <c r="F2374" s="3" t="s">
        <v>16</v>
      </c>
      <c r="G2374" s="3" t="s">
        <v>26</v>
      </c>
      <c r="H2374" s="3" t="s">
        <v>18</v>
      </c>
      <c r="I2374" s="3"/>
      <c r="J2374" s="3" t="s">
        <v>19</v>
      </c>
      <c r="K2374" s="3" t="s">
        <v>20</v>
      </c>
      <c r="L2374" s="5" t="s">
        <v>6680</v>
      </c>
    </row>
    <row r="2375" customFormat="false" ht="11.9" hidden="false" customHeight="true" outlineLevel="0" collapsed="false">
      <c r="A2375" s="2" t="str">
        <f aca="false">HYPERLINK("https://www.fabsurplus.com/sdi_catalog/salesItemDetails.do?id=83914")</f>
        <v>https://www.fabsurplus.com/sdi_catalog/salesItemDetails.do?id=83914</v>
      </c>
      <c r="B2375" s="2" t="s">
        <v>6681</v>
      </c>
      <c r="C2375" s="2" t="s">
        <v>6671</v>
      </c>
      <c r="D2375" s="2" t="s">
        <v>6682</v>
      </c>
      <c r="E2375" s="2" t="s">
        <v>6683</v>
      </c>
      <c r="F2375" s="2" t="s">
        <v>16</v>
      </c>
      <c r="G2375" s="2"/>
      <c r="H2375" s="2" t="s">
        <v>883</v>
      </c>
      <c r="I2375" s="2"/>
      <c r="J2375" s="2" t="s">
        <v>19</v>
      </c>
      <c r="K2375" s="2" t="s">
        <v>20</v>
      </c>
      <c r="L2375" s="6" t="s">
        <v>6684</v>
      </c>
    </row>
    <row r="2376" customFormat="false" ht="11.9" hidden="false" customHeight="true" outlineLevel="0" collapsed="false">
      <c r="A2376" s="2" t="str">
        <f aca="false">HYPERLINK("https://www.fabsurplus.com/sdi_catalog/salesItemDetails.do?id=102638")</f>
        <v>https://www.fabsurplus.com/sdi_catalog/salesItemDetails.do?id=102638</v>
      </c>
      <c r="B2376" s="2" t="s">
        <v>6685</v>
      </c>
      <c r="C2376" s="2" t="s">
        <v>6686</v>
      </c>
      <c r="D2376" s="2" t="s">
        <v>6687</v>
      </c>
      <c r="E2376" s="2" t="s">
        <v>6688</v>
      </c>
      <c r="F2376" s="2" t="s">
        <v>16</v>
      </c>
      <c r="G2376" s="2" t="s">
        <v>17</v>
      </c>
      <c r="H2376" s="2" t="s">
        <v>35</v>
      </c>
      <c r="I2376" s="2"/>
      <c r="J2376" s="2" t="s">
        <v>19</v>
      </c>
      <c r="K2376" s="2" t="s">
        <v>20</v>
      </c>
      <c r="L2376" s="2" t="s">
        <v>6689</v>
      </c>
    </row>
    <row r="2377" customFormat="false" ht="11.9" hidden="false" customHeight="true" outlineLevel="0" collapsed="false">
      <c r="A2377" s="3" t="str">
        <f aca="false">HYPERLINK("https://www.fabsurplus.com/sdi_catalog/salesItemDetails.do?id=102639")</f>
        <v>https://www.fabsurplus.com/sdi_catalog/salesItemDetails.do?id=102639</v>
      </c>
      <c r="B2377" s="3" t="s">
        <v>6690</v>
      </c>
      <c r="C2377" s="3" t="s">
        <v>6686</v>
      </c>
      <c r="D2377" s="3" t="s">
        <v>6687</v>
      </c>
      <c r="E2377" s="3" t="s">
        <v>6688</v>
      </c>
      <c r="F2377" s="3" t="s">
        <v>16</v>
      </c>
      <c r="G2377" s="3" t="s">
        <v>17</v>
      </c>
      <c r="H2377" s="3" t="s">
        <v>35</v>
      </c>
      <c r="I2377" s="3"/>
      <c r="J2377" s="3" t="s">
        <v>19</v>
      </c>
      <c r="K2377" s="3" t="s">
        <v>20</v>
      </c>
      <c r="L2377" s="3" t="s">
        <v>6689</v>
      </c>
    </row>
    <row r="2378" customFormat="false" ht="11.9" hidden="false" customHeight="true" outlineLevel="0" collapsed="false">
      <c r="A2378" s="3" t="str">
        <f aca="false">HYPERLINK("https://www.fabsurplus.com/sdi_catalog/salesItemDetails.do?id=65934")</f>
        <v>https://www.fabsurplus.com/sdi_catalog/salesItemDetails.do?id=65934</v>
      </c>
      <c r="B2378" s="3" t="s">
        <v>6691</v>
      </c>
      <c r="C2378" s="3" t="s">
        <v>6686</v>
      </c>
      <c r="D2378" s="3" t="s">
        <v>6692</v>
      </c>
      <c r="E2378" s="3" t="s">
        <v>6693</v>
      </c>
      <c r="F2378" s="3" t="s">
        <v>16</v>
      </c>
      <c r="G2378" s="3" t="s">
        <v>41</v>
      </c>
      <c r="H2378" s="3" t="s">
        <v>27</v>
      </c>
      <c r="I2378" s="3"/>
      <c r="J2378" s="3" t="s">
        <v>19</v>
      </c>
      <c r="K2378" s="3" t="s">
        <v>20</v>
      </c>
      <c r="L2378" s="5" t="s">
        <v>6694</v>
      </c>
    </row>
    <row r="2379" customFormat="false" ht="11.9" hidden="false" customHeight="true" outlineLevel="0" collapsed="false">
      <c r="A2379" s="3" t="str">
        <f aca="false">HYPERLINK("https://www.fabsurplus.com/sdi_catalog/salesItemDetails.do?id=106201")</f>
        <v>https://www.fabsurplus.com/sdi_catalog/salesItemDetails.do?id=106201</v>
      </c>
      <c r="B2379" s="3" t="s">
        <v>6695</v>
      </c>
      <c r="C2379" s="3" t="s">
        <v>6686</v>
      </c>
      <c r="D2379" s="3" t="s">
        <v>6696</v>
      </c>
      <c r="E2379" s="3" t="s">
        <v>6697</v>
      </c>
      <c r="F2379" s="3" t="s">
        <v>16</v>
      </c>
      <c r="G2379" s="3" t="s">
        <v>17</v>
      </c>
      <c r="H2379" s="3" t="s">
        <v>27</v>
      </c>
      <c r="I2379" s="4" t="n">
        <v>38504</v>
      </c>
      <c r="J2379" s="3" t="s">
        <v>19</v>
      </c>
      <c r="K2379" s="3" t="s">
        <v>20</v>
      </c>
      <c r="L2379" s="5" t="s">
        <v>6698</v>
      </c>
    </row>
    <row r="2380" customFormat="false" ht="11.9" hidden="false" customHeight="true" outlineLevel="0" collapsed="false">
      <c r="A2380" s="2" t="str">
        <f aca="false">HYPERLINK("https://www.fabsurplus.com/sdi_catalog/salesItemDetails.do?id=80254")</f>
        <v>https://www.fabsurplus.com/sdi_catalog/salesItemDetails.do?id=80254</v>
      </c>
      <c r="B2380" s="2" t="s">
        <v>6699</v>
      </c>
      <c r="C2380" s="2" t="s">
        <v>6700</v>
      </c>
      <c r="D2380" s="2" t="s">
        <v>6701</v>
      </c>
      <c r="E2380" s="2" t="s">
        <v>6702</v>
      </c>
      <c r="F2380" s="2" t="s">
        <v>16</v>
      </c>
      <c r="G2380" s="2" t="s">
        <v>6703</v>
      </c>
      <c r="H2380" s="2" t="s">
        <v>27</v>
      </c>
      <c r="I2380" s="2"/>
      <c r="J2380" s="2" t="s">
        <v>19</v>
      </c>
      <c r="K2380" s="2" t="s">
        <v>20</v>
      </c>
      <c r="L2380" s="2"/>
    </row>
    <row r="2381" customFormat="false" ht="11.9" hidden="false" customHeight="true" outlineLevel="0" collapsed="false">
      <c r="A2381" s="2" t="str">
        <f aca="false">HYPERLINK("https://www.fabsurplus.com/sdi_catalog/salesItemDetails.do?id=106190")</f>
        <v>https://www.fabsurplus.com/sdi_catalog/salesItemDetails.do?id=106190</v>
      </c>
      <c r="B2381" s="2" t="s">
        <v>6704</v>
      </c>
      <c r="C2381" s="2" t="s">
        <v>6686</v>
      </c>
      <c r="D2381" s="2" t="s">
        <v>6705</v>
      </c>
      <c r="E2381" s="2" t="s">
        <v>6706</v>
      </c>
      <c r="F2381" s="2" t="s">
        <v>16</v>
      </c>
      <c r="G2381" s="2" t="s">
        <v>17</v>
      </c>
      <c r="H2381" s="2" t="s">
        <v>27</v>
      </c>
      <c r="I2381" s="2"/>
      <c r="J2381" s="2" t="s">
        <v>19</v>
      </c>
      <c r="K2381" s="2" t="s">
        <v>20</v>
      </c>
      <c r="L2381" s="6" t="s">
        <v>6707</v>
      </c>
    </row>
    <row r="2382" customFormat="false" ht="11.9" hidden="false" customHeight="true" outlineLevel="0" collapsed="false">
      <c r="A2382" s="3" t="str">
        <f aca="false">HYPERLINK("https://www.fabsurplus.com/sdi_catalog/salesItemDetails.do?id=83835")</f>
        <v>https://www.fabsurplus.com/sdi_catalog/salesItemDetails.do?id=83835</v>
      </c>
      <c r="B2382" s="3" t="s">
        <v>6708</v>
      </c>
      <c r="C2382" s="3" t="s">
        <v>6686</v>
      </c>
      <c r="D2382" s="3" t="s">
        <v>6709</v>
      </c>
      <c r="E2382" s="3" t="s">
        <v>6710</v>
      </c>
      <c r="F2382" s="3" t="s">
        <v>77</v>
      </c>
      <c r="G2382" s="3" t="s">
        <v>26</v>
      </c>
      <c r="H2382" s="3" t="s">
        <v>27</v>
      </c>
      <c r="I2382" s="3"/>
      <c r="J2382" s="3" t="s">
        <v>19</v>
      </c>
      <c r="K2382" s="3" t="s">
        <v>20</v>
      </c>
      <c r="L2382" s="5" t="s">
        <v>6711</v>
      </c>
    </row>
    <row r="2383" customFormat="false" ht="11.9" hidden="false" customHeight="true" outlineLevel="0" collapsed="false">
      <c r="A2383" s="2" t="str">
        <f aca="false">HYPERLINK("https://www.fabsurplus.com/sdi_catalog/salesItemDetails.do?id=80247")</f>
        <v>https://www.fabsurplus.com/sdi_catalog/salesItemDetails.do?id=80247</v>
      </c>
      <c r="B2383" s="2" t="s">
        <v>6712</v>
      </c>
      <c r="C2383" s="2" t="s">
        <v>6713</v>
      </c>
      <c r="D2383" s="2" t="s">
        <v>6714</v>
      </c>
      <c r="E2383" s="2" t="s">
        <v>6715</v>
      </c>
      <c r="F2383" s="2" t="s">
        <v>16</v>
      </c>
      <c r="G2383" s="2"/>
      <c r="H2383" s="2" t="s">
        <v>35</v>
      </c>
      <c r="I2383" s="2"/>
      <c r="J2383" s="2" t="s">
        <v>19</v>
      </c>
      <c r="K2383" s="2" t="s">
        <v>20</v>
      </c>
      <c r="L2383" s="6" t="s">
        <v>6716</v>
      </c>
    </row>
    <row r="2384" customFormat="false" ht="11.9" hidden="false" customHeight="true" outlineLevel="0" collapsed="false">
      <c r="A2384" s="3" t="str">
        <f aca="false">HYPERLINK("https://www.fabsurplus.com/sdi_catalog/salesItemDetails.do?id=106896")</f>
        <v>https://www.fabsurplus.com/sdi_catalog/salesItemDetails.do?id=106896</v>
      </c>
      <c r="B2384" s="3" t="s">
        <v>6717</v>
      </c>
      <c r="C2384" s="3" t="s">
        <v>6718</v>
      </c>
      <c r="D2384" s="3" t="s">
        <v>6719</v>
      </c>
      <c r="E2384" s="3" t="s">
        <v>6720</v>
      </c>
      <c r="F2384" s="3" t="s">
        <v>77</v>
      </c>
      <c r="G2384" s="3" t="s">
        <v>26</v>
      </c>
      <c r="H2384" s="3" t="s">
        <v>944</v>
      </c>
      <c r="I2384" s="3"/>
      <c r="J2384" s="3" t="s">
        <v>19</v>
      </c>
      <c r="K2384" s="3" t="s">
        <v>20</v>
      </c>
      <c r="L2384" s="5" t="s">
        <v>6721</v>
      </c>
    </row>
    <row r="2385" customFormat="false" ht="11.9" hidden="false" customHeight="true" outlineLevel="0" collapsed="false">
      <c r="A2385" s="3" t="str">
        <f aca="false">HYPERLINK("https://www.fabsurplus.com/sdi_catalog/salesItemDetails.do?id=84399")</f>
        <v>https://www.fabsurplus.com/sdi_catalog/salesItemDetails.do?id=84399</v>
      </c>
      <c r="B2385" s="3" t="s">
        <v>6722</v>
      </c>
      <c r="C2385" s="3" t="s">
        <v>6723</v>
      </c>
      <c r="D2385" s="3" t="s">
        <v>6724</v>
      </c>
      <c r="E2385" s="3" t="s">
        <v>6725</v>
      </c>
      <c r="F2385" s="3" t="s">
        <v>16</v>
      </c>
      <c r="G2385" s="3"/>
      <c r="H2385" s="3" t="s">
        <v>18</v>
      </c>
      <c r="I2385" s="3"/>
      <c r="J2385" s="3" t="s">
        <v>19</v>
      </c>
      <c r="K2385" s="3" t="s">
        <v>20</v>
      </c>
      <c r="L2385" s="5" t="s">
        <v>6726</v>
      </c>
    </row>
    <row r="2386" customFormat="false" ht="11.9" hidden="false" customHeight="true" outlineLevel="0" collapsed="false">
      <c r="A2386" s="2" t="str">
        <f aca="false">HYPERLINK("https://www.fabsurplus.com/sdi_catalog/salesItemDetails.do?id=84404")</f>
        <v>https://www.fabsurplus.com/sdi_catalog/salesItemDetails.do?id=84404</v>
      </c>
      <c r="B2386" s="2" t="s">
        <v>6727</v>
      </c>
      <c r="C2386" s="2" t="s">
        <v>6723</v>
      </c>
      <c r="D2386" s="2" t="s">
        <v>6728</v>
      </c>
      <c r="E2386" s="2" t="s">
        <v>6729</v>
      </c>
      <c r="F2386" s="2" t="s">
        <v>16</v>
      </c>
      <c r="G2386" s="2"/>
      <c r="H2386" s="2" t="s">
        <v>18</v>
      </c>
      <c r="I2386" s="2"/>
      <c r="J2386" s="2" t="s">
        <v>19</v>
      </c>
      <c r="K2386" s="2" t="s">
        <v>20</v>
      </c>
      <c r="L2386" s="6" t="s">
        <v>6730</v>
      </c>
    </row>
    <row r="2387" customFormat="false" ht="11.9" hidden="false" customHeight="true" outlineLevel="0" collapsed="false">
      <c r="A2387" s="3" t="str">
        <f aca="false">HYPERLINK("https://www.fabsurplus.com/sdi_catalog/salesItemDetails.do?id=84395")</f>
        <v>https://www.fabsurplus.com/sdi_catalog/salesItemDetails.do?id=84395</v>
      </c>
      <c r="B2387" s="3" t="s">
        <v>6731</v>
      </c>
      <c r="C2387" s="3" t="s">
        <v>6723</v>
      </c>
      <c r="D2387" s="3" t="s">
        <v>6732</v>
      </c>
      <c r="E2387" s="3" t="s">
        <v>6733</v>
      </c>
      <c r="F2387" s="3" t="s">
        <v>16</v>
      </c>
      <c r="G2387" s="3"/>
      <c r="H2387" s="3" t="s">
        <v>18</v>
      </c>
      <c r="I2387" s="3"/>
      <c r="J2387" s="3" t="s">
        <v>19</v>
      </c>
      <c r="K2387" s="3" t="s">
        <v>20</v>
      </c>
      <c r="L2387" s="5" t="s">
        <v>6734</v>
      </c>
    </row>
    <row r="2388" customFormat="false" ht="11.9" hidden="false" customHeight="true" outlineLevel="0" collapsed="false">
      <c r="A2388" s="2" t="str">
        <f aca="false">HYPERLINK("https://www.fabsurplus.com/sdi_catalog/salesItemDetails.do?id=84386")</f>
        <v>https://www.fabsurplus.com/sdi_catalog/salesItemDetails.do?id=84386</v>
      </c>
      <c r="B2388" s="2" t="s">
        <v>6735</v>
      </c>
      <c r="C2388" s="2" t="s">
        <v>6723</v>
      </c>
      <c r="D2388" s="2" t="s">
        <v>6736</v>
      </c>
      <c r="E2388" s="2" t="s">
        <v>6733</v>
      </c>
      <c r="F2388" s="2" t="s">
        <v>69</v>
      </c>
      <c r="G2388" s="2" t="s">
        <v>6737</v>
      </c>
      <c r="H2388" s="2" t="s">
        <v>18</v>
      </c>
      <c r="I2388" s="2"/>
      <c r="J2388" s="2" t="s">
        <v>19</v>
      </c>
      <c r="K2388" s="2" t="s">
        <v>20</v>
      </c>
      <c r="L2388" s="6" t="s">
        <v>6738</v>
      </c>
    </row>
    <row r="2389" customFormat="false" ht="11.9" hidden="false" customHeight="true" outlineLevel="0" collapsed="false">
      <c r="A2389" s="3" t="str">
        <f aca="false">HYPERLINK("https://www.fabsurplus.com/sdi_catalog/salesItemDetails.do?id=84401")</f>
        <v>https://www.fabsurplus.com/sdi_catalog/salesItemDetails.do?id=84401</v>
      </c>
      <c r="B2389" s="3" t="s">
        <v>6739</v>
      </c>
      <c r="C2389" s="3" t="s">
        <v>6723</v>
      </c>
      <c r="D2389" s="3" t="s">
        <v>6740</v>
      </c>
      <c r="E2389" s="3" t="s">
        <v>6741</v>
      </c>
      <c r="F2389" s="3" t="s">
        <v>16</v>
      </c>
      <c r="G2389" s="3"/>
      <c r="H2389" s="3" t="s">
        <v>18</v>
      </c>
      <c r="I2389" s="3"/>
      <c r="J2389" s="3" t="s">
        <v>19</v>
      </c>
      <c r="K2389" s="3" t="s">
        <v>20</v>
      </c>
      <c r="L2389" s="5" t="s">
        <v>6742</v>
      </c>
    </row>
    <row r="2390" customFormat="false" ht="11.9" hidden="false" customHeight="true" outlineLevel="0" collapsed="false">
      <c r="A2390" s="3" t="str">
        <f aca="false">HYPERLINK("https://www.fabsurplus.com/sdi_catalog/salesItemDetails.do?id=84403")</f>
        <v>https://www.fabsurplus.com/sdi_catalog/salesItemDetails.do?id=84403</v>
      </c>
      <c r="B2390" s="3" t="s">
        <v>6743</v>
      </c>
      <c r="C2390" s="3" t="s">
        <v>6723</v>
      </c>
      <c r="D2390" s="3" t="s">
        <v>6744</v>
      </c>
      <c r="E2390" s="3" t="s">
        <v>6745</v>
      </c>
      <c r="F2390" s="3" t="s">
        <v>16</v>
      </c>
      <c r="G2390" s="3"/>
      <c r="H2390" s="3" t="s">
        <v>18</v>
      </c>
      <c r="I2390" s="3"/>
      <c r="J2390" s="3" t="s">
        <v>19</v>
      </c>
      <c r="K2390" s="3" t="s">
        <v>20</v>
      </c>
      <c r="L2390" s="5" t="s">
        <v>6742</v>
      </c>
    </row>
    <row r="2391" customFormat="false" ht="11.9" hidden="false" customHeight="true" outlineLevel="0" collapsed="false">
      <c r="A2391" s="3" t="str">
        <f aca="false">HYPERLINK("https://www.fabsurplus.com/sdi_catalog/salesItemDetails.do?id=84397")</f>
        <v>https://www.fabsurplus.com/sdi_catalog/salesItemDetails.do?id=84397</v>
      </c>
      <c r="B2391" s="3" t="s">
        <v>6746</v>
      </c>
      <c r="C2391" s="3" t="s">
        <v>6723</v>
      </c>
      <c r="D2391" s="3" t="s">
        <v>6747</v>
      </c>
      <c r="E2391" s="3" t="s">
        <v>6748</v>
      </c>
      <c r="F2391" s="3" t="s">
        <v>77</v>
      </c>
      <c r="G2391" s="3"/>
      <c r="H2391" s="3" t="s">
        <v>18</v>
      </c>
      <c r="I2391" s="3"/>
      <c r="J2391" s="3" t="s">
        <v>19</v>
      </c>
      <c r="K2391" s="3" t="s">
        <v>20</v>
      </c>
      <c r="L2391" s="5" t="s">
        <v>6749</v>
      </c>
    </row>
    <row r="2392" customFormat="false" ht="11.9" hidden="false" customHeight="true" outlineLevel="0" collapsed="false">
      <c r="A2392" s="2" t="str">
        <f aca="false">HYPERLINK("https://www.fabsurplus.com/sdi_catalog/salesItemDetails.do?id=84400")</f>
        <v>https://www.fabsurplus.com/sdi_catalog/salesItemDetails.do?id=84400</v>
      </c>
      <c r="B2392" s="2" t="s">
        <v>6750</v>
      </c>
      <c r="C2392" s="2" t="s">
        <v>6723</v>
      </c>
      <c r="D2392" s="2" t="s">
        <v>6751</v>
      </c>
      <c r="E2392" s="2" t="s">
        <v>6741</v>
      </c>
      <c r="F2392" s="2" t="s">
        <v>16</v>
      </c>
      <c r="G2392" s="2"/>
      <c r="H2392" s="2" t="s">
        <v>18</v>
      </c>
      <c r="I2392" s="2"/>
      <c r="J2392" s="2" t="s">
        <v>19</v>
      </c>
      <c r="K2392" s="2" t="s">
        <v>20</v>
      </c>
      <c r="L2392" s="6" t="s">
        <v>6752</v>
      </c>
    </row>
    <row r="2393" customFormat="false" ht="11.9" hidden="false" customHeight="true" outlineLevel="0" collapsed="false">
      <c r="A2393" s="2" t="str">
        <f aca="false">HYPERLINK("https://www.fabsurplus.com/sdi_catalog/salesItemDetails.do?id=84402")</f>
        <v>https://www.fabsurplus.com/sdi_catalog/salesItemDetails.do?id=84402</v>
      </c>
      <c r="B2393" s="2" t="s">
        <v>6753</v>
      </c>
      <c r="C2393" s="2" t="s">
        <v>6723</v>
      </c>
      <c r="D2393" s="2" t="s">
        <v>6754</v>
      </c>
      <c r="E2393" s="2" t="s">
        <v>6741</v>
      </c>
      <c r="F2393" s="2" t="s">
        <v>16</v>
      </c>
      <c r="G2393" s="2"/>
      <c r="H2393" s="2" t="s">
        <v>18</v>
      </c>
      <c r="I2393" s="2"/>
      <c r="J2393" s="2" t="s">
        <v>19</v>
      </c>
      <c r="K2393" s="2" t="s">
        <v>20</v>
      </c>
      <c r="L2393" s="6" t="s">
        <v>6755</v>
      </c>
    </row>
    <row r="2394" customFormat="false" ht="11.9" hidden="false" customHeight="true" outlineLevel="0" collapsed="false">
      <c r="A2394" s="2" t="str">
        <f aca="false">HYPERLINK("https://www.fabsurplus.com/sdi_catalog/salesItemDetails.do?id=84398")</f>
        <v>https://www.fabsurplus.com/sdi_catalog/salesItemDetails.do?id=84398</v>
      </c>
      <c r="B2394" s="2" t="s">
        <v>6756</v>
      </c>
      <c r="C2394" s="2" t="s">
        <v>6723</v>
      </c>
      <c r="D2394" s="2" t="s">
        <v>6757</v>
      </c>
      <c r="E2394" s="2" t="s">
        <v>6748</v>
      </c>
      <c r="F2394" s="2" t="s">
        <v>77</v>
      </c>
      <c r="G2394" s="2"/>
      <c r="H2394" s="2" t="s">
        <v>18</v>
      </c>
      <c r="I2394" s="2"/>
      <c r="J2394" s="2" t="s">
        <v>19</v>
      </c>
      <c r="K2394" s="2" t="s">
        <v>20</v>
      </c>
      <c r="L2394" s="6" t="s">
        <v>6758</v>
      </c>
    </row>
    <row r="2395" customFormat="false" ht="11.9" hidden="false" customHeight="true" outlineLevel="0" collapsed="false">
      <c r="A2395" s="2" t="str">
        <f aca="false">HYPERLINK("https://www.fabsurplus.com/sdi_catalog/salesItemDetails.do?id=84396")</f>
        <v>https://www.fabsurplus.com/sdi_catalog/salesItemDetails.do?id=84396</v>
      </c>
      <c r="B2395" s="2" t="s">
        <v>6759</v>
      </c>
      <c r="C2395" s="2" t="s">
        <v>6723</v>
      </c>
      <c r="D2395" s="2" t="s">
        <v>6760</v>
      </c>
      <c r="E2395" s="2" t="s">
        <v>6748</v>
      </c>
      <c r="F2395" s="2" t="s">
        <v>16</v>
      </c>
      <c r="G2395" s="2" t="s">
        <v>6761</v>
      </c>
      <c r="H2395" s="2" t="s">
        <v>18</v>
      </c>
      <c r="I2395" s="2"/>
      <c r="J2395" s="2" t="s">
        <v>19</v>
      </c>
      <c r="K2395" s="2" t="s">
        <v>20</v>
      </c>
      <c r="L2395" s="6" t="s">
        <v>6762</v>
      </c>
    </row>
    <row r="2396" customFormat="false" ht="11.9" hidden="false" customHeight="true" outlineLevel="0" collapsed="false">
      <c r="A2396" s="2" t="str">
        <f aca="false">HYPERLINK("https://www.fabsurplus.com/sdi_catalog/salesItemDetails.do?id=84406")</f>
        <v>https://www.fabsurplus.com/sdi_catalog/salesItemDetails.do?id=84406</v>
      </c>
      <c r="B2396" s="2" t="s">
        <v>6763</v>
      </c>
      <c r="C2396" s="2" t="s">
        <v>6723</v>
      </c>
      <c r="D2396" s="2" t="s">
        <v>6764</v>
      </c>
      <c r="E2396" s="2" t="s">
        <v>6741</v>
      </c>
      <c r="F2396" s="2" t="s">
        <v>16</v>
      </c>
      <c r="G2396" s="2"/>
      <c r="H2396" s="2" t="s">
        <v>18</v>
      </c>
      <c r="I2396" s="2"/>
      <c r="J2396" s="2" t="s">
        <v>19</v>
      </c>
      <c r="K2396" s="2" t="s">
        <v>20</v>
      </c>
      <c r="L2396" s="6" t="s">
        <v>6765</v>
      </c>
    </row>
    <row r="2397" customFormat="false" ht="11.9" hidden="false" customHeight="true" outlineLevel="0" collapsed="false">
      <c r="A2397" s="3" t="str">
        <f aca="false">HYPERLINK("https://www.fabsurplus.com/sdi_catalog/salesItemDetails.do?id=84405")</f>
        <v>https://www.fabsurplus.com/sdi_catalog/salesItemDetails.do?id=84405</v>
      </c>
      <c r="B2397" s="3" t="s">
        <v>6766</v>
      </c>
      <c r="C2397" s="3" t="s">
        <v>6723</v>
      </c>
      <c r="D2397" s="3" t="s">
        <v>6767</v>
      </c>
      <c r="E2397" s="3" t="s">
        <v>6768</v>
      </c>
      <c r="F2397" s="3" t="s">
        <v>16</v>
      </c>
      <c r="G2397" s="3"/>
      <c r="H2397" s="3" t="s">
        <v>18</v>
      </c>
      <c r="I2397" s="3"/>
      <c r="J2397" s="3" t="s">
        <v>19</v>
      </c>
      <c r="K2397" s="3" t="s">
        <v>20</v>
      </c>
      <c r="L2397" s="5" t="s">
        <v>6769</v>
      </c>
    </row>
    <row r="2398" customFormat="false" ht="11.9" hidden="false" customHeight="true" outlineLevel="0" collapsed="false">
      <c r="A2398" s="2" t="str">
        <f aca="false">HYPERLINK("https://www.fabsurplus.com/sdi_catalog/salesItemDetails.do?id=13195")</f>
        <v>https://www.fabsurplus.com/sdi_catalog/salesItemDetails.do?id=13195</v>
      </c>
      <c r="B2398" s="2" t="s">
        <v>6770</v>
      </c>
      <c r="C2398" s="2" t="s">
        <v>6723</v>
      </c>
      <c r="D2398" s="2" t="s">
        <v>6771</v>
      </c>
      <c r="E2398" s="2" t="s">
        <v>6772</v>
      </c>
      <c r="F2398" s="2" t="s">
        <v>16</v>
      </c>
      <c r="G2398" s="2"/>
      <c r="H2398" s="2" t="s">
        <v>27</v>
      </c>
      <c r="I2398" s="7" t="n">
        <v>37956</v>
      </c>
      <c r="J2398" s="2"/>
      <c r="K2398" s="2"/>
      <c r="L2398" s="6" t="s">
        <v>6773</v>
      </c>
    </row>
    <row r="2399" customFormat="false" ht="11.9" hidden="false" customHeight="true" outlineLevel="0" collapsed="false">
      <c r="A2399" s="3" t="str">
        <f aca="false">HYPERLINK("https://www.fabsurplus.com/sdi_catalog/salesItemDetails.do?id=83886")</f>
        <v>https://www.fabsurplus.com/sdi_catalog/salesItemDetails.do?id=83886</v>
      </c>
      <c r="B2399" s="3" t="s">
        <v>6774</v>
      </c>
      <c r="C2399" s="3" t="s">
        <v>6723</v>
      </c>
      <c r="D2399" s="3" t="s">
        <v>6775</v>
      </c>
      <c r="E2399" s="3" t="s">
        <v>6725</v>
      </c>
      <c r="F2399" s="3" t="s">
        <v>16</v>
      </c>
      <c r="G2399" s="3"/>
      <c r="H2399" s="3" t="s">
        <v>18</v>
      </c>
      <c r="I2399" s="3"/>
      <c r="J2399" s="3" t="s">
        <v>19</v>
      </c>
      <c r="K2399" s="3" t="s">
        <v>20</v>
      </c>
      <c r="L2399" s="5" t="s">
        <v>6776</v>
      </c>
    </row>
    <row r="2400" customFormat="false" ht="11.9" hidden="false" customHeight="true" outlineLevel="0" collapsed="false">
      <c r="A2400" s="3" t="str">
        <f aca="false">HYPERLINK("https://www.fabsurplus.com/sdi_catalog/salesItemDetails.do?id=21666")</f>
        <v>https://www.fabsurplus.com/sdi_catalog/salesItemDetails.do?id=21666</v>
      </c>
      <c r="B2400" s="3" t="s">
        <v>6777</v>
      </c>
      <c r="C2400" s="3" t="s">
        <v>6778</v>
      </c>
      <c r="D2400" s="3" t="s">
        <v>6779</v>
      </c>
      <c r="E2400" s="3" t="s">
        <v>6780</v>
      </c>
      <c r="F2400" s="3" t="s">
        <v>16</v>
      </c>
      <c r="G2400" s="3" t="s">
        <v>41</v>
      </c>
      <c r="H2400" s="3" t="s">
        <v>35</v>
      </c>
      <c r="I2400" s="4" t="n">
        <v>35096</v>
      </c>
      <c r="J2400" s="3" t="s">
        <v>42</v>
      </c>
      <c r="K2400" s="3" t="s">
        <v>20</v>
      </c>
      <c r="L2400" s="3" t="s">
        <v>6781</v>
      </c>
    </row>
    <row r="2401" customFormat="false" ht="11.9" hidden="false" customHeight="true" outlineLevel="0" collapsed="false">
      <c r="A2401" s="2" t="str">
        <f aca="false">HYPERLINK("https://www.fabsurplus.com/sdi_catalog/salesItemDetails.do?id=21123")</f>
        <v>https://www.fabsurplus.com/sdi_catalog/salesItemDetails.do?id=21123</v>
      </c>
      <c r="B2401" s="2" t="s">
        <v>6782</v>
      </c>
      <c r="C2401" s="2" t="s">
        <v>6783</v>
      </c>
      <c r="D2401" s="2" t="s">
        <v>6784</v>
      </c>
      <c r="E2401" s="2" t="s">
        <v>6785</v>
      </c>
      <c r="F2401" s="2" t="s">
        <v>16</v>
      </c>
      <c r="G2401" s="2" t="s">
        <v>1062</v>
      </c>
      <c r="H2401" s="2" t="s">
        <v>27</v>
      </c>
      <c r="I2401" s="7" t="n">
        <v>33756</v>
      </c>
      <c r="J2401" s="2" t="s">
        <v>19</v>
      </c>
      <c r="K2401" s="2" t="s">
        <v>20</v>
      </c>
      <c r="L2401" s="6" t="s">
        <v>6786</v>
      </c>
    </row>
    <row r="2402" customFormat="false" ht="11.9" hidden="false" customHeight="true" outlineLevel="0" collapsed="false">
      <c r="A2402" s="3" t="str">
        <f aca="false">HYPERLINK("https://www.fabsurplus.com/sdi_catalog/salesItemDetails.do?id=83620")</f>
        <v>https://www.fabsurplus.com/sdi_catalog/salesItemDetails.do?id=83620</v>
      </c>
      <c r="B2402" s="3" t="s">
        <v>6787</v>
      </c>
      <c r="C2402" s="3" t="s">
        <v>6783</v>
      </c>
      <c r="D2402" s="3" t="s">
        <v>6784</v>
      </c>
      <c r="E2402" s="3" t="s">
        <v>6788</v>
      </c>
      <c r="F2402" s="3" t="s">
        <v>16</v>
      </c>
      <c r="G2402" s="3" t="s">
        <v>41</v>
      </c>
      <c r="H2402" s="3" t="s">
        <v>27</v>
      </c>
      <c r="I2402" s="3"/>
      <c r="J2402" s="3" t="s">
        <v>19</v>
      </c>
      <c r="K2402" s="3" t="s">
        <v>20</v>
      </c>
      <c r="L2402" s="5" t="s">
        <v>6789</v>
      </c>
    </row>
    <row r="2403" customFormat="false" ht="11.9" hidden="false" customHeight="true" outlineLevel="0" collapsed="false">
      <c r="A2403" s="2" t="str">
        <f aca="false">HYPERLINK("https://www.fabsurplus.com/sdi_catalog/salesItemDetails.do?id=83809")</f>
        <v>https://www.fabsurplus.com/sdi_catalog/salesItemDetails.do?id=83809</v>
      </c>
      <c r="B2403" s="2" t="s">
        <v>6790</v>
      </c>
      <c r="C2403" s="2" t="s">
        <v>6791</v>
      </c>
      <c r="D2403" s="2" t="s">
        <v>6792</v>
      </c>
      <c r="E2403" s="2" t="s">
        <v>6356</v>
      </c>
      <c r="F2403" s="2" t="s">
        <v>16</v>
      </c>
      <c r="G2403" s="2"/>
      <c r="H2403" s="2" t="s">
        <v>35</v>
      </c>
      <c r="I2403" s="7" t="n">
        <v>34304</v>
      </c>
      <c r="J2403" s="2" t="s">
        <v>19</v>
      </c>
      <c r="K2403" s="2" t="s">
        <v>20</v>
      </c>
      <c r="L2403" s="6" t="s">
        <v>6793</v>
      </c>
    </row>
    <row r="2404" customFormat="false" ht="11.9" hidden="false" customHeight="true" outlineLevel="0" collapsed="false">
      <c r="A2404" s="2" t="str">
        <f aca="false">HYPERLINK("https://www.fabsurplus.com/sdi_catalog/salesItemDetails.do?id=83823")</f>
        <v>https://www.fabsurplus.com/sdi_catalog/salesItemDetails.do?id=83823</v>
      </c>
      <c r="B2404" s="2" t="s">
        <v>6794</v>
      </c>
      <c r="C2404" s="2" t="s">
        <v>6791</v>
      </c>
      <c r="D2404" s="2" t="s">
        <v>6795</v>
      </c>
      <c r="E2404" s="2" t="s">
        <v>6356</v>
      </c>
      <c r="F2404" s="2" t="s">
        <v>16</v>
      </c>
      <c r="G2404" s="2"/>
      <c r="H2404" s="2" t="s">
        <v>27</v>
      </c>
      <c r="I2404" s="2"/>
      <c r="J2404" s="2" t="s">
        <v>19</v>
      </c>
      <c r="K2404" s="2" t="s">
        <v>20</v>
      </c>
      <c r="L2404" s="6" t="s">
        <v>6796</v>
      </c>
    </row>
    <row r="2405" customFormat="false" ht="11.9" hidden="false" customHeight="true" outlineLevel="0" collapsed="false">
      <c r="A2405" s="2" t="str">
        <f aca="false">HYPERLINK("https://www.fabsurplus.com/sdi_catalog/salesItemDetails.do?id=83893")</f>
        <v>https://www.fabsurplus.com/sdi_catalog/salesItemDetails.do?id=83893</v>
      </c>
      <c r="B2405" s="2" t="s">
        <v>6797</v>
      </c>
      <c r="C2405" s="2" t="s">
        <v>6791</v>
      </c>
      <c r="D2405" s="2" t="s">
        <v>6798</v>
      </c>
      <c r="E2405" s="2" t="s">
        <v>6799</v>
      </c>
      <c r="F2405" s="2" t="s">
        <v>16</v>
      </c>
      <c r="G2405" s="2"/>
      <c r="H2405" s="2" t="s">
        <v>27</v>
      </c>
      <c r="I2405" s="2"/>
      <c r="J2405" s="2" t="s">
        <v>19</v>
      </c>
      <c r="K2405" s="2" t="s">
        <v>20</v>
      </c>
      <c r="L2405" s="6" t="s">
        <v>6800</v>
      </c>
    </row>
    <row r="2406" customFormat="false" ht="11.9" hidden="false" customHeight="true" outlineLevel="0" collapsed="false">
      <c r="A2406" s="2" t="str">
        <f aca="false">HYPERLINK("https://www.fabsurplus.com/sdi_catalog/salesItemDetails.do?id=13206")</f>
        <v>https://www.fabsurplus.com/sdi_catalog/salesItemDetails.do?id=13206</v>
      </c>
      <c r="B2406" s="2" t="s">
        <v>6801</v>
      </c>
      <c r="C2406" s="2" t="s">
        <v>6791</v>
      </c>
      <c r="D2406" s="2" t="s">
        <v>6802</v>
      </c>
      <c r="E2406" s="2" t="s">
        <v>6803</v>
      </c>
      <c r="F2406" s="2" t="s">
        <v>16</v>
      </c>
      <c r="G2406" s="2" t="s">
        <v>41</v>
      </c>
      <c r="H2406" s="2" t="s">
        <v>18</v>
      </c>
      <c r="I2406" s="2"/>
      <c r="J2406" s="2" t="s">
        <v>19</v>
      </c>
      <c r="K2406" s="2" t="s">
        <v>20</v>
      </c>
      <c r="L2406" s="2" t="s">
        <v>6804</v>
      </c>
    </row>
    <row r="2407" customFormat="false" ht="11.9" hidden="false" customHeight="true" outlineLevel="0" collapsed="false">
      <c r="A2407" s="3" t="str">
        <f aca="false">HYPERLINK("https://www.fabsurplus.com/sdi_catalog/salesItemDetails.do?id=83629")</f>
        <v>https://www.fabsurplus.com/sdi_catalog/salesItemDetails.do?id=83629</v>
      </c>
      <c r="B2407" s="3" t="s">
        <v>6805</v>
      </c>
      <c r="C2407" s="3" t="s">
        <v>6791</v>
      </c>
      <c r="D2407" s="3" t="s">
        <v>6806</v>
      </c>
      <c r="E2407" s="3" t="s">
        <v>6807</v>
      </c>
      <c r="F2407" s="3" t="s">
        <v>16</v>
      </c>
      <c r="G2407" s="3" t="s">
        <v>41</v>
      </c>
      <c r="H2407" s="3" t="s">
        <v>18</v>
      </c>
      <c r="I2407" s="3"/>
      <c r="J2407" s="3" t="s">
        <v>19</v>
      </c>
      <c r="K2407" s="3" t="s">
        <v>20</v>
      </c>
      <c r="L2407" s="5" t="s">
        <v>6808</v>
      </c>
    </row>
    <row r="2408" customFormat="false" ht="11.9" hidden="false" customHeight="true" outlineLevel="0" collapsed="false">
      <c r="A2408" s="3" t="str">
        <f aca="false">HYPERLINK("https://www.fabsurplus.com/sdi_catalog/salesItemDetails.do?id=83808")</f>
        <v>https://www.fabsurplus.com/sdi_catalog/salesItemDetails.do?id=83808</v>
      </c>
      <c r="B2408" s="3" t="s">
        <v>6809</v>
      </c>
      <c r="C2408" s="3" t="s">
        <v>6791</v>
      </c>
      <c r="D2408" s="3" t="s">
        <v>6810</v>
      </c>
      <c r="E2408" s="3" t="s">
        <v>6356</v>
      </c>
      <c r="F2408" s="3" t="s">
        <v>16</v>
      </c>
      <c r="G2408" s="3"/>
      <c r="H2408" s="3" t="s">
        <v>27</v>
      </c>
      <c r="I2408" s="3"/>
      <c r="J2408" s="3" t="s">
        <v>19</v>
      </c>
      <c r="K2408" s="3" t="s">
        <v>20</v>
      </c>
      <c r="L2408" s="5" t="s">
        <v>6811</v>
      </c>
    </row>
    <row r="2409" customFormat="false" ht="11.9" hidden="false" customHeight="true" outlineLevel="0" collapsed="false">
      <c r="A2409" s="2" t="str">
        <f aca="false">HYPERLINK("https://www.fabsurplus.com/sdi_catalog/salesItemDetails.do?id=13014")</f>
        <v>https://www.fabsurplus.com/sdi_catalog/salesItemDetails.do?id=13014</v>
      </c>
      <c r="B2409" s="2" t="s">
        <v>6812</v>
      </c>
      <c r="C2409" s="2" t="s">
        <v>6813</v>
      </c>
      <c r="D2409" s="2" t="s">
        <v>6814</v>
      </c>
      <c r="E2409" s="2" t="s">
        <v>6815</v>
      </c>
      <c r="F2409" s="2" t="s">
        <v>16</v>
      </c>
      <c r="G2409" s="2" t="s">
        <v>26</v>
      </c>
      <c r="H2409" s="2" t="s">
        <v>18</v>
      </c>
      <c r="I2409" s="7" t="n">
        <v>36678</v>
      </c>
      <c r="J2409" s="2" t="s">
        <v>19</v>
      </c>
      <c r="K2409" s="2"/>
      <c r="L2409" s="6" t="s">
        <v>6816</v>
      </c>
    </row>
    <row r="2410" customFormat="false" ht="11.9" hidden="false" customHeight="true" outlineLevel="0" collapsed="false">
      <c r="A2410" s="3" t="str">
        <f aca="false">HYPERLINK("https://www.fabsurplus.com/sdi_catalog/salesItemDetails.do?id=15900")</f>
        <v>https://www.fabsurplus.com/sdi_catalog/salesItemDetails.do?id=15900</v>
      </c>
      <c r="B2410" s="3" t="s">
        <v>6817</v>
      </c>
      <c r="C2410" s="3" t="s">
        <v>6791</v>
      </c>
      <c r="D2410" s="3" t="s">
        <v>6818</v>
      </c>
      <c r="E2410" s="3" t="s">
        <v>6353</v>
      </c>
      <c r="F2410" s="3" t="s">
        <v>77</v>
      </c>
      <c r="G2410" s="3"/>
      <c r="H2410" s="3" t="s">
        <v>27</v>
      </c>
      <c r="I2410" s="3"/>
      <c r="J2410" s="3" t="s">
        <v>19</v>
      </c>
      <c r="K2410" s="3" t="s">
        <v>20</v>
      </c>
      <c r="L2410" s="5" t="s">
        <v>6819</v>
      </c>
    </row>
    <row r="2411" customFormat="false" ht="11.9" hidden="false" customHeight="true" outlineLevel="0" collapsed="false">
      <c r="A2411" s="2" t="str">
        <f aca="false">HYPERLINK("https://www.fabsurplus.com/sdi_catalog/salesItemDetails.do?id=83805")</f>
        <v>https://www.fabsurplus.com/sdi_catalog/salesItemDetails.do?id=83805</v>
      </c>
      <c r="B2411" s="2" t="s">
        <v>6820</v>
      </c>
      <c r="C2411" s="2" t="s">
        <v>6791</v>
      </c>
      <c r="D2411" s="2" t="s">
        <v>6821</v>
      </c>
      <c r="E2411" s="2"/>
      <c r="F2411" s="2" t="s">
        <v>16</v>
      </c>
      <c r="G2411" s="2" t="s">
        <v>6822</v>
      </c>
      <c r="H2411" s="2" t="s">
        <v>18</v>
      </c>
      <c r="I2411" s="2"/>
      <c r="J2411" s="2" t="s">
        <v>19</v>
      </c>
      <c r="K2411" s="2" t="s">
        <v>20</v>
      </c>
      <c r="L2411" s="6" t="s">
        <v>6823</v>
      </c>
    </row>
    <row r="2412" customFormat="false" ht="11.9" hidden="false" customHeight="true" outlineLevel="0" collapsed="false">
      <c r="A2412" s="3" t="str">
        <f aca="false">HYPERLINK("https://www.fabsurplus.com/sdi_catalog/salesItemDetails.do?id=83806")</f>
        <v>https://www.fabsurplus.com/sdi_catalog/salesItemDetails.do?id=83806</v>
      </c>
      <c r="B2412" s="3" t="s">
        <v>6824</v>
      </c>
      <c r="C2412" s="3" t="s">
        <v>6791</v>
      </c>
      <c r="D2412" s="3" t="s">
        <v>6825</v>
      </c>
      <c r="E2412" s="3"/>
      <c r="F2412" s="3" t="s">
        <v>16</v>
      </c>
      <c r="G2412" s="3"/>
      <c r="H2412" s="3" t="s">
        <v>18</v>
      </c>
      <c r="I2412" s="3"/>
      <c r="J2412" s="3" t="s">
        <v>19</v>
      </c>
      <c r="K2412" s="3" t="s">
        <v>20</v>
      </c>
      <c r="L2412" s="5" t="s">
        <v>6826</v>
      </c>
    </row>
    <row r="2413" customFormat="false" ht="11.9" hidden="false" customHeight="true" outlineLevel="0" collapsed="false">
      <c r="A2413" s="3" t="str">
        <f aca="false">HYPERLINK("https://www.fabsurplus.com/sdi_catalog/salesItemDetails.do?id=83825")</f>
        <v>https://www.fabsurplus.com/sdi_catalog/salesItemDetails.do?id=83825</v>
      </c>
      <c r="B2413" s="3" t="s">
        <v>6827</v>
      </c>
      <c r="C2413" s="3" t="s">
        <v>6791</v>
      </c>
      <c r="D2413" s="3" t="s">
        <v>6828</v>
      </c>
      <c r="E2413" s="3" t="s">
        <v>6829</v>
      </c>
      <c r="F2413" s="3" t="s">
        <v>16</v>
      </c>
      <c r="G2413" s="3"/>
      <c r="H2413" s="3" t="s">
        <v>27</v>
      </c>
      <c r="I2413" s="3"/>
      <c r="J2413" s="3" t="s">
        <v>19</v>
      </c>
      <c r="K2413" s="3" t="s">
        <v>20</v>
      </c>
      <c r="L2413" s="5" t="s">
        <v>6830</v>
      </c>
    </row>
    <row r="2414" customFormat="false" ht="11.9" hidden="false" customHeight="true" outlineLevel="0" collapsed="false">
      <c r="A2414" s="2" t="str">
        <f aca="false">HYPERLINK("https://www.fabsurplus.com/sdi_catalog/salesItemDetails.do?id=83807")</f>
        <v>https://www.fabsurplus.com/sdi_catalog/salesItemDetails.do?id=83807</v>
      </c>
      <c r="B2414" s="2" t="s">
        <v>6831</v>
      </c>
      <c r="C2414" s="2" t="s">
        <v>6791</v>
      </c>
      <c r="D2414" s="2" t="s">
        <v>6832</v>
      </c>
      <c r="E2414" s="2"/>
      <c r="F2414" s="2" t="s">
        <v>77</v>
      </c>
      <c r="G2414" s="2"/>
      <c r="H2414" s="2" t="s">
        <v>27</v>
      </c>
      <c r="I2414" s="2"/>
      <c r="J2414" s="2" t="s">
        <v>19</v>
      </c>
      <c r="K2414" s="2" t="s">
        <v>20</v>
      </c>
      <c r="L2414" s="6" t="s">
        <v>6833</v>
      </c>
    </row>
    <row r="2415" customFormat="false" ht="11.9" hidden="false" customHeight="true" outlineLevel="0" collapsed="false">
      <c r="A2415" s="2" t="str">
        <f aca="false">HYPERLINK("https://www.fabsurplus.com/sdi_catalog/salesItemDetails.do?id=83834")</f>
        <v>https://www.fabsurplus.com/sdi_catalog/salesItemDetails.do?id=83834</v>
      </c>
      <c r="B2415" s="2" t="s">
        <v>6834</v>
      </c>
      <c r="C2415" s="2" t="s">
        <v>6791</v>
      </c>
      <c r="D2415" s="2" t="s">
        <v>6835</v>
      </c>
      <c r="E2415" s="2" t="s">
        <v>6836</v>
      </c>
      <c r="F2415" s="2" t="s">
        <v>16</v>
      </c>
      <c r="G2415" s="2" t="s">
        <v>41</v>
      </c>
      <c r="H2415" s="2" t="s">
        <v>27</v>
      </c>
      <c r="I2415" s="2"/>
      <c r="J2415" s="2" t="s">
        <v>19</v>
      </c>
      <c r="K2415" s="2" t="s">
        <v>20</v>
      </c>
      <c r="L2415" s="6" t="s">
        <v>6837</v>
      </c>
    </row>
    <row r="2416" customFormat="false" ht="11.9" hidden="false" customHeight="true" outlineLevel="0" collapsed="false">
      <c r="A2416" s="3" t="str">
        <f aca="false">HYPERLINK("https://www.fabsurplus.com/sdi_catalog/salesItemDetails.do?id=13066")</f>
        <v>https://www.fabsurplus.com/sdi_catalog/salesItemDetails.do?id=13066</v>
      </c>
      <c r="B2416" s="3" t="s">
        <v>6838</v>
      </c>
      <c r="C2416" s="3" t="s">
        <v>6791</v>
      </c>
      <c r="D2416" s="3" t="s">
        <v>6839</v>
      </c>
      <c r="E2416" s="3" t="s">
        <v>6840</v>
      </c>
      <c r="F2416" s="3" t="s">
        <v>262</v>
      </c>
      <c r="G2416" s="3"/>
      <c r="H2416" s="3" t="s">
        <v>27</v>
      </c>
      <c r="I2416" s="3"/>
      <c r="J2416" s="3" t="s">
        <v>19</v>
      </c>
      <c r="K2416" s="3" t="s">
        <v>20</v>
      </c>
      <c r="L2416" s="5" t="s">
        <v>6841</v>
      </c>
    </row>
    <row r="2417" customFormat="false" ht="11.9" hidden="false" customHeight="true" outlineLevel="0" collapsed="false">
      <c r="A2417" s="3" t="str">
        <f aca="false">HYPERLINK("https://www.fabsurplus.com/sdi_catalog/salesItemDetails.do?id=83875")</f>
        <v>https://www.fabsurplus.com/sdi_catalog/salesItemDetails.do?id=83875</v>
      </c>
      <c r="B2417" s="3" t="s">
        <v>6842</v>
      </c>
      <c r="C2417" s="3" t="s">
        <v>6791</v>
      </c>
      <c r="D2417" s="3" t="s">
        <v>6843</v>
      </c>
      <c r="E2417" s="3" t="s">
        <v>6844</v>
      </c>
      <c r="F2417" s="3" t="s">
        <v>16</v>
      </c>
      <c r="G2417" s="3" t="s">
        <v>41</v>
      </c>
      <c r="H2417" s="3" t="s">
        <v>18</v>
      </c>
      <c r="I2417" s="3"/>
      <c r="J2417" s="3" t="s">
        <v>19</v>
      </c>
      <c r="K2417" s="3" t="s">
        <v>20</v>
      </c>
      <c r="L2417" s="5" t="s">
        <v>6845</v>
      </c>
    </row>
    <row r="2418" customFormat="false" ht="11.9" hidden="false" customHeight="true" outlineLevel="0" collapsed="false">
      <c r="A2418" s="2" t="str">
        <f aca="false">HYPERLINK("https://www.fabsurplus.com/sdi_catalog/salesItemDetails.do?id=69817")</f>
        <v>https://www.fabsurplus.com/sdi_catalog/salesItemDetails.do?id=69817</v>
      </c>
      <c r="B2418" s="2" t="s">
        <v>6846</v>
      </c>
      <c r="C2418" s="2" t="s">
        <v>6813</v>
      </c>
      <c r="D2418" s="2" t="s">
        <v>6847</v>
      </c>
      <c r="E2418" s="2" t="s">
        <v>6848</v>
      </c>
      <c r="F2418" s="2" t="s">
        <v>16</v>
      </c>
      <c r="G2418" s="2" t="s">
        <v>26</v>
      </c>
      <c r="H2418" s="2" t="s">
        <v>18</v>
      </c>
      <c r="I2418" s="7" t="n">
        <v>35217</v>
      </c>
      <c r="J2418" s="2" t="s">
        <v>19</v>
      </c>
      <c r="K2418" s="2" t="s">
        <v>20</v>
      </c>
      <c r="L2418" s="6" t="s">
        <v>6849</v>
      </c>
    </row>
    <row r="2419" customFormat="false" ht="11.9" hidden="false" customHeight="true" outlineLevel="0" collapsed="false">
      <c r="A2419" s="3" t="str">
        <f aca="false">HYPERLINK("https://www.fabsurplus.com/sdi_catalog/salesItemDetails.do?id=83811")</f>
        <v>https://www.fabsurplus.com/sdi_catalog/salesItemDetails.do?id=83811</v>
      </c>
      <c r="B2419" s="3" t="s">
        <v>6850</v>
      </c>
      <c r="C2419" s="3" t="s">
        <v>6791</v>
      </c>
      <c r="D2419" s="3" t="s">
        <v>6851</v>
      </c>
      <c r="E2419" s="3" t="s">
        <v>6852</v>
      </c>
      <c r="F2419" s="3" t="s">
        <v>16</v>
      </c>
      <c r="G2419" s="3"/>
      <c r="H2419" s="3" t="s">
        <v>27</v>
      </c>
      <c r="I2419" s="3"/>
      <c r="J2419" s="3" t="s">
        <v>19</v>
      </c>
      <c r="K2419" s="3" t="s">
        <v>20</v>
      </c>
      <c r="L2419" s="5" t="s">
        <v>6853</v>
      </c>
    </row>
    <row r="2420" customFormat="false" ht="11.9" hidden="false" customHeight="true" outlineLevel="0" collapsed="false">
      <c r="A2420" s="3" t="str">
        <f aca="false">HYPERLINK("https://www.fabsurplus.com/sdi_catalog/salesItemDetails.do?id=110358")</f>
        <v>https://www.fabsurplus.com/sdi_catalog/salesItemDetails.do?id=110358</v>
      </c>
      <c r="B2420" s="3" t="s">
        <v>6854</v>
      </c>
      <c r="C2420" s="3" t="s">
        <v>6855</v>
      </c>
      <c r="D2420" s="3" t="s">
        <v>6856</v>
      </c>
      <c r="E2420" s="3" t="s">
        <v>133</v>
      </c>
      <c r="F2420" s="3" t="s">
        <v>16</v>
      </c>
      <c r="G2420" s="3" t="s">
        <v>41</v>
      </c>
      <c r="H2420" s="3"/>
      <c r="I2420" s="3"/>
      <c r="J2420" s="3" t="s">
        <v>42</v>
      </c>
      <c r="K2420" s="3"/>
      <c r="L2420" s="3" t="s">
        <v>6857</v>
      </c>
    </row>
    <row r="2421" customFormat="false" ht="11.9" hidden="false" customHeight="true" outlineLevel="0" collapsed="false">
      <c r="A2421" s="2" t="str">
        <f aca="false">HYPERLINK("https://www.fabsurplus.com/sdi_catalog/salesItemDetails.do?id=83908")</f>
        <v>https://www.fabsurplus.com/sdi_catalog/salesItemDetails.do?id=83908</v>
      </c>
      <c r="B2421" s="2" t="s">
        <v>6858</v>
      </c>
      <c r="C2421" s="2" t="s">
        <v>6859</v>
      </c>
      <c r="D2421" s="2" t="s">
        <v>6860</v>
      </c>
      <c r="E2421" s="2" t="s">
        <v>6861</v>
      </c>
      <c r="F2421" s="2" t="s">
        <v>16</v>
      </c>
      <c r="G2421" s="2"/>
      <c r="H2421" s="2" t="s">
        <v>883</v>
      </c>
      <c r="I2421" s="2"/>
      <c r="J2421" s="2" t="s">
        <v>19</v>
      </c>
      <c r="K2421" s="2" t="s">
        <v>20</v>
      </c>
      <c r="L2421" s="6" t="s">
        <v>6862</v>
      </c>
    </row>
    <row r="2422" customFormat="false" ht="11.9" hidden="false" customHeight="true" outlineLevel="0" collapsed="false">
      <c r="A2422" s="3" t="str">
        <f aca="false">HYPERLINK("https://www.fabsurplus.com/sdi_catalog/salesItemDetails.do?id=80259")</f>
        <v>https://www.fabsurplus.com/sdi_catalog/salesItemDetails.do?id=80259</v>
      </c>
      <c r="B2422" s="3" t="s">
        <v>6863</v>
      </c>
      <c r="C2422" s="3" t="s">
        <v>6859</v>
      </c>
      <c r="D2422" s="3" t="s">
        <v>6860</v>
      </c>
      <c r="E2422" s="3" t="s">
        <v>6864</v>
      </c>
      <c r="F2422" s="3" t="s">
        <v>199</v>
      </c>
      <c r="G2422" s="3"/>
      <c r="H2422" s="3" t="s">
        <v>27</v>
      </c>
      <c r="I2422" s="3"/>
      <c r="J2422" s="3" t="s">
        <v>19</v>
      </c>
      <c r="K2422" s="3" t="s">
        <v>20</v>
      </c>
      <c r="L2422" s="3"/>
    </row>
    <row r="2423" customFormat="false" ht="11.9" hidden="false" customHeight="true" outlineLevel="0" collapsed="false">
      <c r="A2423" s="3" t="str">
        <f aca="false">HYPERLINK("https://www.fabsurplus.com/sdi_catalog/salesItemDetails.do?id=77202")</f>
        <v>https://www.fabsurplus.com/sdi_catalog/salesItemDetails.do?id=77202</v>
      </c>
      <c r="B2423" s="3" t="s">
        <v>6865</v>
      </c>
      <c r="C2423" s="3" t="s">
        <v>6866</v>
      </c>
      <c r="D2423" s="3" t="s">
        <v>6867</v>
      </c>
      <c r="E2423" s="3" t="s">
        <v>6868</v>
      </c>
      <c r="F2423" s="3" t="s">
        <v>16</v>
      </c>
      <c r="G2423" s="3" t="s">
        <v>17</v>
      </c>
      <c r="H2423" s="3" t="s">
        <v>1691</v>
      </c>
      <c r="I2423" s="4" t="n">
        <v>39783</v>
      </c>
      <c r="J2423" s="3" t="s">
        <v>19</v>
      </c>
      <c r="K2423" s="3" t="s">
        <v>20</v>
      </c>
      <c r="L2423" s="5" t="s">
        <v>6869</v>
      </c>
    </row>
    <row r="2424" customFormat="false" ht="11.9" hidden="false" customHeight="true" outlineLevel="0" collapsed="false">
      <c r="A2424" s="2" t="str">
        <f aca="false">HYPERLINK("https://www.fabsurplus.com/sdi_catalog/salesItemDetails.do?id=83824")</f>
        <v>https://www.fabsurplus.com/sdi_catalog/salesItemDetails.do?id=83824</v>
      </c>
      <c r="B2424" s="2" t="s">
        <v>6870</v>
      </c>
      <c r="C2424" s="2" t="s">
        <v>6871</v>
      </c>
      <c r="D2424" s="2" t="s">
        <v>6872</v>
      </c>
      <c r="E2424" s="2" t="s">
        <v>6873</v>
      </c>
      <c r="F2424" s="2" t="s">
        <v>16</v>
      </c>
      <c r="G2424" s="2" t="s">
        <v>41</v>
      </c>
      <c r="H2424" s="2" t="s">
        <v>27</v>
      </c>
      <c r="I2424" s="2"/>
      <c r="J2424" s="2" t="s">
        <v>19</v>
      </c>
      <c r="K2424" s="2" t="s">
        <v>20</v>
      </c>
      <c r="L2424" s="6" t="s">
        <v>6874</v>
      </c>
    </row>
    <row r="2425" customFormat="false" ht="11.9" hidden="false" customHeight="true" outlineLevel="0" collapsed="false">
      <c r="A2425" s="3" t="str">
        <f aca="false">HYPERLINK("https://www.fabsurplus.com/sdi_catalog/salesItemDetails.do?id=83838")</f>
        <v>https://www.fabsurplus.com/sdi_catalog/salesItemDetails.do?id=83838</v>
      </c>
      <c r="B2425" s="3" t="s">
        <v>6875</v>
      </c>
      <c r="C2425" s="3" t="s">
        <v>6876</v>
      </c>
      <c r="D2425" s="3" t="s">
        <v>6877</v>
      </c>
      <c r="E2425" s="3" t="s">
        <v>6878</v>
      </c>
      <c r="F2425" s="3" t="s">
        <v>889</v>
      </c>
      <c r="G2425" s="3" t="s">
        <v>26</v>
      </c>
      <c r="H2425" s="3" t="s">
        <v>1691</v>
      </c>
      <c r="I2425" s="3"/>
      <c r="J2425" s="3" t="s">
        <v>19</v>
      </c>
      <c r="K2425" s="3" t="s">
        <v>20</v>
      </c>
      <c r="L2425" s="5" t="s">
        <v>6879</v>
      </c>
    </row>
    <row r="2426" customFormat="false" ht="11.9" hidden="false" customHeight="true" outlineLevel="0" collapsed="false">
      <c r="A2426" s="2" t="str">
        <f aca="false">HYPERLINK("https://www.fabsurplus.com/sdi_catalog/salesItemDetails.do?id=84058")</f>
        <v>https://www.fabsurplus.com/sdi_catalog/salesItemDetails.do?id=84058</v>
      </c>
      <c r="B2426" s="2" t="s">
        <v>6880</v>
      </c>
      <c r="C2426" s="2" t="s">
        <v>6881</v>
      </c>
      <c r="D2426" s="2" t="s">
        <v>6882</v>
      </c>
      <c r="E2426" s="2" t="s">
        <v>6883</v>
      </c>
      <c r="F2426" s="2" t="s">
        <v>16</v>
      </c>
      <c r="G2426" s="2"/>
      <c r="H2426" s="2" t="s">
        <v>944</v>
      </c>
      <c r="I2426" s="2"/>
      <c r="J2426" s="2"/>
      <c r="K2426" s="2" t="s">
        <v>20</v>
      </c>
      <c r="L2426" s="6" t="s">
        <v>6884</v>
      </c>
    </row>
    <row r="2427" customFormat="false" ht="11.9" hidden="false" customHeight="true" outlineLevel="0" collapsed="false">
      <c r="A2427" s="2" t="str">
        <f aca="false">HYPERLINK("https://www.fabsurplus.com/sdi_catalog/salesItemDetails.do?id=115373")</f>
        <v>https://www.fabsurplus.com/sdi_catalog/salesItemDetails.do?id=115373</v>
      </c>
      <c r="B2427" s="2" t="s">
        <v>6885</v>
      </c>
      <c r="C2427" s="2" t="s">
        <v>6886</v>
      </c>
      <c r="D2427" s="2" t="s">
        <v>6887</v>
      </c>
      <c r="E2427" s="2" t="s">
        <v>6888</v>
      </c>
      <c r="F2427" s="2" t="s">
        <v>16</v>
      </c>
      <c r="G2427" s="2" t="s">
        <v>26</v>
      </c>
      <c r="H2427" s="2"/>
      <c r="I2427" s="2"/>
      <c r="J2427" s="2" t="s">
        <v>19</v>
      </c>
      <c r="K2427" s="2"/>
      <c r="L2427" s="2" t="s">
        <v>63</v>
      </c>
    </row>
    <row r="2428" customFormat="false" ht="11.9" hidden="false" customHeight="true" outlineLevel="0" collapsed="false">
      <c r="A2428" s="2" t="str">
        <f aca="false">HYPERLINK("https://www.fabsurplus.com/sdi_catalog/salesItemDetails.do?id=115379")</f>
        <v>https://www.fabsurplus.com/sdi_catalog/salesItemDetails.do?id=115379</v>
      </c>
      <c r="B2428" s="2" t="s">
        <v>6889</v>
      </c>
      <c r="C2428" s="2" t="s">
        <v>6886</v>
      </c>
      <c r="D2428" s="2" t="s">
        <v>6890</v>
      </c>
      <c r="E2428" s="2" t="s">
        <v>4641</v>
      </c>
      <c r="F2428" s="2" t="s">
        <v>101</v>
      </c>
      <c r="G2428" s="2" t="s">
        <v>26</v>
      </c>
      <c r="H2428" s="2"/>
      <c r="I2428" s="2"/>
      <c r="J2428" s="2" t="s">
        <v>19</v>
      </c>
      <c r="K2428" s="2"/>
      <c r="L2428" s="2" t="s">
        <v>63</v>
      </c>
    </row>
    <row r="2429" customFormat="false" ht="11.9" hidden="false" customHeight="true" outlineLevel="0" collapsed="false">
      <c r="A2429" s="3" t="str">
        <f aca="false">HYPERLINK("https://www.fabsurplus.com/sdi_catalog/salesItemDetails.do?id=115378")</f>
        <v>https://www.fabsurplus.com/sdi_catalog/salesItemDetails.do?id=115378</v>
      </c>
      <c r="B2429" s="3" t="s">
        <v>6891</v>
      </c>
      <c r="C2429" s="3" t="s">
        <v>6886</v>
      </c>
      <c r="D2429" s="3" t="s">
        <v>6890</v>
      </c>
      <c r="E2429" s="3" t="s">
        <v>4641</v>
      </c>
      <c r="F2429" s="3" t="s">
        <v>5109</v>
      </c>
      <c r="G2429" s="3" t="s">
        <v>26</v>
      </c>
      <c r="H2429" s="3"/>
      <c r="I2429" s="3"/>
      <c r="J2429" s="3" t="s">
        <v>19</v>
      </c>
      <c r="K2429" s="3"/>
      <c r="L2429" s="3" t="s">
        <v>63</v>
      </c>
    </row>
    <row r="2430" customFormat="false" ht="11.9" hidden="false" customHeight="true" outlineLevel="0" collapsed="false">
      <c r="A2430" s="2" t="str">
        <f aca="false">HYPERLINK("https://www.fabsurplus.com/sdi_catalog/salesItemDetails.do?id=115377")</f>
        <v>https://www.fabsurplus.com/sdi_catalog/salesItemDetails.do?id=115377</v>
      </c>
      <c r="B2430" s="2" t="s">
        <v>6892</v>
      </c>
      <c r="C2430" s="2" t="s">
        <v>6886</v>
      </c>
      <c r="D2430" s="2" t="s">
        <v>6890</v>
      </c>
      <c r="E2430" s="2" t="s">
        <v>4641</v>
      </c>
      <c r="F2430" s="2" t="s">
        <v>5714</v>
      </c>
      <c r="G2430" s="2" t="s">
        <v>26</v>
      </c>
      <c r="H2430" s="2"/>
      <c r="I2430" s="2"/>
      <c r="J2430" s="2" t="s">
        <v>19</v>
      </c>
      <c r="K2430" s="2"/>
      <c r="L2430" s="2" t="s">
        <v>63</v>
      </c>
    </row>
    <row r="2431" customFormat="false" ht="11.9" hidden="false" customHeight="true" outlineLevel="0" collapsed="false">
      <c r="A2431" s="3" t="str">
        <f aca="false">HYPERLINK("https://www.fabsurplus.com/sdi_catalog/salesItemDetails.do?id=115376")</f>
        <v>https://www.fabsurplus.com/sdi_catalog/salesItemDetails.do?id=115376</v>
      </c>
      <c r="B2431" s="3" t="s">
        <v>6893</v>
      </c>
      <c r="C2431" s="3" t="s">
        <v>6886</v>
      </c>
      <c r="D2431" s="3" t="s">
        <v>6890</v>
      </c>
      <c r="E2431" s="3" t="s">
        <v>4641</v>
      </c>
      <c r="F2431" s="3" t="s">
        <v>6894</v>
      </c>
      <c r="G2431" s="3" t="s">
        <v>26</v>
      </c>
      <c r="H2431" s="3"/>
      <c r="I2431" s="3"/>
      <c r="J2431" s="3" t="s">
        <v>19</v>
      </c>
      <c r="K2431" s="3"/>
      <c r="L2431" s="3" t="s">
        <v>63</v>
      </c>
    </row>
    <row r="2432" customFormat="false" ht="11.9" hidden="false" customHeight="true" outlineLevel="0" collapsed="false">
      <c r="A2432" s="2" t="str">
        <f aca="false">HYPERLINK("https://www.fabsurplus.com/sdi_catalog/salesItemDetails.do?id=115375")</f>
        <v>https://www.fabsurplus.com/sdi_catalog/salesItemDetails.do?id=115375</v>
      </c>
      <c r="B2432" s="2" t="s">
        <v>6895</v>
      </c>
      <c r="C2432" s="2" t="s">
        <v>6886</v>
      </c>
      <c r="D2432" s="2" t="s">
        <v>6890</v>
      </c>
      <c r="E2432" s="2" t="s">
        <v>4641</v>
      </c>
      <c r="F2432" s="2" t="s">
        <v>6894</v>
      </c>
      <c r="G2432" s="2" t="s">
        <v>26</v>
      </c>
      <c r="H2432" s="2"/>
      <c r="I2432" s="2"/>
      <c r="J2432" s="2" t="s">
        <v>19</v>
      </c>
      <c r="K2432" s="2"/>
      <c r="L2432" s="2" t="s">
        <v>63</v>
      </c>
    </row>
    <row r="2433" customFormat="false" ht="11.9" hidden="false" customHeight="true" outlineLevel="0" collapsed="false">
      <c r="A2433" s="3" t="str">
        <f aca="false">HYPERLINK("https://www.fabsurplus.com/sdi_catalog/salesItemDetails.do?id=115374")</f>
        <v>https://www.fabsurplus.com/sdi_catalog/salesItemDetails.do?id=115374</v>
      </c>
      <c r="B2433" s="3" t="s">
        <v>6896</v>
      </c>
      <c r="C2433" s="3" t="s">
        <v>6886</v>
      </c>
      <c r="D2433" s="3" t="s">
        <v>6890</v>
      </c>
      <c r="E2433" s="3" t="s">
        <v>4641</v>
      </c>
      <c r="F2433" s="3" t="s">
        <v>6894</v>
      </c>
      <c r="G2433" s="3" t="s">
        <v>26</v>
      </c>
      <c r="H2433" s="3"/>
      <c r="I2433" s="3"/>
      <c r="J2433" s="3" t="s">
        <v>19</v>
      </c>
      <c r="K2433" s="3"/>
      <c r="L2433" s="3" t="s">
        <v>63</v>
      </c>
    </row>
    <row r="2434" customFormat="false" ht="11.9" hidden="false" customHeight="true" outlineLevel="0" collapsed="false">
      <c r="A2434" s="3" t="str">
        <f aca="false">HYPERLINK("https://www.fabsurplus.com/sdi_catalog/salesItemDetails.do?id=84232")</f>
        <v>https://www.fabsurplus.com/sdi_catalog/salesItemDetails.do?id=84232</v>
      </c>
      <c r="B2434" s="3" t="s">
        <v>6897</v>
      </c>
      <c r="C2434" s="3" t="s">
        <v>6898</v>
      </c>
      <c r="D2434" s="3" t="s">
        <v>6899</v>
      </c>
      <c r="E2434" s="3" t="s">
        <v>6900</v>
      </c>
      <c r="F2434" s="3" t="s">
        <v>16</v>
      </c>
      <c r="G2434" s="3" t="s">
        <v>26</v>
      </c>
      <c r="H2434" s="3" t="s">
        <v>35</v>
      </c>
      <c r="I2434" s="3"/>
      <c r="J2434" s="3" t="s">
        <v>19</v>
      </c>
      <c r="K2434" s="3" t="s">
        <v>20</v>
      </c>
      <c r="L2434" s="3" t="s">
        <v>6901</v>
      </c>
    </row>
    <row r="2435" customFormat="false" ht="11.9" hidden="false" customHeight="true" outlineLevel="0" collapsed="false">
      <c r="A2435" s="2" t="str">
        <f aca="false">HYPERLINK("https://www.fabsurplus.com/sdi_catalog/salesItemDetails.do?id=84234")</f>
        <v>https://www.fabsurplus.com/sdi_catalog/salesItemDetails.do?id=84234</v>
      </c>
      <c r="B2435" s="2" t="s">
        <v>6902</v>
      </c>
      <c r="C2435" s="2" t="s">
        <v>6903</v>
      </c>
      <c r="D2435" s="2" t="s">
        <v>6904</v>
      </c>
      <c r="E2435" s="2" t="s">
        <v>6905</v>
      </c>
      <c r="F2435" s="2" t="s">
        <v>16</v>
      </c>
      <c r="G2435" s="2" t="s">
        <v>26</v>
      </c>
      <c r="H2435" s="2" t="s">
        <v>35</v>
      </c>
      <c r="I2435" s="2"/>
      <c r="J2435" s="2" t="s">
        <v>19</v>
      </c>
      <c r="K2435" s="2" t="s">
        <v>20</v>
      </c>
      <c r="L2435" s="2" t="s">
        <v>6906</v>
      </c>
    </row>
    <row r="2436" customFormat="false" ht="11.9" hidden="false" customHeight="true" outlineLevel="0" collapsed="false">
      <c r="A2436" s="3" t="str">
        <f aca="false">HYPERLINK("https://www.fabsurplus.com/sdi_catalog/salesItemDetails.do?id=84073")</f>
        <v>https://www.fabsurplus.com/sdi_catalog/salesItemDetails.do?id=84073</v>
      </c>
      <c r="B2436" s="3" t="s">
        <v>6907</v>
      </c>
      <c r="C2436" s="3" t="s">
        <v>6908</v>
      </c>
      <c r="D2436" s="3" t="s">
        <v>6909</v>
      </c>
      <c r="E2436" s="3" t="s">
        <v>6910</v>
      </c>
      <c r="F2436" s="3" t="s">
        <v>77</v>
      </c>
      <c r="G2436" s="3" t="s">
        <v>26</v>
      </c>
      <c r="H2436" s="3" t="s">
        <v>35</v>
      </c>
      <c r="I2436" s="4" t="n">
        <v>37043</v>
      </c>
      <c r="J2436" s="3" t="s">
        <v>19</v>
      </c>
      <c r="K2436" s="3" t="s">
        <v>20</v>
      </c>
      <c r="L2436" s="5" t="s">
        <v>6911</v>
      </c>
    </row>
    <row r="2437" customFormat="false" ht="11.9" hidden="false" customHeight="true" outlineLevel="0" collapsed="false">
      <c r="A2437" s="2" t="str">
        <f aca="false">HYPERLINK("https://www.fabsurplus.com/sdi_catalog/salesItemDetails.do?id=83587")</f>
        <v>https://www.fabsurplus.com/sdi_catalog/salesItemDetails.do?id=83587</v>
      </c>
      <c r="B2437" s="2" t="s">
        <v>6912</v>
      </c>
      <c r="C2437" s="2" t="s">
        <v>6913</v>
      </c>
      <c r="D2437" s="2" t="s">
        <v>6914</v>
      </c>
      <c r="E2437" s="2" t="s">
        <v>6915</v>
      </c>
      <c r="F2437" s="2" t="s">
        <v>16</v>
      </c>
      <c r="G2437" s="2" t="s">
        <v>26</v>
      </c>
      <c r="H2437" s="2" t="s">
        <v>35</v>
      </c>
      <c r="I2437" s="2"/>
      <c r="J2437" s="2" t="s">
        <v>19</v>
      </c>
      <c r="K2437" s="2" t="s">
        <v>20</v>
      </c>
      <c r="L2437" s="6" t="s">
        <v>6916</v>
      </c>
    </row>
    <row r="2438" customFormat="false" ht="11.9" hidden="false" customHeight="true" outlineLevel="0" collapsed="false">
      <c r="A2438" s="2" t="str">
        <f aca="false">HYPERLINK("https://www.fabsurplus.com/sdi_catalog/salesItemDetails.do?id=115401")</f>
        <v>https://www.fabsurplus.com/sdi_catalog/salesItemDetails.do?id=115401</v>
      </c>
      <c r="B2438" s="2" t="s">
        <v>6917</v>
      </c>
      <c r="C2438" s="2" t="s">
        <v>6918</v>
      </c>
      <c r="D2438" s="2" t="s">
        <v>6919</v>
      </c>
      <c r="E2438" s="2" t="s">
        <v>6920</v>
      </c>
      <c r="F2438" s="2" t="s">
        <v>16</v>
      </c>
      <c r="G2438" s="2" t="s">
        <v>26</v>
      </c>
      <c r="H2438" s="2"/>
      <c r="I2438" s="2"/>
      <c r="J2438" s="2" t="s">
        <v>19</v>
      </c>
      <c r="K2438" s="2"/>
      <c r="L2438" s="2" t="s">
        <v>63</v>
      </c>
    </row>
    <row r="2439" customFormat="false" ht="11.9" hidden="false" customHeight="true" outlineLevel="0" collapsed="false">
      <c r="A2439" s="2" t="str">
        <f aca="false">HYPERLINK("https://www.fabsurplus.com/sdi_catalog/salesItemDetails.do?id=115405")</f>
        <v>https://www.fabsurplus.com/sdi_catalog/salesItemDetails.do?id=115405</v>
      </c>
      <c r="B2439" s="2" t="s">
        <v>6921</v>
      </c>
      <c r="C2439" s="2" t="s">
        <v>6918</v>
      </c>
      <c r="D2439" s="2" t="s">
        <v>6919</v>
      </c>
      <c r="E2439" s="2" t="s">
        <v>6922</v>
      </c>
      <c r="F2439" s="2" t="s">
        <v>101</v>
      </c>
      <c r="G2439" s="2" t="s">
        <v>26</v>
      </c>
      <c r="H2439" s="2"/>
      <c r="I2439" s="2"/>
      <c r="J2439" s="2" t="s">
        <v>19</v>
      </c>
      <c r="K2439" s="2"/>
      <c r="L2439" s="2" t="s">
        <v>63</v>
      </c>
    </row>
    <row r="2440" customFormat="false" ht="11.9" hidden="false" customHeight="true" outlineLevel="0" collapsed="false">
      <c r="A2440" s="3" t="str">
        <f aca="false">HYPERLINK("https://www.fabsurplus.com/sdi_catalog/salesItemDetails.do?id=115404")</f>
        <v>https://www.fabsurplus.com/sdi_catalog/salesItemDetails.do?id=115404</v>
      </c>
      <c r="B2440" s="3" t="s">
        <v>6923</v>
      </c>
      <c r="C2440" s="3" t="s">
        <v>6918</v>
      </c>
      <c r="D2440" s="3" t="s">
        <v>6919</v>
      </c>
      <c r="E2440" s="3" t="s">
        <v>6922</v>
      </c>
      <c r="F2440" s="3" t="s">
        <v>101</v>
      </c>
      <c r="G2440" s="3" t="s">
        <v>26</v>
      </c>
      <c r="H2440" s="3"/>
      <c r="I2440" s="3"/>
      <c r="J2440" s="3" t="s">
        <v>19</v>
      </c>
      <c r="K2440" s="3"/>
      <c r="L2440" s="3" t="s">
        <v>63</v>
      </c>
    </row>
    <row r="2441" customFormat="false" ht="11.9" hidden="false" customHeight="true" outlineLevel="0" collapsed="false">
      <c r="A2441" s="2" t="str">
        <f aca="false">HYPERLINK("https://www.fabsurplus.com/sdi_catalog/salesItemDetails.do?id=115403")</f>
        <v>https://www.fabsurplus.com/sdi_catalog/salesItemDetails.do?id=115403</v>
      </c>
      <c r="B2441" s="2" t="s">
        <v>6924</v>
      </c>
      <c r="C2441" s="2" t="s">
        <v>6918</v>
      </c>
      <c r="D2441" s="2" t="s">
        <v>6919</v>
      </c>
      <c r="E2441" s="2" t="s">
        <v>6922</v>
      </c>
      <c r="F2441" s="2" t="s">
        <v>101</v>
      </c>
      <c r="G2441" s="2" t="s">
        <v>26</v>
      </c>
      <c r="H2441" s="2"/>
      <c r="I2441" s="2"/>
      <c r="J2441" s="2" t="s">
        <v>19</v>
      </c>
      <c r="K2441" s="2"/>
      <c r="L2441" s="2" t="s">
        <v>63</v>
      </c>
    </row>
    <row r="2442" customFormat="false" ht="11.9" hidden="false" customHeight="true" outlineLevel="0" collapsed="false">
      <c r="A2442" s="3" t="str">
        <f aca="false">HYPERLINK("https://www.fabsurplus.com/sdi_catalog/salesItemDetails.do?id=115402")</f>
        <v>https://www.fabsurplus.com/sdi_catalog/salesItemDetails.do?id=115402</v>
      </c>
      <c r="B2442" s="3" t="s">
        <v>6925</v>
      </c>
      <c r="C2442" s="3" t="s">
        <v>6918</v>
      </c>
      <c r="D2442" s="3" t="s">
        <v>6919</v>
      </c>
      <c r="E2442" s="3" t="s">
        <v>6922</v>
      </c>
      <c r="F2442" s="3" t="s">
        <v>101</v>
      </c>
      <c r="G2442" s="3" t="s">
        <v>26</v>
      </c>
      <c r="H2442" s="3"/>
      <c r="I2442" s="3"/>
      <c r="J2442" s="3" t="s">
        <v>19</v>
      </c>
      <c r="K2442" s="3"/>
      <c r="L2442" s="3" t="s">
        <v>63</v>
      </c>
    </row>
    <row r="2443" customFormat="false" ht="11.9" hidden="false" customHeight="true" outlineLevel="0" collapsed="false">
      <c r="A2443" s="3" t="str">
        <f aca="false">HYPERLINK("https://www.fabsurplus.com/sdi_catalog/salesItemDetails.do?id=115406")</f>
        <v>https://www.fabsurplus.com/sdi_catalog/salesItemDetails.do?id=115406</v>
      </c>
      <c r="B2443" s="3" t="s">
        <v>6926</v>
      </c>
      <c r="C2443" s="3" t="s">
        <v>6918</v>
      </c>
      <c r="D2443" s="3" t="s">
        <v>6927</v>
      </c>
      <c r="E2443" s="3" t="s">
        <v>6928</v>
      </c>
      <c r="F2443" s="3" t="s">
        <v>77</v>
      </c>
      <c r="G2443" s="3" t="s">
        <v>26</v>
      </c>
      <c r="H2443" s="3"/>
      <c r="I2443" s="3"/>
      <c r="J2443" s="3" t="s">
        <v>19</v>
      </c>
      <c r="K2443" s="3"/>
      <c r="L2443" s="3" t="s">
        <v>63</v>
      </c>
    </row>
    <row r="2444" customFormat="false" ht="11.9" hidden="false" customHeight="true" outlineLevel="0" collapsed="false">
      <c r="A2444" s="3" t="str">
        <f aca="false">HYPERLINK("https://www.fabsurplus.com/sdi_catalog/salesItemDetails.do?id=115407")</f>
        <v>https://www.fabsurplus.com/sdi_catalog/salesItemDetails.do?id=115407</v>
      </c>
      <c r="B2444" s="3" t="s">
        <v>6929</v>
      </c>
      <c r="C2444" s="3" t="s">
        <v>6918</v>
      </c>
      <c r="D2444" s="3" t="s">
        <v>6930</v>
      </c>
      <c r="E2444" s="3" t="s">
        <v>6931</v>
      </c>
      <c r="F2444" s="3" t="s">
        <v>16</v>
      </c>
      <c r="G2444" s="3" t="s">
        <v>26</v>
      </c>
      <c r="H2444" s="3"/>
      <c r="I2444" s="3"/>
      <c r="J2444" s="3" t="s">
        <v>19</v>
      </c>
      <c r="K2444" s="3"/>
      <c r="L2444" s="3" t="s">
        <v>63</v>
      </c>
    </row>
    <row r="2445" customFormat="false" ht="11.9" hidden="false" customHeight="true" outlineLevel="0" collapsed="false">
      <c r="A2445" s="3" t="str">
        <f aca="false">HYPERLINK("https://www.fabsurplus.com/sdi_catalog/salesItemDetails.do?id=83933")</f>
        <v>https://www.fabsurplus.com/sdi_catalog/salesItemDetails.do?id=83933</v>
      </c>
      <c r="B2445" s="3" t="s">
        <v>6932</v>
      </c>
      <c r="C2445" s="3" t="s">
        <v>6933</v>
      </c>
      <c r="D2445" s="3" t="s">
        <v>6934</v>
      </c>
      <c r="E2445" s="3" t="s">
        <v>6935</v>
      </c>
      <c r="F2445" s="3" t="s">
        <v>16</v>
      </c>
      <c r="G2445" s="3"/>
      <c r="H2445" s="3" t="s">
        <v>35</v>
      </c>
      <c r="I2445" s="3"/>
      <c r="J2445" s="3" t="s">
        <v>19</v>
      </c>
      <c r="K2445" s="3" t="s">
        <v>20</v>
      </c>
      <c r="L2445" s="5" t="s">
        <v>6936</v>
      </c>
    </row>
    <row r="2446" customFormat="false" ht="11.9" hidden="false" customHeight="true" outlineLevel="0" collapsed="false">
      <c r="A2446" s="2" t="str">
        <f aca="false">HYPERLINK("https://www.fabsurplus.com/sdi_catalog/salesItemDetails.do?id=83615")</f>
        <v>https://www.fabsurplus.com/sdi_catalog/salesItemDetails.do?id=83615</v>
      </c>
      <c r="B2446" s="2" t="s">
        <v>6937</v>
      </c>
      <c r="C2446" s="2" t="s">
        <v>6938</v>
      </c>
      <c r="D2446" s="2" t="s">
        <v>6939</v>
      </c>
      <c r="E2446" s="2" t="s">
        <v>6940</v>
      </c>
      <c r="F2446" s="2" t="s">
        <v>16</v>
      </c>
      <c r="G2446" s="2" t="s">
        <v>6941</v>
      </c>
      <c r="H2446" s="2" t="s">
        <v>6942</v>
      </c>
      <c r="I2446" s="7" t="n">
        <v>32539.9583333333</v>
      </c>
      <c r="J2446" s="2" t="s">
        <v>19</v>
      </c>
      <c r="K2446" s="2" t="s">
        <v>20</v>
      </c>
      <c r="L2446" s="6" t="s">
        <v>6943</v>
      </c>
    </row>
    <row r="2447" customFormat="false" ht="11.9" hidden="false" customHeight="true" outlineLevel="0" collapsed="false">
      <c r="A2447" s="3" t="str">
        <f aca="false">HYPERLINK("https://www.fabsurplus.com/sdi_catalog/salesItemDetails.do?id=83565")</f>
        <v>https://www.fabsurplus.com/sdi_catalog/salesItemDetails.do?id=83565</v>
      </c>
      <c r="B2447" s="3" t="s">
        <v>6944</v>
      </c>
      <c r="C2447" s="3" t="s">
        <v>6945</v>
      </c>
      <c r="D2447" s="3" t="s">
        <v>6946</v>
      </c>
      <c r="E2447" s="3" t="s">
        <v>6947</v>
      </c>
      <c r="F2447" s="3" t="s">
        <v>77</v>
      </c>
      <c r="G2447" s="3"/>
      <c r="H2447" s="3" t="s">
        <v>27</v>
      </c>
      <c r="I2447" s="4" t="n">
        <v>39814</v>
      </c>
      <c r="J2447" s="3" t="s">
        <v>19</v>
      </c>
      <c r="K2447" s="3" t="s">
        <v>20</v>
      </c>
      <c r="L2447" s="5" t="s">
        <v>6948</v>
      </c>
    </row>
    <row r="2448" customFormat="false" ht="11.9" hidden="false" customHeight="true" outlineLevel="0" collapsed="false">
      <c r="A2448" s="2" t="str">
        <f aca="false">HYPERLINK("https://www.fabsurplus.com/sdi_catalog/salesItemDetails.do?id=69870")</f>
        <v>https://www.fabsurplus.com/sdi_catalog/salesItemDetails.do?id=69870</v>
      </c>
      <c r="B2448" s="2" t="s">
        <v>6949</v>
      </c>
      <c r="C2448" s="2" t="s">
        <v>6950</v>
      </c>
      <c r="D2448" s="2" t="s">
        <v>6951</v>
      </c>
      <c r="E2448" s="2" t="s">
        <v>6952</v>
      </c>
      <c r="F2448" s="2" t="s">
        <v>104</v>
      </c>
      <c r="G2448" s="2" t="s">
        <v>298</v>
      </c>
      <c r="H2448" s="2" t="s">
        <v>35</v>
      </c>
      <c r="I2448" s="7" t="n">
        <v>35946.9166666667</v>
      </c>
      <c r="J2448" s="2" t="s">
        <v>19</v>
      </c>
      <c r="K2448" s="2" t="s">
        <v>20</v>
      </c>
      <c r="L2448" s="6" t="s">
        <v>6953</v>
      </c>
    </row>
    <row r="2449" customFormat="false" ht="11.9" hidden="false" customHeight="true" outlineLevel="0" collapsed="false">
      <c r="A2449" s="3" t="str">
        <f aca="false">HYPERLINK("https://www.fabsurplus.com/sdi_catalog/salesItemDetails.do?id=111605")</f>
        <v>https://www.fabsurplus.com/sdi_catalog/salesItemDetails.do?id=111605</v>
      </c>
      <c r="B2449" s="3" t="s">
        <v>6954</v>
      </c>
      <c r="C2449" s="3" t="s">
        <v>6950</v>
      </c>
      <c r="D2449" s="3" t="s">
        <v>6951</v>
      </c>
      <c r="E2449" s="3" t="s">
        <v>6955</v>
      </c>
      <c r="F2449" s="3" t="s">
        <v>16</v>
      </c>
      <c r="G2449" s="3" t="s">
        <v>26</v>
      </c>
      <c r="H2449" s="3" t="s">
        <v>35</v>
      </c>
      <c r="I2449" s="4" t="n">
        <v>35582</v>
      </c>
      <c r="J2449" s="3" t="s">
        <v>19</v>
      </c>
      <c r="K2449" s="3" t="s">
        <v>20</v>
      </c>
      <c r="L2449" s="5" t="s">
        <v>6956</v>
      </c>
    </row>
    <row r="2450" customFormat="false" ht="11.9" hidden="false" customHeight="true" outlineLevel="0" collapsed="false">
      <c r="A2450" s="3" t="str">
        <f aca="false">HYPERLINK("https://www.fabsurplus.com/sdi_catalog/salesItemDetails.do?id=69872")</f>
        <v>https://www.fabsurplus.com/sdi_catalog/salesItemDetails.do?id=69872</v>
      </c>
      <c r="B2450" s="3" t="s">
        <v>6957</v>
      </c>
      <c r="C2450" s="3" t="s">
        <v>6950</v>
      </c>
      <c r="D2450" s="3" t="s">
        <v>6958</v>
      </c>
      <c r="E2450" s="3" t="s">
        <v>6959</v>
      </c>
      <c r="F2450" s="3" t="s">
        <v>16</v>
      </c>
      <c r="G2450" s="3" t="s">
        <v>298</v>
      </c>
      <c r="H2450" s="3" t="s">
        <v>35</v>
      </c>
      <c r="I2450" s="4" t="n">
        <v>35947</v>
      </c>
      <c r="J2450" s="3" t="s">
        <v>19</v>
      </c>
      <c r="K2450" s="3" t="s">
        <v>20</v>
      </c>
      <c r="L2450" s="5" t="s">
        <v>6960</v>
      </c>
    </row>
    <row r="2451" customFormat="false" ht="11.9" hidden="false" customHeight="true" outlineLevel="0" collapsed="false">
      <c r="A2451" s="2" t="str">
        <f aca="false">HYPERLINK("https://www.fabsurplus.com/sdi_catalog/salesItemDetails.do?id=69873")</f>
        <v>https://www.fabsurplus.com/sdi_catalog/salesItemDetails.do?id=69873</v>
      </c>
      <c r="B2451" s="2" t="s">
        <v>6961</v>
      </c>
      <c r="C2451" s="2" t="s">
        <v>6950</v>
      </c>
      <c r="D2451" s="2" t="s">
        <v>6962</v>
      </c>
      <c r="E2451" s="2" t="s">
        <v>6963</v>
      </c>
      <c r="F2451" s="2" t="s">
        <v>77</v>
      </c>
      <c r="G2451" s="2" t="s">
        <v>298</v>
      </c>
      <c r="H2451" s="2" t="s">
        <v>35</v>
      </c>
      <c r="I2451" s="7" t="n">
        <v>35947</v>
      </c>
      <c r="J2451" s="2" t="s">
        <v>19</v>
      </c>
      <c r="K2451" s="2" t="s">
        <v>20</v>
      </c>
      <c r="L2451" s="6" t="s">
        <v>6964</v>
      </c>
    </row>
    <row r="2452" customFormat="false" ht="11.9" hidden="false" customHeight="true" outlineLevel="0" collapsed="false">
      <c r="A2452" s="3" t="str">
        <f aca="false">HYPERLINK("https://www.fabsurplus.com/sdi_catalog/salesItemDetails.do?id=69874")</f>
        <v>https://www.fabsurplus.com/sdi_catalog/salesItemDetails.do?id=69874</v>
      </c>
      <c r="B2452" s="3" t="s">
        <v>6965</v>
      </c>
      <c r="C2452" s="3" t="s">
        <v>6950</v>
      </c>
      <c r="D2452" s="3" t="s">
        <v>6966</v>
      </c>
      <c r="E2452" s="3" t="s">
        <v>6967</v>
      </c>
      <c r="F2452" s="3" t="s">
        <v>77</v>
      </c>
      <c r="G2452" s="3" t="s">
        <v>298</v>
      </c>
      <c r="H2452" s="3" t="s">
        <v>35</v>
      </c>
      <c r="I2452" s="4" t="n">
        <v>35946.9166666667</v>
      </c>
      <c r="J2452" s="3" t="s">
        <v>19</v>
      </c>
      <c r="K2452" s="3" t="s">
        <v>20</v>
      </c>
      <c r="L2452" s="5" t="s">
        <v>6968</v>
      </c>
    </row>
    <row r="2453" customFormat="false" ht="11.9" hidden="false" customHeight="true" outlineLevel="0" collapsed="false">
      <c r="A2453" s="2" t="str">
        <f aca="false">HYPERLINK("https://www.fabsurplus.com/sdi_catalog/salesItemDetails.do?id=69875")</f>
        <v>https://www.fabsurplus.com/sdi_catalog/salesItemDetails.do?id=69875</v>
      </c>
      <c r="B2453" s="2" t="s">
        <v>6969</v>
      </c>
      <c r="C2453" s="2" t="s">
        <v>6950</v>
      </c>
      <c r="D2453" s="2" t="s">
        <v>6970</v>
      </c>
      <c r="E2453" s="2" t="s">
        <v>6967</v>
      </c>
      <c r="F2453" s="2" t="s">
        <v>16</v>
      </c>
      <c r="G2453" s="2" t="s">
        <v>298</v>
      </c>
      <c r="H2453" s="2" t="s">
        <v>35</v>
      </c>
      <c r="I2453" s="7" t="n">
        <v>35946.9166666667</v>
      </c>
      <c r="J2453" s="2" t="s">
        <v>19</v>
      </c>
      <c r="K2453" s="2" t="s">
        <v>20</v>
      </c>
      <c r="L2453" s="6" t="s">
        <v>6971</v>
      </c>
    </row>
    <row r="2454" customFormat="false" ht="11.9" hidden="false" customHeight="true" outlineLevel="0" collapsed="false">
      <c r="A2454" s="2" t="str">
        <f aca="false">HYPERLINK("https://www.fabsurplus.com/sdi_catalog/salesItemDetails.do?id=83506")</f>
        <v>https://www.fabsurplus.com/sdi_catalog/salesItemDetails.do?id=83506</v>
      </c>
      <c r="B2454" s="2" t="s">
        <v>6972</v>
      </c>
      <c r="C2454" s="2" t="s">
        <v>6973</v>
      </c>
      <c r="D2454" s="2" t="s">
        <v>6974</v>
      </c>
      <c r="E2454" s="2" t="s">
        <v>6975</v>
      </c>
      <c r="F2454" s="2" t="s">
        <v>16</v>
      </c>
      <c r="G2454" s="2" t="s">
        <v>6976</v>
      </c>
      <c r="H2454" s="2" t="s">
        <v>27</v>
      </c>
      <c r="I2454" s="7" t="n">
        <v>34454.9166666667</v>
      </c>
      <c r="J2454" s="2" t="s">
        <v>19</v>
      </c>
      <c r="K2454" s="2" t="s">
        <v>20</v>
      </c>
      <c r="L2454" s="6" t="s">
        <v>6977</v>
      </c>
    </row>
    <row r="2455" customFormat="false" ht="11.9" hidden="false" customHeight="true" outlineLevel="0" collapsed="false">
      <c r="A2455" s="2" t="str">
        <f aca="false">HYPERLINK("https://www.fabsurplus.com/sdi_catalog/salesItemDetails.do?id=83510")</f>
        <v>https://www.fabsurplus.com/sdi_catalog/salesItemDetails.do?id=83510</v>
      </c>
      <c r="B2455" s="2" t="s">
        <v>6978</v>
      </c>
      <c r="C2455" s="2" t="s">
        <v>6979</v>
      </c>
      <c r="D2455" s="2" t="s">
        <v>6980</v>
      </c>
      <c r="E2455" s="2" t="s">
        <v>6975</v>
      </c>
      <c r="F2455" s="2" t="s">
        <v>16</v>
      </c>
      <c r="G2455" s="2" t="s">
        <v>6976</v>
      </c>
      <c r="H2455" s="2" t="s">
        <v>27</v>
      </c>
      <c r="I2455" s="7" t="n">
        <v>34515.9166666667</v>
      </c>
      <c r="J2455" s="2" t="s">
        <v>19</v>
      </c>
      <c r="K2455" s="2" t="s">
        <v>20</v>
      </c>
      <c r="L2455" s="6" t="s">
        <v>6981</v>
      </c>
    </row>
    <row r="2456" customFormat="false" ht="11.9" hidden="false" customHeight="true" outlineLevel="0" collapsed="false">
      <c r="A2456" s="3" t="str">
        <f aca="false">HYPERLINK("https://www.fabsurplus.com/sdi_catalog/salesItemDetails.do?id=83507")</f>
        <v>https://www.fabsurplus.com/sdi_catalog/salesItemDetails.do?id=83507</v>
      </c>
      <c r="B2456" s="3" t="s">
        <v>6982</v>
      </c>
      <c r="C2456" s="3" t="s">
        <v>6979</v>
      </c>
      <c r="D2456" s="3" t="s">
        <v>6983</v>
      </c>
      <c r="E2456" s="3" t="s">
        <v>6975</v>
      </c>
      <c r="F2456" s="3" t="s">
        <v>16</v>
      </c>
      <c r="G2456" s="3" t="s">
        <v>6976</v>
      </c>
      <c r="H2456" s="3" t="s">
        <v>27</v>
      </c>
      <c r="I2456" s="4" t="n">
        <v>34365.9583333333</v>
      </c>
      <c r="J2456" s="3" t="s">
        <v>19</v>
      </c>
      <c r="K2456" s="3" t="s">
        <v>20</v>
      </c>
      <c r="L2456" s="5" t="s">
        <v>6977</v>
      </c>
    </row>
    <row r="2457" customFormat="false" ht="11.9" hidden="false" customHeight="true" outlineLevel="0" collapsed="false">
      <c r="A2457" s="3" t="str">
        <f aca="false">HYPERLINK("https://www.fabsurplus.com/sdi_catalog/salesItemDetails.do?id=83509")</f>
        <v>https://www.fabsurplus.com/sdi_catalog/salesItemDetails.do?id=83509</v>
      </c>
      <c r="B2457" s="3" t="s">
        <v>6984</v>
      </c>
      <c r="C2457" s="3" t="s">
        <v>6979</v>
      </c>
      <c r="D2457" s="3" t="s">
        <v>6985</v>
      </c>
      <c r="E2457" s="3" t="s">
        <v>6975</v>
      </c>
      <c r="F2457" s="3" t="s">
        <v>16</v>
      </c>
      <c r="G2457" s="3" t="s">
        <v>6976</v>
      </c>
      <c r="H2457" s="3" t="s">
        <v>27</v>
      </c>
      <c r="I2457" s="4" t="n">
        <v>34485.9166666667</v>
      </c>
      <c r="J2457" s="3" t="s">
        <v>19</v>
      </c>
      <c r="K2457" s="3" t="s">
        <v>20</v>
      </c>
      <c r="L2457" s="5" t="s">
        <v>6986</v>
      </c>
    </row>
    <row r="2458" customFormat="false" ht="11.9" hidden="false" customHeight="true" outlineLevel="0" collapsed="false">
      <c r="A2458" s="2" t="str">
        <f aca="false">HYPERLINK("https://www.fabsurplus.com/sdi_catalog/salesItemDetails.do?id=83508")</f>
        <v>https://www.fabsurplus.com/sdi_catalog/salesItemDetails.do?id=83508</v>
      </c>
      <c r="B2458" s="2" t="s">
        <v>6987</v>
      </c>
      <c r="C2458" s="2" t="s">
        <v>6979</v>
      </c>
      <c r="D2458" s="2" t="s">
        <v>3306</v>
      </c>
      <c r="E2458" s="2" t="s">
        <v>6975</v>
      </c>
      <c r="F2458" s="2" t="s">
        <v>16</v>
      </c>
      <c r="G2458" s="2" t="s">
        <v>6976</v>
      </c>
      <c r="H2458" s="2" t="s">
        <v>27</v>
      </c>
      <c r="I2458" s="7" t="n">
        <v>34454.9166666667</v>
      </c>
      <c r="J2458" s="2" t="s">
        <v>19</v>
      </c>
      <c r="K2458" s="2" t="s">
        <v>20</v>
      </c>
      <c r="L2458" s="6" t="s">
        <v>6988</v>
      </c>
    </row>
    <row r="2459" customFormat="false" ht="11.9" hidden="false" customHeight="true" outlineLevel="0" collapsed="false">
      <c r="A2459" s="3" t="str">
        <f aca="false">HYPERLINK("https://www.fabsurplus.com/sdi_catalog/salesItemDetails.do?id=83928")</f>
        <v>https://www.fabsurplus.com/sdi_catalog/salesItemDetails.do?id=83928</v>
      </c>
      <c r="B2459" s="3" t="s">
        <v>6989</v>
      </c>
      <c r="C2459" s="3" t="s">
        <v>6990</v>
      </c>
      <c r="D2459" s="3" t="s">
        <v>6991</v>
      </c>
      <c r="E2459" s="3" t="s">
        <v>6992</v>
      </c>
      <c r="F2459" s="3" t="s">
        <v>16</v>
      </c>
      <c r="G2459" s="3"/>
      <c r="H2459" s="3" t="s">
        <v>27</v>
      </c>
      <c r="I2459" s="4" t="n">
        <v>36130</v>
      </c>
      <c r="J2459" s="3" t="s">
        <v>19</v>
      </c>
      <c r="K2459" s="3" t="s">
        <v>20</v>
      </c>
      <c r="L2459" s="5" t="s">
        <v>6993</v>
      </c>
    </row>
    <row r="2460" customFormat="false" ht="11.9" hidden="false" customHeight="true" outlineLevel="0" collapsed="false">
      <c r="A2460" s="2" t="str">
        <f aca="false">HYPERLINK("https://www.fabsurplus.com/sdi_catalog/salesItemDetails.do?id=74251")</f>
        <v>https://www.fabsurplus.com/sdi_catalog/salesItemDetails.do?id=74251</v>
      </c>
      <c r="B2460" s="2" t="s">
        <v>6994</v>
      </c>
      <c r="C2460" s="2" t="s">
        <v>6995</v>
      </c>
      <c r="D2460" s="2" t="s">
        <v>6996</v>
      </c>
      <c r="E2460" s="2" t="s">
        <v>6997</v>
      </c>
      <c r="F2460" s="2" t="s">
        <v>16</v>
      </c>
      <c r="G2460" s="2" t="s">
        <v>17</v>
      </c>
      <c r="H2460" s="2" t="s">
        <v>35</v>
      </c>
      <c r="I2460" s="7" t="n">
        <v>40118</v>
      </c>
      <c r="J2460" s="2" t="s">
        <v>19</v>
      </c>
      <c r="K2460" s="2" t="s">
        <v>20</v>
      </c>
      <c r="L2460" s="6" t="s">
        <v>6998</v>
      </c>
    </row>
    <row r="2461" customFormat="false" ht="11.9" hidden="false" customHeight="true" outlineLevel="0" collapsed="false">
      <c r="A2461" s="3" t="str">
        <f aca="false">HYPERLINK("https://www.fabsurplus.com/sdi_catalog/salesItemDetails.do?id=114787")</f>
        <v>https://www.fabsurplus.com/sdi_catalog/salesItemDetails.do?id=114787</v>
      </c>
      <c r="B2461" s="3" t="s">
        <v>6999</v>
      </c>
      <c r="C2461" s="3" t="s">
        <v>7000</v>
      </c>
      <c r="D2461" s="3" t="s">
        <v>7001</v>
      </c>
      <c r="E2461" s="3" t="s">
        <v>7002</v>
      </c>
      <c r="F2461" s="3" t="s">
        <v>16</v>
      </c>
      <c r="G2461" s="3" t="s">
        <v>26</v>
      </c>
      <c r="H2461" s="3"/>
      <c r="I2461" s="3"/>
      <c r="J2461" s="3" t="s">
        <v>19</v>
      </c>
      <c r="K2461" s="3"/>
      <c r="L2461" s="3" t="s">
        <v>63</v>
      </c>
    </row>
    <row r="2462" customFormat="false" ht="11.9" hidden="false" customHeight="true" outlineLevel="0" collapsed="false">
      <c r="A2462" s="3" t="str">
        <f aca="false">HYPERLINK("https://www.fabsurplus.com/sdi_catalog/salesItemDetails.do?id=84239")</f>
        <v>https://www.fabsurplus.com/sdi_catalog/salesItemDetails.do?id=84239</v>
      </c>
      <c r="B2462" s="3" t="s">
        <v>7003</v>
      </c>
      <c r="C2462" s="3" t="s">
        <v>7004</v>
      </c>
      <c r="D2462" s="3" t="s">
        <v>7005</v>
      </c>
      <c r="E2462" s="3" t="s">
        <v>7006</v>
      </c>
      <c r="F2462" s="3" t="s">
        <v>16</v>
      </c>
      <c r="G2462" s="3" t="s">
        <v>26</v>
      </c>
      <c r="H2462" s="3" t="s">
        <v>35</v>
      </c>
      <c r="I2462" s="3"/>
      <c r="J2462" s="3" t="s">
        <v>19</v>
      </c>
      <c r="K2462" s="3" t="s">
        <v>20</v>
      </c>
      <c r="L2462" s="5" t="s">
        <v>7007</v>
      </c>
    </row>
    <row r="2463" customFormat="false" ht="11.9" hidden="false" customHeight="true" outlineLevel="0" collapsed="false">
      <c r="A2463" s="2" t="str">
        <f aca="false">HYPERLINK("https://www.fabsurplus.com/sdi_catalog/salesItemDetails.do?id=77159")</f>
        <v>https://www.fabsurplus.com/sdi_catalog/salesItemDetails.do?id=77159</v>
      </c>
      <c r="B2463" s="2" t="s">
        <v>7008</v>
      </c>
      <c r="C2463" s="2" t="s">
        <v>7009</v>
      </c>
      <c r="D2463" s="2" t="s">
        <v>7010</v>
      </c>
      <c r="E2463" s="2" t="s">
        <v>7011</v>
      </c>
      <c r="F2463" s="2" t="s">
        <v>16</v>
      </c>
      <c r="G2463" s="2" t="s">
        <v>26</v>
      </c>
      <c r="H2463" s="2" t="s">
        <v>944</v>
      </c>
      <c r="I2463" s="2"/>
      <c r="J2463" s="2" t="s">
        <v>19</v>
      </c>
      <c r="K2463" s="2" t="s">
        <v>20</v>
      </c>
      <c r="L2463" s="6" t="s">
        <v>7012</v>
      </c>
    </row>
    <row r="2464" customFormat="false" ht="11.9" hidden="false" customHeight="true" outlineLevel="0" collapsed="false">
      <c r="A2464" s="3" t="str">
        <f aca="false">HYPERLINK("https://www.fabsurplus.com/sdi_catalog/salesItemDetails.do?id=110359")</f>
        <v>https://www.fabsurplus.com/sdi_catalog/salesItemDetails.do?id=110359</v>
      </c>
      <c r="B2464" s="3" t="s">
        <v>7013</v>
      </c>
      <c r="C2464" s="3" t="s">
        <v>7014</v>
      </c>
      <c r="D2464" s="3" t="s">
        <v>7015</v>
      </c>
      <c r="E2464" s="3" t="s">
        <v>40</v>
      </c>
      <c r="F2464" s="3" t="s">
        <v>16</v>
      </c>
      <c r="G2464" s="3" t="s">
        <v>41</v>
      </c>
      <c r="H2464" s="3"/>
      <c r="I2464" s="3"/>
      <c r="J2464" s="3" t="s">
        <v>42</v>
      </c>
      <c r="K2464" s="3"/>
      <c r="L2464" s="3" t="s">
        <v>7016</v>
      </c>
    </row>
    <row r="2465" customFormat="false" ht="11.9" hidden="false" customHeight="true" outlineLevel="0" collapsed="false">
      <c r="A2465" s="3" t="str">
        <f aca="false">HYPERLINK("https://www.fabsurplus.com/sdi_catalog/salesItemDetails.do?id=110363")</f>
        <v>https://www.fabsurplus.com/sdi_catalog/salesItemDetails.do?id=110363</v>
      </c>
      <c r="B2465" s="3" t="s">
        <v>7017</v>
      </c>
      <c r="C2465" s="3" t="s">
        <v>7018</v>
      </c>
      <c r="D2465" s="3" t="s">
        <v>7019</v>
      </c>
      <c r="E2465" s="3" t="s">
        <v>133</v>
      </c>
      <c r="F2465" s="3" t="s">
        <v>16</v>
      </c>
      <c r="G2465" s="3" t="s">
        <v>41</v>
      </c>
      <c r="H2465" s="3"/>
      <c r="I2465" s="3"/>
      <c r="J2465" s="3" t="s">
        <v>42</v>
      </c>
      <c r="K2465" s="3"/>
      <c r="L2465" s="5" t="s">
        <v>7020</v>
      </c>
    </row>
    <row r="2466" customFormat="false" ht="11.9" hidden="false" customHeight="true" outlineLevel="0" collapsed="false">
      <c r="A2466" s="2" t="str">
        <f aca="false">HYPERLINK("https://www.fabsurplus.com/sdi_catalog/salesItemDetails.do?id=110362")</f>
        <v>https://www.fabsurplus.com/sdi_catalog/salesItemDetails.do?id=110362</v>
      </c>
      <c r="B2466" s="2" t="s">
        <v>7021</v>
      </c>
      <c r="C2466" s="2" t="s">
        <v>7018</v>
      </c>
      <c r="D2466" s="2" t="s">
        <v>7019</v>
      </c>
      <c r="E2466" s="2" t="s">
        <v>133</v>
      </c>
      <c r="F2466" s="2" t="s">
        <v>16</v>
      </c>
      <c r="G2466" s="2" t="s">
        <v>41</v>
      </c>
      <c r="H2466" s="2"/>
      <c r="I2466" s="2"/>
      <c r="J2466" s="2" t="s">
        <v>42</v>
      </c>
      <c r="K2466" s="2"/>
      <c r="L2466" s="6" t="s">
        <v>7022</v>
      </c>
    </row>
    <row r="2467" customFormat="false" ht="11.9" hidden="false" customHeight="true" outlineLevel="0" collapsed="false">
      <c r="A2467" s="3" t="str">
        <f aca="false">HYPERLINK("https://www.fabsurplus.com/sdi_catalog/salesItemDetails.do?id=110361")</f>
        <v>https://www.fabsurplus.com/sdi_catalog/salesItemDetails.do?id=110361</v>
      </c>
      <c r="B2467" s="3" t="s">
        <v>7023</v>
      </c>
      <c r="C2467" s="3" t="s">
        <v>7018</v>
      </c>
      <c r="D2467" s="3" t="s">
        <v>7019</v>
      </c>
      <c r="E2467" s="3" t="s">
        <v>133</v>
      </c>
      <c r="F2467" s="3" t="s">
        <v>16</v>
      </c>
      <c r="G2467" s="3" t="s">
        <v>41</v>
      </c>
      <c r="H2467" s="3"/>
      <c r="I2467" s="3"/>
      <c r="J2467" s="3" t="s">
        <v>42</v>
      </c>
      <c r="K2467" s="3"/>
      <c r="L2467" s="3" t="s">
        <v>7024</v>
      </c>
    </row>
    <row r="2468" customFormat="false" ht="11.9" hidden="false" customHeight="true" outlineLevel="0" collapsed="false">
      <c r="A2468" s="2" t="str">
        <f aca="false">HYPERLINK("https://www.fabsurplus.com/sdi_catalog/salesItemDetails.do?id=110360")</f>
        <v>https://www.fabsurplus.com/sdi_catalog/salesItemDetails.do?id=110360</v>
      </c>
      <c r="B2468" s="2" t="s">
        <v>7025</v>
      </c>
      <c r="C2468" s="2" t="s">
        <v>7018</v>
      </c>
      <c r="D2468" s="2" t="s">
        <v>7019</v>
      </c>
      <c r="E2468" s="2" t="s">
        <v>133</v>
      </c>
      <c r="F2468" s="2" t="s">
        <v>16</v>
      </c>
      <c r="G2468" s="2" t="s">
        <v>41</v>
      </c>
      <c r="H2468" s="2"/>
      <c r="I2468" s="2"/>
      <c r="J2468" s="2" t="s">
        <v>42</v>
      </c>
      <c r="K2468" s="2"/>
      <c r="L2468" s="2" t="s">
        <v>7024</v>
      </c>
    </row>
    <row r="2469" customFormat="false" ht="11.9" hidden="false" customHeight="true" outlineLevel="0" collapsed="false">
      <c r="A2469" s="2" t="str">
        <f aca="false">HYPERLINK("https://www.fabsurplus.com/sdi_catalog/salesItemDetails.do?id=110368")</f>
        <v>https://www.fabsurplus.com/sdi_catalog/salesItemDetails.do?id=110368</v>
      </c>
      <c r="B2469" s="2" t="s">
        <v>7026</v>
      </c>
      <c r="C2469" s="2" t="s">
        <v>7018</v>
      </c>
      <c r="D2469" s="2" t="s">
        <v>7027</v>
      </c>
      <c r="E2469" s="2" t="s">
        <v>40</v>
      </c>
      <c r="F2469" s="2" t="s">
        <v>16</v>
      </c>
      <c r="G2469" s="2" t="s">
        <v>41</v>
      </c>
      <c r="H2469" s="2"/>
      <c r="I2469" s="2"/>
      <c r="J2469" s="2" t="s">
        <v>42</v>
      </c>
      <c r="K2469" s="2"/>
      <c r="L2469" s="6" t="s">
        <v>7028</v>
      </c>
    </row>
    <row r="2470" customFormat="false" ht="11.9" hidden="false" customHeight="true" outlineLevel="0" collapsed="false">
      <c r="A2470" s="3" t="str">
        <f aca="false">HYPERLINK("https://www.fabsurplus.com/sdi_catalog/salesItemDetails.do?id=110367")</f>
        <v>https://www.fabsurplus.com/sdi_catalog/salesItemDetails.do?id=110367</v>
      </c>
      <c r="B2470" s="3" t="s">
        <v>7029</v>
      </c>
      <c r="C2470" s="3" t="s">
        <v>7018</v>
      </c>
      <c r="D2470" s="3" t="s">
        <v>7027</v>
      </c>
      <c r="E2470" s="3" t="s">
        <v>40</v>
      </c>
      <c r="F2470" s="3" t="s">
        <v>16</v>
      </c>
      <c r="G2470" s="3" t="s">
        <v>41</v>
      </c>
      <c r="H2470" s="3"/>
      <c r="I2470" s="3"/>
      <c r="J2470" s="3" t="s">
        <v>42</v>
      </c>
      <c r="K2470" s="3"/>
      <c r="L2470" s="5" t="s">
        <v>7028</v>
      </c>
    </row>
    <row r="2471" customFormat="false" ht="11.9" hidden="false" customHeight="true" outlineLevel="0" collapsed="false">
      <c r="A2471" s="2" t="str">
        <f aca="false">HYPERLINK("https://www.fabsurplus.com/sdi_catalog/salesItemDetails.do?id=110366")</f>
        <v>https://www.fabsurplus.com/sdi_catalog/salesItemDetails.do?id=110366</v>
      </c>
      <c r="B2471" s="2" t="s">
        <v>7030</v>
      </c>
      <c r="C2471" s="2" t="s">
        <v>7018</v>
      </c>
      <c r="D2471" s="2" t="s">
        <v>7027</v>
      </c>
      <c r="E2471" s="2" t="s">
        <v>40</v>
      </c>
      <c r="F2471" s="2" t="s">
        <v>16</v>
      </c>
      <c r="G2471" s="2" t="s">
        <v>41</v>
      </c>
      <c r="H2471" s="2"/>
      <c r="I2471" s="2"/>
      <c r="J2471" s="2" t="s">
        <v>42</v>
      </c>
      <c r="K2471" s="2"/>
      <c r="L2471" s="6" t="s">
        <v>7028</v>
      </c>
    </row>
    <row r="2472" customFormat="false" ht="11.9" hidden="false" customHeight="true" outlineLevel="0" collapsed="false">
      <c r="A2472" s="3" t="str">
        <f aca="false">HYPERLINK("https://www.fabsurplus.com/sdi_catalog/salesItemDetails.do?id=110365")</f>
        <v>https://www.fabsurplus.com/sdi_catalog/salesItemDetails.do?id=110365</v>
      </c>
      <c r="B2472" s="3" t="s">
        <v>7031</v>
      </c>
      <c r="C2472" s="3" t="s">
        <v>7018</v>
      </c>
      <c r="D2472" s="3" t="s">
        <v>7027</v>
      </c>
      <c r="E2472" s="3" t="s">
        <v>40</v>
      </c>
      <c r="F2472" s="3" t="s">
        <v>16</v>
      </c>
      <c r="G2472" s="3" t="s">
        <v>41</v>
      </c>
      <c r="H2472" s="3"/>
      <c r="I2472" s="3"/>
      <c r="J2472" s="3" t="s">
        <v>42</v>
      </c>
      <c r="K2472" s="3"/>
      <c r="L2472" s="5" t="s">
        <v>7028</v>
      </c>
    </row>
    <row r="2473" customFormat="false" ht="11.9" hidden="false" customHeight="true" outlineLevel="0" collapsed="false">
      <c r="A2473" s="2" t="str">
        <f aca="false">HYPERLINK("https://www.fabsurplus.com/sdi_catalog/salesItemDetails.do?id=110364")</f>
        <v>https://www.fabsurplus.com/sdi_catalog/salesItemDetails.do?id=110364</v>
      </c>
      <c r="B2473" s="2" t="s">
        <v>7032</v>
      </c>
      <c r="C2473" s="2" t="s">
        <v>7018</v>
      </c>
      <c r="D2473" s="2" t="s">
        <v>7027</v>
      </c>
      <c r="E2473" s="2" t="s">
        <v>40</v>
      </c>
      <c r="F2473" s="2" t="s">
        <v>16</v>
      </c>
      <c r="G2473" s="2" t="s">
        <v>41</v>
      </c>
      <c r="H2473" s="2"/>
      <c r="I2473" s="2"/>
      <c r="J2473" s="2" t="s">
        <v>42</v>
      </c>
      <c r="K2473" s="2"/>
      <c r="L2473" s="6" t="s">
        <v>7028</v>
      </c>
    </row>
    <row r="2474" customFormat="false" ht="11.9" hidden="false" customHeight="true" outlineLevel="0" collapsed="false">
      <c r="A2474" s="3" t="str">
        <f aca="false">HYPERLINK("https://www.fabsurplus.com/sdi_catalog/salesItemDetails.do?id=110389")</f>
        <v>https://www.fabsurplus.com/sdi_catalog/salesItemDetails.do?id=110389</v>
      </c>
      <c r="B2474" s="3" t="s">
        <v>7033</v>
      </c>
      <c r="C2474" s="3" t="s">
        <v>7018</v>
      </c>
      <c r="D2474" s="3" t="s">
        <v>7034</v>
      </c>
      <c r="E2474" s="3" t="s">
        <v>133</v>
      </c>
      <c r="F2474" s="3" t="s">
        <v>16</v>
      </c>
      <c r="G2474" s="3" t="s">
        <v>41</v>
      </c>
      <c r="H2474" s="3"/>
      <c r="I2474" s="3"/>
      <c r="J2474" s="3" t="s">
        <v>42</v>
      </c>
      <c r="K2474" s="3"/>
      <c r="L2474" s="5" t="s">
        <v>7035</v>
      </c>
    </row>
    <row r="2475" customFormat="false" ht="11.9" hidden="false" customHeight="true" outlineLevel="0" collapsed="false">
      <c r="A2475" s="2" t="str">
        <f aca="false">HYPERLINK("https://www.fabsurplus.com/sdi_catalog/salesItemDetails.do?id=110396")</f>
        <v>https://www.fabsurplus.com/sdi_catalog/salesItemDetails.do?id=110396</v>
      </c>
      <c r="B2475" s="2" t="s">
        <v>7036</v>
      </c>
      <c r="C2475" s="2" t="s">
        <v>7018</v>
      </c>
      <c r="D2475" s="2" t="s">
        <v>7037</v>
      </c>
      <c r="E2475" s="2" t="s">
        <v>133</v>
      </c>
      <c r="F2475" s="2" t="s">
        <v>16</v>
      </c>
      <c r="G2475" s="2" t="s">
        <v>41</v>
      </c>
      <c r="H2475" s="2"/>
      <c r="I2475" s="2"/>
      <c r="J2475" s="2" t="s">
        <v>42</v>
      </c>
      <c r="K2475" s="2"/>
      <c r="L2475" s="6" t="s">
        <v>7038</v>
      </c>
    </row>
    <row r="2476" customFormat="false" ht="11.9" hidden="false" customHeight="true" outlineLevel="0" collapsed="false">
      <c r="A2476" s="3" t="str">
        <f aca="false">HYPERLINK("https://www.fabsurplus.com/sdi_catalog/salesItemDetails.do?id=110395")</f>
        <v>https://www.fabsurplus.com/sdi_catalog/salesItemDetails.do?id=110395</v>
      </c>
      <c r="B2476" s="3" t="s">
        <v>7039</v>
      </c>
      <c r="C2476" s="3" t="s">
        <v>7018</v>
      </c>
      <c r="D2476" s="3" t="s">
        <v>7037</v>
      </c>
      <c r="E2476" s="3" t="s">
        <v>133</v>
      </c>
      <c r="F2476" s="3" t="s">
        <v>16</v>
      </c>
      <c r="G2476" s="3" t="s">
        <v>41</v>
      </c>
      <c r="H2476" s="3"/>
      <c r="I2476" s="3"/>
      <c r="J2476" s="3" t="s">
        <v>42</v>
      </c>
      <c r="K2476" s="3"/>
      <c r="L2476" s="5" t="s">
        <v>7038</v>
      </c>
    </row>
    <row r="2477" customFormat="false" ht="11.9" hidden="false" customHeight="true" outlineLevel="0" collapsed="false">
      <c r="A2477" s="2" t="str">
        <f aca="false">HYPERLINK("https://www.fabsurplus.com/sdi_catalog/salesItemDetails.do?id=110394")</f>
        <v>https://www.fabsurplus.com/sdi_catalog/salesItemDetails.do?id=110394</v>
      </c>
      <c r="B2477" s="2" t="s">
        <v>7040</v>
      </c>
      <c r="C2477" s="2" t="s">
        <v>7018</v>
      </c>
      <c r="D2477" s="2" t="s">
        <v>7037</v>
      </c>
      <c r="E2477" s="2" t="s">
        <v>133</v>
      </c>
      <c r="F2477" s="2" t="s">
        <v>16</v>
      </c>
      <c r="G2477" s="2" t="s">
        <v>41</v>
      </c>
      <c r="H2477" s="2"/>
      <c r="I2477" s="2"/>
      <c r="J2477" s="2" t="s">
        <v>42</v>
      </c>
      <c r="K2477" s="2"/>
      <c r="L2477" s="6" t="s">
        <v>7038</v>
      </c>
    </row>
    <row r="2478" customFormat="false" ht="11.9" hidden="false" customHeight="true" outlineLevel="0" collapsed="false">
      <c r="A2478" s="3" t="str">
        <f aca="false">HYPERLINK("https://www.fabsurplus.com/sdi_catalog/salesItemDetails.do?id=110393")</f>
        <v>https://www.fabsurplus.com/sdi_catalog/salesItemDetails.do?id=110393</v>
      </c>
      <c r="B2478" s="3" t="s">
        <v>7041</v>
      </c>
      <c r="C2478" s="3" t="s">
        <v>7018</v>
      </c>
      <c r="D2478" s="3" t="s">
        <v>7037</v>
      </c>
      <c r="E2478" s="3" t="s">
        <v>133</v>
      </c>
      <c r="F2478" s="3" t="s">
        <v>16</v>
      </c>
      <c r="G2478" s="3" t="s">
        <v>41</v>
      </c>
      <c r="H2478" s="3"/>
      <c r="I2478" s="3"/>
      <c r="J2478" s="3" t="s">
        <v>42</v>
      </c>
      <c r="K2478" s="3"/>
      <c r="L2478" s="5" t="s">
        <v>7038</v>
      </c>
    </row>
    <row r="2479" customFormat="false" ht="11.9" hidden="false" customHeight="true" outlineLevel="0" collapsed="false">
      <c r="A2479" s="2" t="str">
        <f aca="false">HYPERLINK("https://www.fabsurplus.com/sdi_catalog/salesItemDetails.do?id=110392")</f>
        <v>https://www.fabsurplus.com/sdi_catalog/salesItemDetails.do?id=110392</v>
      </c>
      <c r="B2479" s="2" t="s">
        <v>7042</v>
      </c>
      <c r="C2479" s="2" t="s">
        <v>7018</v>
      </c>
      <c r="D2479" s="2" t="s">
        <v>7037</v>
      </c>
      <c r="E2479" s="2" t="s">
        <v>133</v>
      </c>
      <c r="F2479" s="2" t="s">
        <v>16</v>
      </c>
      <c r="G2479" s="2" t="s">
        <v>41</v>
      </c>
      <c r="H2479" s="2"/>
      <c r="I2479" s="2"/>
      <c r="J2479" s="2" t="s">
        <v>42</v>
      </c>
      <c r="K2479" s="2"/>
      <c r="L2479" s="6" t="s">
        <v>7043</v>
      </c>
    </row>
    <row r="2480" customFormat="false" ht="11.9" hidden="false" customHeight="true" outlineLevel="0" collapsed="false">
      <c r="A2480" s="3" t="str">
        <f aca="false">HYPERLINK("https://www.fabsurplus.com/sdi_catalog/salesItemDetails.do?id=110391")</f>
        <v>https://www.fabsurplus.com/sdi_catalog/salesItemDetails.do?id=110391</v>
      </c>
      <c r="B2480" s="3" t="s">
        <v>7044</v>
      </c>
      <c r="C2480" s="3" t="s">
        <v>7018</v>
      </c>
      <c r="D2480" s="3" t="s">
        <v>7037</v>
      </c>
      <c r="E2480" s="3" t="s">
        <v>133</v>
      </c>
      <c r="F2480" s="3" t="s">
        <v>16</v>
      </c>
      <c r="G2480" s="3" t="s">
        <v>41</v>
      </c>
      <c r="H2480" s="3"/>
      <c r="I2480" s="3"/>
      <c r="J2480" s="3" t="s">
        <v>42</v>
      </c>
      <c r="K2480" s="3"/>
      <c r="L2480" s="3" t="s">
        <v>7045</v>
      </c>
    </row>
    <row r="2481" customFormat="false" ht="11.9" hidden="false" customHeight="true" outlineLevel="0" collapsed="false">
      <c r="A2481" s="2" t="str">
        <f aca="false">HYPERLINK("https://www.fabsurplus.com/sdi_catalog/salesItemDetails.do?id=110390")</f>
        <v>https://www.fabsurplus.com/sdi_catalog/salesItemDetails.do?id=110390</v>
      </c>
      <c r="B2481" s="2" t="s">
        <v>7046</v>
      </c>
      <c r="C2481" s="2" t="s">
        <v>7018</v>
      </c>
      <c r="D2481" s="2" t="s">
        <v>7037</v>
      </c>
      <c r="E2481" s="2" t="s">
        <v>133</v>
      </c>
      <c r="F2481" s="2" t="s">
        <v>16</v>
      </c>
      <c r="G2481" s="2" t="s">
        <v>41</v>
      </c>
      <c r="H2481" s="2"/>
      <c r="I2481" s="2"/>
      <c r="J2481" s="2" t="s">
        <v>42</v>
      </c>
      <c r="K2481" s="2"/>
      <c r="L2481" s="2" t="s">
        <v>7045</v>
      </c>
    </row>
    <row r="2482" customFormat="false" ht="11.9" hidden="false" customHeight="true" outlineLevel="0" collapsed="false">
      <c r="A2482" s="3" t="str">
        <f aca="false">HYPERLINK("https://www.fabsurplus.com/sdi_catalog/salesItemDetails.do?id=110397")</f>
        <v>https://www.fabsurplus.com/sdi_catalog/salesItemDetails.do?id=110397</v>
      </c>
      <c r="B2482" s="3" t="s">
        <v>7047</v>
      </c>
      <c r="C2482" s="3" t="s">
        <v>7018</v>
      </c>
      <c r="D2482" s="3" t="s">
        <v>7048</v>
      </c>
      <c r="E2482" s="3" t="s">
        <v>133</v>
      </c>
      <c r="F2482" s="3" t="s">
        <v>16</v>
      </c>
      <c r="G2482" s="3" t="s">
        <v>41</v>
      </c>
      <c r="H2482" s="3"/>
      <c r="I2482" s="3"/>
      <c r="J2482" s="3" t="s">
        <v>42</v>
      </c>
      <c r="K2482" s="3"/>
      <c r="L2482" s="3" t="s">
        <v>7045</v>
      </c>
    </row>
    <row r="2483" customFormat="false" ht="11.9" hidden="false" customHeight="true" outlineLevel="0" collapsed="false">
      <c r="A2483" s="2" t="str">
        <f aca="false">HYPERLINK("https://www.fabsurplus.com/sdi_catalog/salesItemDetails.do?id=110398")</f>
        <v>https://www.fabsurplus.com/sdi_catalog/salesItemDetails.do?id=110398</v>
      </c>
      <c r="B2483" s="2" t="s">
        <v>7049</v>
      </c>
      <c r="C2483" s="2" t="s">
        <v>7018</v>
      </c>
      <c r="D2483" s="2" t="s">
        <v>7050</v>
      </c>
      <c r="E2483" s="2" t="s">
        <v>133</v>
      </c>
      <c r="F2483" s="2" t="s">
        <v>16</v>
      </c>
      <c r="G2483" s="2" t="s">
        <v>41</v>
      </c>
      <c r="H2483" s="2"/>
      <c r="I2483" s="2"/>
      <c r="J2483" s="2" t="s">
        <v>42</v>
      </c>
      <c r="K2483" s="2"/>
      <c r="L2483" s="2" t="s">
        <v>7051</v>
      </c>
    </row>
    <row r="2484" customFormat="false" ht="11.9" hidden="false" customHeight="true" outlineLevel="0" collapsed="false">
      <c r="A2484" s="2" t="str">
        <f aca="false">HYPERLINK("https://www.fabsurplus.com/sdi_catalog/salesItemDetails.do?id=110380")</f>
        <v>https://www.fabsurplus.com/sdi_catalog/salesItemDetails.do?id=110380</v>
      </c>
      <c r="B2484" s="2" t="s">
        <v>7052</v>
      </c>
      <c r="C2484" s="2" t="s">
        <v>7018</v>
      </c>
      <c r="D2484" s="2" t="s">
        <v>7053</v>
      </c>
      <c r="E2484" s="2" t="s">
        <v>133</v>
      </c>
      <c r="F2484" s="2" t="s">
        <v>16</v>
      </c>
      <c r="G2484" s="2" t="s">
        <v>41</v>
      </c>
      <c r="H2484" s="2"/>
      <c r="I2484" s="2"/>
      <c r="J2484" s="2" t="s">
        <v>42</v>
      </c>
      <c r="K2484" s="2"/>
      <c r="L2484" s="6" t="s">
        <v>7054</v>
      </c>
    </row>
    <row r="2485" customFormat="false" ht="11.9" hidden="false" customHeight="true" outlineLevel="0" collapsed="false">
      <c r="A2485" s="3" t="str">
        <f aca="false">HYPERLINK("https://www.fabsurplus.com/sdi_catalog/salesItemDetails.do?id=110379")</f>
        <v>https://www.fabsurplus.com/sdi_catalog/salesItemDetails.do?id=110379</v>
      </c>
      <c r="B2485" s="3" t="s">
        <v>7055</v>
      </c>
      <c r="C2485" s="3" t="s">
        <v>7018</v>
      </c>
      <c r="D2485" s="3" t="s">
        <v>7053</v>
      </c>
      <c r="E2485" s="3" t="s">
        <v>133</v>
      </c>
      <c r="F2485" s="3" t="s">
        <v>16</v>
      </c>
      <c r="G2485" s="3" t="s">
        <v>41</v>
      </c>
      <c r="H2485" s="3"/>
      <c r="I2485" s="3"/>
      <c r="J2485" s="3" t="s">
        <v>42</v>
      </c>
      <c r="K2485" s="3"/>
      <c r="L2485" s="5" t="s">
        <v>7054</v>
      </c>
    </row>
    <row r="2486" customFormat="false" ht="11.9" hidden="false" customHeight="true" outlineLevel="0" collapsed="false">
      <c r="A2486" s="2" t="str">
        <f aca="false">HYPERLINK("https://www.fabsurplus.com/sdi_catalog/salesItemDetails.do?id=110378")</f>
        <v>https://www.fabsurplus.com/sdi_catalog/salesItemDetails.do?id=110378</v>
      </c>
      <c r="B2486" s="2" t="s">
        <v>7056</v>
      </c>
      <c r="C2486" s="2" t="s">
        <v>7018</v>
      </c>
      <c r="D2486" s="2" t="s">
        <v>7053</v>
      </c>
      <c r="E2486" s="2" t="s">
        <v>133</v>
      </c>
      <c r="F2486" s="2" t="s">
        <v>16</v>
      </c>
      <c r="G2486" s="2" t="s">
        <v>41</v>
      </c>
      <c r="H2486" s="2"/>
      <c r="I2486" s="2"/>
      <c r="J2486" s="2" t="s">
        <v>42</v>
      </c>
      <c r="K2486" s="2"/>
      <c r="L2486" s="6" t="s">
        <v>7054</v>
      </c>
    </row>
    <row r="2487" customFormat="false" ht="11.9" hidden="false" customHeight="true" outlineLevel="0" collapsed="false">
      <c r="A2487" s="3" t="str">
        <f aca="false">HYPERLINK("https://www.fabsurplus.com/sdi_catalog/salesItemDetails.do?id=110377")</f>
        <v>https://www.fabsurplus.com/sdi_catalog/salesItemDetails.do?id=110377</v>
      </c>
      <c r="B2487" s="3" t="s">
        <v>7057</v>
      </c>
      <c r="C2487" s="3" t="s">
        <v>7018</v>
      </c>
      <c r="D2487" s="3" t="s">
        <v>7053</v>
      </c>
      <c r="E2487" s="3" t="s">
        <v>133</v>
      </c>
      <c r="F2487" s="3" t="s">
        <v>16</v>
      </c>
      <c r="G2487" s="3" t="s">
        <v>41</v>
      </c>
      <c r="H2487" s="3"/>
      <c r="I2487" s="3"/>
      <c r="J2487" s="3" t="s">
        <v>42</v>
      </c>
      <c r="K2487" s="3"/>
      <c r="L2487" s="5" t="s">
        <v>7054</v>
      </c>
    </row>
    <row r="2488" customFormat="false" ht="11.9" hidden="false" customHeight="true" outlineLevel="0" collapsed="false">
      <c r="A2488" s="2" t="str">
        <f aca="false">HYPERLINK("https://www.fabsurplus.com/sdi_catalog/salesItemDetails.do?id=110376")</f>
        <v>https://www.fabsurplus.com/sdi_catalog/salesItemDetails.do?id=110376</v>
      </c>
      <c r="B2488" s="2" t="s">
        <v>7058</v>
      </c>
      <c r="C2488" s="2" t="s">
        <v>7018</v>
      </c>
      <c r="D2488" s="2" t="s">
        <v>7053</v>
      </c>
      <c r="E2488" s="2" t="s">
        <v>133</v>
      </c>
      <c r="F2488" s="2" t="s">
        <v>16</v>
      </c>
      <c r="G2488" s="2" t="s">
        <v>41</v>
      </c>
      <c r="H2488" s="2"/>
      <c r="I2488" s="2"/>
      <c r="J2488" s="2" t="s">
        <v>42</v>
      </c>
      <c r="K2488" s="2"/>
      <c r="L2488" s="6" t="s">
        <v>7054</v>
      </c>
    </row>
    <row r="2489" customFormat="false" ht="11.9" hidden="false" customHeight="true" outlineLevel="0" collapsed="false">
      <c r="A2489" s="3" t="str">
        <f aca="false">HYPERLINK("https://www.fabsurplus.com/sdi_catalog/salesItemDetails.do?id=110375")</f>
        <v>https://www.fabsurplus.com/sdi_catalog/salesItemDetails.do?id=110375</v>
      </c>
      <c r="B2489" s="3" t="s">
        <v>7059</v>
      </c>
      <c r="C2489" s="3" t="s">
        <v>7018</v>
      </c>
      <c r="D2489" s="3" t="s">
        <v>7053</v>
      </c>
      <c r="E2489" s="3" t="s">
        <v>133</v>
      </c>
      <c r="F2489" s="3" t="s">
        <v>16</v>
      </c>
      <c r="G2489" s="3" t="s">
        <v>41</v>
      </c>
      <c r="H2489" s="3"/>
      <c r="I2489" s="3"/>
      <c r="J2489" s="3" t="s">
        <v>42</v>
      </c>
      <c r="K2489" s="3"/>
      <c r="L2489" s="3" t="s">
        <v>7060</v>
      </c>
    </row>
    <row r="2490" customFormat="false" ht="11.9" hidden="false" customHeight="true" outlineLevel="0" collapsed="false">
      <c r="A2490" s="2" t="str">
        <f aca="false">HYPERLINK("https://www.fabsurplus.com/sdi_catalog/salesItemDetails.do?id=110374")</f>
        <v>https://www.fabsurplus.com/sdi_catalog/salesItemDetails.do?id=110374</v>
      </c>
      <c r="B2490" s="2" t="s">
        <v>7061</v>
      </c>
      <c r="C2490" s="2" t="s">
        <v>7018</v>
      </c>
      <c r="D2490" s="2" t="s">
        <v>7053</v>
      </c>
      <c r="E2490" s="2" t="s">
        <v>133</v>
      </c>
      <c r="F2490" s="2" t="s">
        <v>16</v>
      </c>
      <c r="G2490" s="2" t="s">
        <v>41</v>
      </c>
      <c r="H2490" s="2"/>
      <c r="I2490" s="2"/>
      <c r="J2490" s="2" t="s">
        <v>42</v>
      </c>
      <c r="K2490" s="2"/>
      <c r="L2490" s="6" t="s">
        <v>7054</v>
      </c>
    </row>
    <row r="2491" customFormat="false" ht="11.9" hidden="false" customHeight="true" outlineLevel="0" collapsed="false">
      <c r="A2491" s="3" t="str">
        <f aca="false">HYPERLINK("https://www.fabsurplus.com/sdi_catalog/salesItemDetails.do?id=110373")</f>
        <v>https://www.fabsurplus.com/sdi_catalog/salesItemDetails.do?id=110373</v>
      </c>
      <c r="B2491" s="3" t="s">
        <v>7062</v>
      </c>
      <c r="C2491" s="3" t="s">
        <v>7018</v>
      </c>
      <c r="D2491" s="3" t="s">
        <v>7053</v>
      </c>
      <c r="E2491" s="3" t="s">
        <v>133</v>
      </c>
      <c r="F2491" s="3" t="s">
        <v>16</v>
      </c>
      <c r="G2491" s="3" t="s">
        <v>41</v>
      </c>
      <c r="H2491" s="3"/>
      <c r="I2491" s="3"/>
      <c r="J2491" s="3" t="s">
        <v>42</v>
      </c>
      <c r="K2491" s="3"/>
      <c r="L2491" s="3" t="s">
        <v>7060</v>
      </c>
    </row>
    <row r="2492" customFormat="false" ht="11.9" hidden="false" customHeight="true" outlineLevel="0" collapsed="false">
      <c r="A2492" s="2" t="str">
        <f aca="false">HYPERLINK("https://www.fabsurplus.com/sdi_catalog/salesItemDetails.do?id=110372")</f>
        <v>https://www.fabsurplus.com/sdi_catalog/salesItemDetails.do?id=110372</v>
      </c>
      <c r="B2492" s="2" t="s">
        <v>7063</v>
      </c>
      <c r="C2492" s="2" t="s">
        <v>7018</v>
      </c>
      <c r="D2492" s="2" t="s">
        <v>7053</v>
      </c>
      <c r="E2492" s="2" t="s">
        <v>133</v>
      </c>
      <c r="F2492" s="2" t="s">
        <v>16</v>
      </c>
      <c r="G2492" s="2" t="s">
        <v>41</v>
      </c>
      <c r="H2492" s="2"/>
      <c r="I2492" s="2"/>
      <c r="J2492" s="2" t="s">
        <v>42</v>
      </c>
      <c r="K2492" s="2"/>
      <c r="L2492" s="6" t="s">
        <v>7054</v>
      </c>
    </row>
    <row r="2493" customFormat="false" ht="11.9" hidden="false" customHeight="true" outlineLevel="0" collapsed="false">
      <c r="A2493" s="3" t="str">
        <f aca="false">HYPERLINK("https://www.fabsurplus.com/sdi_catalog/salesItemDetails.do?id=110371")</f>
        <v>https://www.fabsurplus.com/sdi_catalog/salesItemDetails.do?id=110371</v>
      </c>
      <c r="B2493" s="3" t="s">
        <v>7064</v>
      </c>
      <c r="C2493" s="3" t="s">
        <v>7018</v>
      </c>
      <c r="D2493" s="3" t="s">
        <v>7053</v>
      </c>
      <c r="E2493" s="3" t="s">
        <v>133</v>
      </c>
      <c r="F2493" s="3" t="s">
        <v>16</v>
      </c>
      <c r="G2493" s="3" t="s">
        <v>41</v>
      </c>
      <c r="H2493" s="3"/>
      <c r="I2493" s="3"/>
      <c r="J2493" s="3" t="s">
        <v>42</v>
      </c>
      <c r="K2493" s="3"/>
      <c r="L2493" s="5" t="s">
        <v>7054</v>
      </c>
    </row>
    <row r="2494" customFormat="false" ht="11.9" hidden="false" customHeight="true" outlineLevel="0" collapsed="false">
      <c r="A2494" s="2" t="str">
        <f aca="false">HYPERLINK("https://www.fabsurplus.com/sdi_catalog/salesItemDetails.do?id=110370")</f>
        <v>https://www.fabsurplus.com/sdi_catalog/salesItemDetails.do?id=110370</v>
      </c>
      <c r="B2494" s="2" t="s">
        <v>7065</v>
      </c>
      <c r="C2494" s="2" t="s">
        <v>7018</v>
      </c>
      <c r="D2494" s="2" t="s">
        <v>7053</v>
      </c>
      <c r="E2494" s="2" t="s">
        <v>133</v>
      </c>
      <c r="F2494" s="2" t="s">
        <v>16</v>
      </c>
      <c r="G2494" s="2" t="s">
        <v>41</v>
      </c>
      <c r="H2494" s="2"/>
      <c r="I2494" s="2"/>
      <c r="J2494" s="2" t="s">
        <v>42</v>
      </c>
      <c r="K2494" s="2"/>
      <c r="L2494" s="6" t="s">
        <v>7054</v>
      </c>
    </row>
    <row r="2495" customFormat="false" ht="11.9" hidden="false" customHeight="true" outlineLevel="0" collapsed="false">
      <c r="A2495" s="3" t="str">
        <f aca="false">HYPERLINK("https://www.fabsurplus.com/sdi_catalog/salesItemDetails.do?id=110369")</f>
        <v>https://www.fabsurplus.com/sdi_catalog/salesItemDetails.do?id=110369</v>
      </c>
      <c r="B2495" s="3" t="s">
        <v>7066</v>
      </c>
      <c r="C2495" s="3" t="s">
        <v>7018</v>
      </c>
      <c r="D2495" s="3" t="s">
        <v>7053</v>
      </c>
      <c r="E2495" s="3" t="s">
        <v>133</v>
      </c>
      <c r="F2495" s="3" t="s">
        <v>16</v>
      </c>
      <c r="G2495" s="3" t="s">
        <v>41</v>
      </c>
      <c r="H2495" s="3"/>
      <c r="I2495" s="3"/>
      <c r="J2495" s="3" t="s">
        <v>42</v>
      </c>
      <c r="K2495" s="3"/>
      <c r="L2495" s="5" t="s">
        <v>7054</v>
      </c>
    </row>
    <row r="2496" customFormat="false" ht="11.9" hidden="false" customHeight="true" outlineLevel="0" collapsed="false">
      <c r="A2496" s="3" t="str">
        <f aca="false">HYPERLINK("https://www.fabsurplus.com/sdi_catalog/salesItemDetails.do?id=110381")</f>
        <v>https://www.fabsurplus.com/sdi_catalog/salesItemDetails.do?id=110381</v>
      </c>
      <c r="B2496" s="3" t="s">
        <v>7067</v>
      </c>
      <c r="C2496" s="3" t="s">
        <v>7018</v>
      </c>
      <c r="D2496" s="3" t="s">
        <v>7068</v>
      </c>
      <c r="E2496" s="3" t="s">
        <v>133</v>
      </c>
      <c r="F2496" s="3" t="s">
        <v>16</v>
      </c>
      <c r="G2496" s="3" t="s">
        <v>41</v>
      </c>
      <c r="H2496" s="3"/>
      <c r="I2496" s="3"/>
      <c r="J2496" s="3" t="s">
        <v>42</v>
      </c>
      <c r="K2496" s="3"/>
      <c r="L2496" s="5" t="s">
        <v>7069</v>
      </c>
    </row>
    <row r="2497" customFormat="false" ht="11.9" hidden="false" customHeight="true" outlineLevel="0" collapsed="false">
      <c r="A2497" s="2" t="str">
        <f aca="false">HYPERLINK("https://www.fabsurplus.com/sdi_catalog/salesItemDetails.do?id=110382")</f>
        <v>https://www.fabsurplus.com/sdi_catalog/salesItemDetails.do?id=110382</v>
      </c>
      <c r="B2497" s="2" t="s">
        <v>7070</v>
      </c>
      <c r="C2497" s="2" t="s">
        <v>7018</v>
      </c>
      <c r="D2497" s="2" t="s">
        <v>7071</v>
      </c>
      <c r="E2497" s="2" t="s">
        <v>133</v>
      </c>
      <c r="F2497" s="2" t="s">
        <v>16</v>
      </c>
      <c r="G2497" s="2" t="s">
        <v>41</v>
      </c>
      <c r="H2497" s="2"/>
      <c r="I2497" s="2"/>
      <c r="J2497" s="2" t="s">
        <v>42</v>
      </c>
      <c r="K2497" s="2"/>
      <c r="L2497" s="6" t="s">
        <v>7072</v>
      </c>
    </row>
    <row r="2498" customFormat="false" ht="11.9" hidden="false" customHeight="true" outlineLevel="0" collapsed="false">
      <c r="A2498" s="3" t="str">
        <f aca="false">HYPERLINK("https://www.fabsurplus.com/sdi_catalog/salesItemDetails.do?id=110383")</f>
        <v>https://www.fabsurplus.com/sdi_catalog/salesItemDetails.do?id=110383</v>
      </c>
      <c r="B2498" s="3" t="s">
        <v>7073</v>
      </c>
      <c r="C2498" s="3" t="s">
        <v>7018</v>
      </c>
      <c r="D2498" s="3" t="s">
        <v>7074</v>
      </c>
      <c r="E2498" s="3" t="s">
        <v>133</v>
      </c>
      <c r="F2498" s="3" t="s">
        <v>16</v>
      </c>
      <c r="G2498" s="3" t="s">
        <v>41</v>
      </c>
      <c r="H2498" s="3"/>
      <c r="I2498" s="3"/>
      <c r="J2498" s="3" t="s">
        <v>42</v>
      </c>
      <c r="K2498" s="3"/>
      <c r="L2498" s="3" t="s">
        <v>7075</v>
      </c>
    </row>
    <row r="2499" customFormat="false" ht="11.9" hidden="false" customHeight="true" outlineLevel="0" collapsed="false">
      <c r="A2499" s="2" t="str">
        <f aca="false">HYPERLINK("https://www.fabsurplus.com/sdi_catalog/salesItemDetails.do?id=110384")</f>
        <v>https://www.fabsurplus.com/sdi_catalog/salesItemDetails.do?id=110384</v>
      </c>
      <c r="B2499" s="2" t="s">
        <v>7076</v>
      </c>
      <c r="C2499" s="2" t="s">
        <v>7018</v>
      </c>
      <c r="D2499" s="2" t="s">
        <v>7077</v>
      </c>
      <c r="E2499" s="2" t="s">
        <v>133</v>
      </c>
      <c r="F2499" s="2" t="s">
        <v>16</v>
      </c>
      <c r="G2499" s="2" t="s">
        <v>41</v>
      </c>
      <c r="H2499" s="2"/>
      <c r="I2499" s="2"/>
      <c r="J2499" s="2" t="s">
        <v>42</v>
      </c>
      <c r="K2499" s="2"/>
      <c r="L2499" s="6" t="s">
        <v>7078</v>
      </c>
    </row>
    <row r="2500" customFormat="false" ht="11.9" hidden="false" customHeight="true" outlineLevel="0" collapsed="false">
      <c r="A2500" s="3" t="str">
        <f aca="false">HYPERLINK("https://www.fabsurplus.com/sdi_catalog/salesItemDetails.do?id=110385")</f>
        <v>https://www.fabsurplus.com/sdi_catalog/salesItemDetails.do?id=110385</v>
      </c>
      <c r="B2500" s="3" t="s">
        <v>7079</v>
      </c>
      <c r="C2500" s="3" t="s">
        <v>7018</v>
      </c>
      <c r="D2500" s="3" t="s">
        <v>7080</v>
      </c>
      <c r="E2500" s="3" t="s">
        <v>133</v>
      </c>
      <c r="F2500" s="3" t="s">
        <v>16</v>
      </c>
      <c r="G2500" s="3" t="s">
        <v>41</v>
      </c>
      <c r="H2500" s="3"/>
      <c r="I2500" s="3"/>
      <c r="J2500" s="3" t="s">
        <v>42</v>
      </c>
      <c r="K2500" s="3"/>
      <c r="L2500" s="5" t="s">
        <v>7078</v>
      </c>
    </row>
    <row r="2501" customFormat="false" ht="11.9" hidden="false" customHeight="true" outlineLevel="0" collapsed="false">
      <c r="A2501" s="2" t="str">
        <f aca="false">HYPERLINK("https://www.fabsurplus.com/sdi_catalog/salesItemDetails.do?id=110386")</f>
        <v>https://www.fabsurplus.com/sdi_catalog/salesItemDetails.do?id=110386</v>
      </c>
      <c r="B2501" s="2" t="s">
        <v>7081</v>
      </c>
      <c r="C2501" s="2" t="s">
        <v>7018</v>
      </c>
      <c r="D2501" s="2" t="s">
        <v>7082</v>
      </c>
      <c r="E2501" s="2" t="s">
        <v>133</v>
      </c>
      <c r="F2501" s="2" t="s">
        <v>16</v>
      </c>
      <c r="G2501" s="2" t="s">
        <v>41</v>
      </c>
      <c r="H2501" s="2"/>
      <c r="I2501" s="2"/>
      <c r="J2501" s="2" t="s">
        <v>42</v>
      </c>
      <c r="K2501" s="2"/>
      <c r="L2501" s="2" t="s">
        <v>7083</v>
      </c>
    </row>
    <row r="2502" customFormat="false" ht="11.9" hidden="false" customHeight="true" outlineLevel="0" collapsed="false">
      <c r="A2502" s="3" t="str">
        <f aca="false">HYPERLINK("https://www.fabsurplus.com/sdi_catalog/salesItemDetails.do?id=110387")</f>
        <v>https://www.fabsurplus.com/sdi_catalog/salesItemDetails.do?id=110387</v>
      </c>
      <c r="B2502" s="3" t="s">
        <v>7084</v>
      </c>
      <c r="C2502" s="3" t="s">
        <v>7018</v>
      </c>
      <c r="D2502" s="3" t="s">
        <v>7085</v>
      </c>
      <c r="E2502" s="3" t="s">
        <v>133</v>
      </c>
      <c r="F2502" s="3" t="s">
        <v>16</v>
      </c>
      <c r="G2502" s="3" t="s">
        <v>41</v>
      </c>
      <c r="H2502" s="3"/>
      <c r="I2502" s="3"/>
      <c r="J2502" s="3" t="s">
        <v>19</v>
      </c>
      <c r="K2502" s="3" t="s">
        <v>20</v>
      </c>
      <c r="L2502" s="5" t="s">
        <v>7086</v>
      </c>
    </row>
    <row r="2503" customFormat="false" ht="11.9" hidden="false" customHeight="true" outlineLevel="0" collapsed="false">
      <c r="A2503" s="2" t="str">
        <f aca="false">HYPERLINK("https://www.fabsurplus.com/sdi_catalog/salesItemDetails.do?id=110400")</f>
        <v>https://www.fabsurplus.com/sdi_catalog/salesItemDetails.do?id=110400</v>
      </c>
      <c r="B2503" s="2" t="s">
        <v>7087</v>
      </c>
      <c r="C2503" s="2" t="s">
        <v>7018</v>
      </c>
      <c r="D2503" s="2" t="s">
        <v>7088</v>
      </c>
      <c r="E2503" s="2" t="s">
        <v>40</v>
      </c>
      <c r="F2503" s="2" t="s">
        <v>16</v>
      </c>
      <c r="G2503" s="2" t="s">
        <v>41</v>
      </c>
      <c r="H2503" s="2"/>
      <c r="I2503" s="2"/>
      <c r="J2503" s="2" t="s">
        <v>42</v>
      </c>
      <c r="K2503" s="2"/>
      <c r="L2503" s="6" t="s">
        <v>7028</v>
      </c>
    </row>
    <row r="2504" customFormat="false" ht="11.9" hidden="false" customHeight="true" outlineLevel="0" collapsed="false">
      <c r="A2504" s="3" t="str">
        <f aca="false">HYPERLINK("https://www.fabsurplus.com/sdi_catalog/salesItemDetails.do?id=110399")</f>
        <v>https://www.fabsurplus.com/sdi_catalog/salesItemDetails.do?id=110399</v>
      </c>
      <c r="B2504" s="3" t="s">
        <v>7089</v>
      </c>
      <c r="C2504" s="3" t="s">
        <v>7018</v>
      </c>
      <c r="D2504" s="3" t="s">
        <v>7088</v>
      </c>
      <c r="E2504" s="3" t="s">
        <v>40</v>
      </c>
      <c r="F2504" s="3" t="s">
        <v>16</v>
      </c>
      <c r="G2504" s="3" t="s">
        <v>41</v>
      </c>
      <c r="H2504" s="3"/>
      <c r="I2504" s="3"/>
      <c r="J2504" s="3" t="s">
        <v>42</v>
      </c>
      <c r="K2504" s="3"/>
      <c r="L2504" s="5" t="s">
        <v>7028</v>
      </c>
    </row>
    <row r="2505" customFormat="false" ht="11.9" hidden="false" customHeight="true" outlineLevel="0" collapsed="false">
      <c r="A2505" s="2" t="str">
        <f aca="false">HYPERLINK("https://www.fabsurplus.com/sdi_catalog/salesItemDetails.do?id=110388")</f>
        <v>https://www.fabsurplus.com/sdi_catalog/salesItemDetails.do?id=110388</v>
      </c>
      <c r="B2505" s="2" t="s">
        <v>7090</v>
      </c>
      <c r="C2505" s="2" t="s">
        <v>7091</v>
      </c>
      <c r="D2505" s="2" t="s">
        <v>7092</v>
      </c>
      <c r="E2505" s="2" t="s">
        <v>133</v>
      </c>
      <c r="F2505" s="2" t="s">
        <v>16</v>
      </c>
      <c r="G2505" s="2" t="s">
        <v>41</v>
      </c>
      <c r="H2505" s="2"/>
      <c r="I2505" s="2"/>
      <c r="J2505" s="2" t="s">
        <v>42</v>
      </c>
      <c r="K2505" s="2"/>
      <c r="L2505" s="6" t="s">
        <v>7093</v>
      </c>
    </row>
    <row r="2506" customFormat="false" ht="11.9" hidden="false" customHeight="true" outlineLevel="0" collapsed="false">
      <c r="A2506" s="3" t="str">
        <f aca="false">HYPERLINK("https://www.fabsurplus.com/sdi_catalog/salesItemDetails.do?id=110417")</f>
        <v>https://www.fabsurplus.com/sdi_catalog/salesItemDetails.do?id=110417</v>
      </c>
      <c r="B2506" s="3" t="s">
        <v>7094</v>
      </c>
      <c r="C2506" s="3" t="s">
        <v>7095</v>
      </c>
      <c r="D2506" s="3" t="s">
        <v>7096</v>
      </c>
      <c r="E2506" s="3" t="s">
        <v>133</v>
      </c>
      <c r="F2506" s="3" t="s">
        <v>16</v>
      </c>
      <c r="G2506" s="3" t="s">
        <v>41</v>
      </c>
      <c r="H2506" s="3"/>
      <c r="I2506" s="3"/>
      <c r="J2506" s="3" t="s">
        <v>42</v>
      </c>
      <c r="K2506" s="3"/>
      <c r="L2506" s="3" t="s">
        <v>7097</v>
      </c>
    </row>
    <row r="2507" customFormat="false" ht="11.9" hidden="false" customHeight="true" outlineLevel="0" collapsed="false">
      <c r="A2507" s="2" t="str">
        <f aca="false">HYPERLINK("https://www.fabsurplus.com/sdi_catalog/salesItemDetails.do?id=110416")</f>
        <v>https://www.fabsurplus.com/sdi_catalog/salesItemDetails.do?id=110416</v>
      </c>
      <c r="B2507" s="2" t="s">
        <v>7098</v>
      </c>
      <c r="C2507" s="2" t="s">
        <v>7095</v>
      </c>
      <c r="D2507" s="2" t="s">
        <v>7096</v>
      </c>
      <c r="E2507" s="2" t="s">
        <v>133</v>
      </c>
      <c r="F2507" s="2" t="s">
        <v>16</v>
      </c>
      <c r="G2507" s="2" t="s">
        <v>41</v>
      </c>
      <c r="H2507" s="2"/>
      <c r="I2507" s="2"/>
      <c r="J2507" s="2" t="s">
        <v>42</v>
      </c>
      <c r="K2507" s="2"/>
      <c r="L2507" s="2" t="s">
        <v>7099</v>
      </c>
    </row>
    <row r="2508" customFormat="false" ht="11.9" hidden="false" customHeight="true" outlineLevel="0" collapsed="false">
      <c r="A2508" s="2" t="str">
        <f aca="false">HYPERLINK("https://www.fabsurplus.com/sdi_catalog/salesItemDetails.do?id=110418")</f>
        <v>https://www.fabsurplus.com/sdi_catalog/salesItemDetails.do?id=110418</v>
      </c>
      <c r="B2508" s="2" t="s">
        <v>7100</v>
      </c>
      <c r="C2508" s="2" t="s">
        <v>7095</v>
      </c>
      <c r="D2508" s="2" t="s">
        <v>7101</v>
      </c>
      <c r="E2508" s="2" t="s">
        <v>40</v>
      </c>
      <c r="F2508" s="2" t="s">
        <v>16</v>
      </c>
      <c r="G2508" s="2" t="s">
        <v>41</v>
      </c>
      <c r="H2508" s="2"/>
      <c r="I2508" s="2"/>
      <c r="J2508" s="2" t="s">
        <v>42</v>
      </c>
      <c r="K2508" s="2"/>
      <c r="L2508" s="2" t="s">
        <v>7102</v>
      </c>
    </row>
    <row r="2509" customFormat="false" ht="11.9" hidden="false" customHeight="true" outlineLevel="0" collapsed="false">
      <c r="A2509" s="3" t="str">
        <f aca="false">HYPERLINK("https://www.fabsurplus.com/sdi_catalog/salesItemDetails.do?id=110411")</f>
        <v>https://www.fabsurplus.com/sdi_catalog/salesItemDetails.do?id=110411</v>
      </c>
      <c r="B2509" s="3" t="s">
        <v>7103</v>
      </c>
      <c r="C2509" s="3" t="s">
        <v>7095</v>
      </c>
      <c r="D2509" s="3" t="s">
        <v>7104</v>
      </c>
      <c r="E2509" s="3" t="s">
        <v>133</v>
      </c>
      <c r="F2509" s="3" t="s">
        <v>16</v>
      </c>
      <c r="G2509" s="3" t="s">
        <v>41</v>
      </c>
      <c r="H2509" s="3"/>
      <c r="I2509" s="3"/>
      <c r="J2509" s="3" t="s">
        <v>42</v>
      </c>
      <c r="K2509" s="3"/>
      <c r="L2509" s="3" t="s">
        <v>7105</v>
      </c>
    </row>
    <row r="2510" customFormat="false" ht="11.9" hidden="false" customHeight="true" outlineLevel="0" collapsed="false">
      <c r="A2510" s="2" t="str">
        <f aca="false">HYPERLINK("https://www.fabsurplus.com/sdi_catalog/salesItemDetails.do?id=110410")</f>
        <v>https://www.fabsurplus.com/sdi_catalog/salesItemDetails.do?id=110410</v>
      </c>
      <c r="B2510" s="2" t="s">
        <v>7106</v>
      </c>
      <c r="C2510" s="2" t="s">
        <v>7095</v>
      </c>
      <c r="D2510" s="2" t="s">
        <v>7104</v>
      </c>
      <c r="E2510" s="2" t="s">
        <v>133</v>
      </c>
      <c r="F2510" s="2" t="s">
        <v>16</v>
      </c>
      <c r="G2510" s="2" t="s">
        <v>41</v>
      </c>
      <c r="H2510" s="2"/>
      <c r="I2510" s="2"/>
      <c r="J2510" s="2" t="s">
        <v>42</v>
      </c>
      <c r="K2510" s="2"/>
      <c r="L2510" s="2" t="s">
        <v>7107</v>
      </c>
    </row>
    <row r="2511" customFormat="false" ht="11.9" hidden="false" customHeight="true" outlineLevel="0" collapsed="false">
      <c r="A2511" s="3" t="str">
        <f aca="false">HYPERLINK("https://www.fabsurplus.com/sdi_catalog/salesItemDetails.do?id=110409")</f>
        <v>https://www.fabsurplus.com/sdi_catalog/salesItemDetails.do?id=110409</v>
      </c>
      <c r="B2511" s="3" t="s">
        <v>7108</v>
      </c>
      <c r="C2511" s="3" t="s">
        <v>7095</v>
      </c>
      <c r="D2511" s="3" t="s">
        <v>7104</v>
      </c>
      <c r="E2511" s="3" t="s">
        <v>133</v>
      </c>
      <c r="F2511" s="3" t="s">
        <v>16</v>
      </c>
      <c r="G2511" s="3" t="s">
        <v>41</v>
      </c>
      <c r="H2511" s="3"/>
      <c r="I2511" s="3"/>
      <c r="J2511" s="3" t="s">
        <v>42</v>
      </c>
      <c r="K2511" s="3"/>
      <c r="L2511" s="3" t="s">
        <v>7107</v>
      </c>
    </row>
    <row r="2512" customFormat="false" ht="11.9" hidden="false" customHeight="true" outlineLevel="0" collapsed="false">
      <c r="A2512" s="2" t="str">
        <f aca="false">HYPERLINK("https://www.fabsurplus.com/sdi_catalog/salesItemDetails.do?id=110408")</f>
        <v>https://www.fabsurplus.com/sdi_catalog/salesItemDetails.do?id=110408</v>
      </c>
      <c r="B2512" s="2" t="s">
        <v>7109</v>
      </c>
      <c r="C2512" s="2" t="s">
        <v>7095</v>
      </c>
      <c r="D2512" s="2" t="s">
        <v>7104</v>
      </c>
      <c r="E2512" s="2" t="s">
        <v>133</v>
      </c>
      <c r="F2512" s="2" t="s">
        <v>16</v>
      </c>
      <c r="G2512" s="2" t="s">
        <v>41</v>
      </c>
      <c r="H2512" s="2"/>
      <c r="I2512" s="2"/>
      <c r="J2512" s="2" t="s">
        <v>42</v>
      </c>
      <c r="K2512" s="2"/>
      <c r="L2512" s="2" t="s">
        <v>7110</v>
      </c>
    </row>
    <row r="2513" customFormat="false" ht="11.9" hidden="false" customHeight="true" outlineLevel="0" collapsed="false">
      <c r="A2513" s="3" t="str">
        <f aca="false">HYPERLINK("https://www.fabsurplus.com/sdi_catalog/salesItemDetails.do?id=110407")</f>
        <v>https://www.fabsurplus.com/sdi_catalog/salesItemDetails.do?id=110407</v>
      </c>
      <c r="B2513" s="3" t="s">
        <v>7111</v>
      </c>
      <c r="C2513" s="3" t="s">
        <v>7095</v>
      </c>
      <c r="D2513" s="3" t="s">
        <v>7104</v>
      </c>
      <c r="E2513" s="3" t="s">
        <v>133</v>
      </c>
      <c r="F2513" s="3" t="s">
        <v>16</v>
      </c>
      <c r="G2513" s="3" t="s">
        <v>41</v>
      </c>
      <c r="H2513" s="3"/>
      <c r="I2513" s="3"/>
      <c r="J2513" s="3" t="s">
        <v>42</v>
      </c>
      <c r="K2513" s="3"/>
      <c r="L2513" s="3" t="s">
        <v>7110</v>
      </c>
    </row>
    <row r="2514" customFormat="false" ht="11.9" hidden="false" customHeight="true" outlineLevel="0" collapsed="false">
      <c r="A2514" s="2" t="str">
        <f aca="false">HYPERLINK("https://www.fabsurplus.com/sdi_catalog/salesItemDetails.do?id=110406")</f>
        <v>https://www.fabsurplus.com/sdi_catalog/salesItemDetails.do?id=110406</v>
      </c>
      <c r="B2514" s="2" t="s">
        <v>7112</v>
      </c>
      <c r="C2514" s="2" t="s">
        <v>7095</v>
      </c>
      <c r="D2514" s="2" t="s">
        <v>7104</v>
      </c>
      <c r="E2514" s="2" t="s">
        <v>133</v>
      </c>
      <c r="F2514" s="2" t="s">
        <v>16</v>
      </c>
      <c r="G2514" s="2" t="s">
        <v>41</v>
      </c>
      <c r="H2514" s="2"/>
      <c r="I2514" s="2"/>
      <c r="J2514" s="2" t="s">
        <v>42</v>
      </c>
      <c r="K2514" s="2"/>
      <c r="L2514" s="2" t="s">
        <v>322</v>
      </c>
    </row>
    <row r="2515" customFormat="false" ht="11.9" hidden="false" customHeight="true" outlineLevel="0" collapsed="false">
      <c r="A2515" s="3" t="str">
        <f aca="false">HYPERLINK("https://www.fabsurplus.com/sdi_catalog/salesItemDetails.do?id=110405")</f>
        <v>https://www.fabsurplus.com/sdi_catalog/salesItemDetails.do?id=110405</v>
      </c>
      <c r="B2515" s="3" t="s">
        <v>7113</v>
      </c>
      <c r="C2515" s="3" t="s">
        <v>7095</v>
      </c>
      <c r="D2515" s="3" t="s">
        <v>7104</v>
      </c>
      <c r="E2515" s="3" t="s">
        <v>133</v>
      </c>
      <c r="F2515" s="3" t="s">
        <v>16</v>
      </c>
      <c r="G2515" s="3" t="s">
        <v>41</v>
      </c>
      <c r="H2515" s="3"/>
      <c r="I2515" s="3"/>
      <c r="J2515" s="3" t="s">
        <v>42</v>
      </c>
      <c r="K2515" s="3"/>
      <c r="L2515" s="3" t="s">
        <v>7114</v>
      </c>
    </row>
    <row r="2516" customFormat="false" ht="11.9" hidden="false" customHeight="true" outlineLevel="0" collapsed="false">
      <c r="A2516" s="2" t="str">
        <f aca="false">HYPERLINK("https://www.fabsurplus.com/sdi_catalog/salesItemDetails.do?id=110404")</f>
        <v>https://www.fabsurplus.com/sdi_catalog/salesItemDetails.do?id=110404</v>
      </c>
      <c r="B2516" s="2" t="s">
        <v>7115</v>
      </c>
      <c r="C2516" s="2" t="s">
        <v>7095</v>
      </c>
      <c r="D2516" s="2" t="s">
        <v>7104</v>
      </c>
      <c r="E2516" s="2" t="s">
        <v>133</v>
      </c>
      <c r="F2516" s="2" t="s">
        <v>16</v>
      </c>
      <c r="G2516" s="2" t="s">
        <v>41</v>
      </c>
      <c r="H2516" s="2"/>
      <c r="I2516" s="2"/>
      <c r="J2516" s="2" t="s">
        <v>42</v>
      </c>
      <c r="K2516" s="2"/>
      <c r="L2516" s="2" t="s">
        <v>349</v>
      </c>
    </row>
    <row r="2517" customFormat="false" ht="11.9" hidden="false" customHeight="true" outlineLevel="0" collapsed="false">
      <c r="A2517" s="3" t="str">
        <f aca="false">HYPERLINK("https://www.fabsurplus.com/sdi_catalog/salesItemDetails.do?id=110403")</f>
        <v>https://www.fabsurplus.com/sdi_catalog/salesItemDetails.do?id=110403</v>
      </c>
      <c r="B2517" s="3" t="s">
        <v>7116</v>
      </c>
      <c r="C2517" s="3" t="s">
        <v>7095</v>
      </c>
      <c r="D2517" s="3" t="s">
        <v>7104</v>
      </c>
      <c r="E2517" s="3" t="s">
        <v>133</v>
      </c>
      <c r="F2517" s="3" t="s">
        <v>16</v>
      </c>
      <c r="G2517" s="3" t="s">
        <v>41</v>
      </c>
      <c r="H2517" s="3"/>
      <c r="I2517" s="3"/>
      <c r="J2517" s="3" t="s">
        <v>42</v>
      </c>
      <c r="K2517" s="3"/>
      <c r="L2517" s="3" t="s">
        <v>349</v>
      </c>
    </row>
    <row r="2518" customFormat="false" ht="11.9" hidden="false" customHeight="true" outlineLevel="0" collapsed="false">
      <c r="A2518" s="2" t="str">
        <f aca="false">HYPERLINK("https://www.fabsurplus.com/sdi_catalog/salesItemDetails.do?id=110402")</f>
        <v>https://www.fabsurplus.com/sdi_catalog/salesItemDetails.do?id=110402</v>
      </c>
      <c r="B2518" s="2" t="s">
        <v>7117</v>
      </c>
      <c r="C2518" s="2" t="s">
        <v>7095</v>
      </c>
      <c r="D2518" s="2" t="s">
        <v>7104</v>
      </c>
      <c r="E2518" s="2" t="s">
        <v>133</v>
      </c>
      <c r="F2518" s="2" t="s">
        <v>16</v>
      </c>
      <c r="G2518" s="2" t="s">
        <v>41</v>
      </c>
      <c r="H2518" s="2"/>
      <c r="I2518" s="2"/>
      <c r="J2518" s="2" t="s">
        <v>42</v>
      </c>
      <c r="K2518" s="2"/>
      <c r="L2518" s="2" t="s">
        <v>349</v>
      </c>
    </row>
    <row r="2519" customFormat="false" ht="11.9" hidden="false" customHeight="true" outlineLevel="0" collapsed="false">
      <c r="A2519" s="3" t="str">
        <f aca="false">HYPERLINK("https://www.fabsurplus.com/sdi_catalog/salesItemDetails.do?id=110401")</f>
        <v>https://www.fabsurplus.com/sdi_catalog/salesItemDetails.do?id=110401</v>
      </c>
      <c r="B2519" s="3" t="s">
        <v>7118</v>
      </c>
      <c r="C2519" s="3" t="s">
        <v>7095</v>
      </c>
      <c r="D2519" s="3" t="s">
        <v>7104</v>
      </c>
      <c r="E2519" s="3" t="s">
        <v>133</v>
      </c>
      <c r="F2519" s="3" t="s">
        <v>16</v>
      </c>
      <c r="G2519" s="3" t="s">
        <v>41</v>
      </c>
      <c r="H2519" s="3"/>
      <c r="I2519" s="3"/>
      <c r="J2519" s="3" t="s">
        <v>42</v>
      </c>
      <c r="K2519" s="3"/>
      <c r="L2519" s="3" t="s">
        <v>349</v>
      </c>
    </row>
    <row r="2520" customFormat="false" ht="11.9" hidden="false" customHeight="true" outlineLevel="0" collapsed="false">
      <c r="A2520" s="2" t="str">
        <f aca="false">HYPERLINK("https://www.fabsurplus.com/sdi_catalog/salesItemDetails.do?id=110412")</f>
        <v>https://www.fabsurplus.com/sdi_catalog/salesItemDetails.do?id=110412</v>
      </c>
      <c r="B2520" s="2" t="s">
        <v>7119</v>
      </c>
      <c r="C2520" s="2" t="s">
        <v>7095</v>
      </c>
      <c r="D2520" s="2" t="s">
        <v>7120</v>
      </c>
      <c r="E2520" s="2" t="s">
        <v>40</v>
      </c>
      <c r="F2520" s="2" t="s">
        <v>16</v>
      </c>
      <c r="G2520" s="2" t="s">
        <v>41</v>
      </c>
      <c r="H2520" s="2"/>
      <c r="I2520" s="2"/>
      <c r="J2520" s="2" t="s">
        <v>42</v>
      </c>
      <c r="K2520" s="2"/>
      <c r="L2520" s="2" t="s">
        <v>7110</v>
      </c>
    </row>
    <row r="2521" customFormat="false" ht="11.9" hidden="false" customHeight="true" outlineLevel="0" collapsed="false">
      <c r="A2521" s="2" t="str">
        <f aca="false">HYPERLINK("https://www.fabsurplus.com/sdi_catalog/salesItemDetails.do?id=110414")</f>
        <v>https://www.fabsurplus.com/sdi_catalog/salesItemDetails.do?id=110414</v>
      </c>
      <c r="B2521" s="2" t="s">
        <v>7121</v>
      </c>
      <c r="C2521" s="2" t="s">
        <v>7095</v>
      </c>
      <c r="D2521" s="2" t="s">
        <v>321</v>
      </c>
      <c r="E2521" s="2" t="s">
        <v>133</v>
      </c>
      <c r="F2521" s="2" t="s">
        <v>16</v>
      </c>
      <c r="G2521" s="2" t="s">
        <v>41</v>
      </c>
      <c r="H2521" s="2"/>
      <c r="I2521" s="2"/>
      <c r="J2521" s="2" t="s">
        <v>42</v>
      </c>
      <c r="K2521" s="2"/>
      <c r="L2521" s="2" t="s">
        <v>7122</v>
      </c>
    </row>
    <row r="2522" customFormat="false" ht="11.9" hidden="false" customHeight="true" outlineLevel="0" collapsed="false">
      <c r="A2522" s="3" t="str">
        <f aca="false">HYPERLINK("https://www.fabsurplus.com/sdi_catalog/salesItemDetails.do?id=110413")</f>
        <v>https://www.fabsurplus.com/sdi_catalog/salesItemDetails.do?id=110413</v>
      </c>
      <c r="B2522" s="3" t="s">
        <v>7123</v>
      </c>
      <c r="C2522" s="3" t="s">
        <v>7095</v>
      </c>
      <c r="D2522" s="3" t="s">
        <v>321</v>
      </c>
      <c r="E2522" s="3" t="s">
        <v>133</v>
      </c>
      <c r="F2522" s="3" t="s">
        <v>16</v>
      </c>
      <c r="G2522" s="3" t="s">
        <v>41</v>
      </c>
      <c r="H2522" s="3"/>
      <c r="I2522" s="3"/>
      <c r="J2522" s="3" t="s">
        <v>42</v>
      </c>
      <c r="K2522" s="3"/>
      <c r="L2522" s="3" t="s">
        <v>349</v>
      </c>
    </row>
    <row r="2523" customFormat="false" ht="11.9" hidden="false" customHeight="true" outlineLevel="0" collapsed="false">
      <c r="A2523" s="3" t="str">
        <f aca="false">HYPERLINK("https://www.fabsurplus.com/sdi_catalog/salesItemDetails.do?id=110419")</f>
        <v>https://www.fabsurplus.com/sdi_catalog/salesItemDetails.do?id=110419</v>
      </c>
      <c r="B2523" s="3" t="s">
        <v>7124</v>
      </c>
      <c r="C2523" s="3" t="s">
        <v>7095</v>
      </c>
      <c r="D2523" s="3" t="s">
        <v>7125</v>
      </c>
      <c r="E2523" s="3" t="s">
        <v>133</v>
      </c>
      <c r="F2523" s="3" t="s">
        <v>16</v>
      </c>
      <c r="G2523" s="3" t="s">
        <v>41</v>
      </c>
      <c r="H2523" s="3"/>
      <c r="I2523" s="3"/>
      <c r="J2523" s="3" t="s">
        <v>42</v>
      </c>
      <c r="K2523" s="3"/>
      <c r="L2523" s="3" t="s">
        <v>349</v>
      </c>
    </row>
    <row r="2524" customFormat="false" ht="11.9" hidden="false" customHeight="true" outlineLevel="0" collapsed="false">
      <c r="A2524" s="2" t="str">
        <f aca="false">HYPERLINK("https://www.fabsurplus.com/sdi_catalog/salesItemDetails.do?id=110420")</f>
        <v>https://www.fabsurplus.com/sdi_catalog/salesItemDetails.do?id=110420</v>
      </c>
      <c r="B2524" s="2" t="s">
        <v>7126</v>
      </c>
      <c r="C2524" s="2" t="s">
        <v>7095</v>
      </c>
      <c r="D2524" s="2" t="s">
        <v>7127</v>
      </c>
      <c r="E2524" s="2" t="s">
        <v>40</v>
      </c>
      <c r="F2524" s="2" t="s">
        <v>16</v>
      </c>
      <c r="G2524" s="2" t="s">
        <v>41</v>
      </c>
      <c r="H2524" s="2"/>
      <c r="I2524" s="2"/>
      <c r="J2524" s="2" t="s">
        <v>42</v>
      </c>
      <c r="K2524" s="2"/>
      <c r="L2524" s="2" t="s">
        <v>7128</v>
      </c>
    </row>
    <row r="2525" customFormat="false" ht="11.9" hidden="false" customHeight="true" outlineLevel="0" collapsed="false">
      <c r="A2525" s="2" t="str">
        <f aca="false">HYPERLINK("https://www.fabsurplus.com/sdi_catalog/salesItemDetails.do?id=110426")</f>
        <v>https://www.fabsurplus.com/sdi_catalog/salesItemDetails.do?id=110426</v>
      </c>
      <c r="B2525" s="2" t="s">
        <v>7129</v>
      </c>
      <c r="C2525" s="2" t="s">
        <v>7095</v>
      </c>
      <c r="D2525" s="2" t="s">
        <v>324</v>
      </c>
      <c r="E2525" s="2" t="s">
        <v>40</v>
      </c>
      <c r="F2525" s="2" t="s">
        <v>16</v>
      </c>
      <c r="G2525" s="2" t="s">
        <v>41</v>
      </c>
      <c r="H2525" s="2"/>
      <c r="I2525" s="2"/>
      <c r="J2525" s="2" t="s">
        <v>42</v>
      </c>
      <c r="K2525" s="2"/>
      <c r="L2525" s="2" t="s">
        <v>7102</v>
      </c>
    </row>
    <row r="2526" customFormat="false" ht="11.9" hidden="false" customHeight="true" outlineLevel="0" collapsed="false">
      <c r="A2526" s="3" t="str">
        <f aca="false">HYPERLINK("https://www.fabsurplus.com/sdi_catalog/salesItemDetails.do?id=110425")</f>
        <v>https://www.fabsurplus.com/sdi_catalog/salesItemDetails.do?id=110425</v>
      </c>
      <c r="B2526" s="3" t="s">
        <v>7130</v>
      </c>
      <c r="C2526" s="3" t="s">
        <v>7095</v>
      </c>
      <c r="D2526" s="3" t="s">
        <v>324</v>
      </c>
      <c r="E2526" s="3" t="s">
        <v>40</v>
      </c>
      <c r="F2526" s="3" t="s">
        <v>16</v>
      </c>
      <c r="G2526" s="3" t="s">
        <v>41</v>
      </c>
      <c r="H2526" s="3"/>
      <c r="I2526" s="3"/>
      <c r="J2526" s="3" t="s">
        <v>42</v>
      </c>
      <c r="K2526" s="3"/>
      <c r="L2526" s="3" t="s">
        <v>7131</v>
      </c>
    </row>
    <row r="2527" customFormat="false" ht="11.9" hidden="false" customHeight="true" outlineLevel="0" collapsed="false">
      <c r="A2527" s="2" t="str">
        <f aca="false">HYPERLINK("https://www.fabsurplus.com/sdi_catalog/salesItemDetails.do?id=110424")</f>
        <v>https://www.fabsurplus.com/sdi_catalog/salesItemDetails.do?id=110424</v>
      </c>
      <c r="B2527" s="2" t="s">
        <v>7132</v>
      </c>
      <c r="C2527" s="2" t="s">
        <v>7095</v>
      </c>
      <c r="D2527" s="2" t="s">
        <v>324</v>
      </c>
      <c r="E2527" s="2" t="s">
        <v>40</v>
      </c>
      <c r="F2527" s="2" t="s">
        <v>16</v>
      </c>
      <c r="G2527" s="2" t="s">
        <v>41</v>
      </c>
      <c r="H2527" s="2"/>
      <c r="I2527" s="2"/>
      <c r="J2527" s="2" t="s">
        <v>42</v>
      </c>
      <c r="K2527" s="2"/>
      <c r="L2527" s="2" t="s">
        <v>7131</v>
      </c>
    </row>
    <row r="2528" customFormat="false" ht="11.9" hidden="false" customHeight="true" outlineLevel="0" collapsed="false">
      <c r="A2528" s="3" t="str">
        <f aca="false">HYPERLINK("https://www.fabsurplus.com/sdi_catalog/salesItemDetails.do?id=110423")</f>
        <v>https://www.fabsurplus.com/sdi_catalog/salesItemDetails.do?id=110423</v>
      </c>
      <c r="B2528" s="3" t="s">
        <v>7133</v>
      </c>
      <c r="C2528" s="3" t="s">
        <v>7095</v>
      </c>
      <c r="D2528" s="3" t="s">
        <v>324</v>
      </c>
      <c r="E2528" s="3" t="s">
        <v>40</v>
      </c>
      <c r="F2528" s="3" t="s">
        <v>16</v>
      </c>
      <c r="G2528" s="3" t="s">
        <v>41</v>
      </c>
      <c r="H2528" s="3"/>
      <c r="I2528" s="3"/>
      <c r="J2528" s="3" t="s">
        <v>42</v>
      </c>
      <c r="K2528" s="3"/>
      <c r="L2528" s="3" t="s">
        <v>7131</v>
      </c>
    </row>
    <row r="2529" customFormat="false" ht="11.9" hidden="false" customHeight="true" outlineLevel="0" collapsed="false">
      <c r="A2529" s="2" t="str">
        <f aca="false">HYPERLINK("https://www.fabsurplus.com/sdi_catalog/salesItemDetails.do?id=110422")</f>
        <v>https://www.fabsurplus.com/sdi_catalog/salesItemDetails.do?id=110422</v>
      </c>
      <c r="B2529" s="2" t="s">
        <v>7134</v>
      </c>
      <c r="C2529" s="2" t="s">
        <v>7095</v>
      </c>
      <c r="D2529" s="2" t="s">
        <v>324</v>
      </c>
      <c r="E2529" s="2" t="s">
        <v>40</v>
      </c>
      <c r="F2529" s="2" t="s">
        <v>16</v>
      </c>
      <c r="G2529" s="2" t="s">
        <v>41</v>
      </c>
      <c r="H2529" s="2"/>
      <c r="I2529" s="2"/>
      <c r="J2529" s="2" t="s">
        <v>42</v>
      </c>
      <c r="K2529" s="2"/>
      <c r="L2529" s="2" t="s">
        <v>7131</v>
      </c>
    </row>
    <row r="2530" customFormat="false" ht="11.9" hidden="false" customHeight="true" outlineLevel="0" collapsed="false">
      <c r="A2530" s="3" t="str">
        <f aca="false">HYPERLINK("https://www.fabsurplus.com/sdi_catalog/salesItemDetails.do?id=110421")</f>
        <v>https://www.fabsurplus.com/sdi_catalog/salesItemDetails.do?id=110421</v>
      </c>
      <c r="B2530" s="3" t="s">
        <v>7135</v>
      </c>
      <c r="C2530" s="3" t="s">
        <v>7095</v>
      </c>
      <c r="D2530" s="3" t="s">
        <v>324</v>
      </c>
      <c r="E2530" s="3" t="s">
        <v>40</v>
      </c>
      <c r="F2530" s="3" t="s">
        <v>16</v>
      </c>
      <c r="G2530" s="3" t="s">
        <v>41</v>
      </c>
      <c r="H2530" s="3"/>
      <c r="I2530" s="3"/>
      <c r="J2530" s="3" t="s">
        <v>42</v>
      </c>
      <c r="K2530" s="3"/>
      <c r="L2530" s="3" t="s">
        <v>7136</v>
      </c>
    </row>
    <row r="2531" customFormat="false" ht="11.9" hidden="false" customHeight="true" outlineLevel="0" collapsed="false">
      <c r="A2531" s="3" t="str">
        <f aca="false">HYPERLINK("https://www.fabsurplus.com/sdi_catalog/salesItemDetails.do?id=110427")</f>
        <v>https://www.fabsurplus.com/sdi_catalog/salesItemDetails.do?id=110427</v>
      </c>
      <c r="B2531" s="3" t="s">
        <v>7137</v>
      </c>
      <c r="C2531" s="3" t="s">
        <v>7095</v>
      </c>
      <c r="D2531" s="3" t="s">
        <v>7138</v>
      </c>
      <c r="E2531" s="3" t="s">
        <v>47</v>
      </c>
      <c r="F2531" s="3" t="s">
        <v>16</v>
      </c>
      <c r="G2531" s="3" t="s">
        <v>41</v>
      </c>
      <c r="H2531" s="3"/>
      <c r="I2531" s="3"/>
      <c r="J2531" s="3" t="s">
        <v>42</v>
      </c>
      <c r="K2531" s="3"/>
      <c r="L2531" s="3" t="s">
        <v>7139</v>
      </c>
    </row>
    <row r="2532" customFormat="false" ht="11.9" hidden="false" customHeight="true" outlineLevel="0" collapsed="false">
      <c r="A2532" s="3" t="str">
        <f aca="false">HYPERLINK("https://www.fabsurplus.com/sdi_catalog/salesItemDetails.do?id=110433")</f>
        <v>https://www.fabsurplus.com/sdi_catalog/salesItemDetails.do?id=110433</v>
      </c>
      <c r="B2532" s="3" t="s">
        <v>7140</v>
      </c>
      <c r="C2532" s="3" t="s">
        <v>7095</v>
      </c>
      <c r="D2532" s="3" t="s">
        <v>471</v>
      </c>
      <c r="E2532" s="3" t="s">
        <v>47</v>
      </c>
      <c r="F2532" s="3" t="s">
        <v>16</v>
      </c>
      <c r="G2532" s="3" t="s">
        <v>41</v>
      </c>
      <c r="H2532" s="3"/>
      <c r="I2532" s="3"/>
      <c r="J2532" s="3" t="s">
        <v>42</v>
      </c>
      <c r="K2532" s="3"/>
      <c r="L2532" s="3" t="s">
        <v>7141</v>
      </c>
    </row>
    <row r="2533" customFormat="false" ht="11.9" hidden="false" customHeight="true" outlineLevel="0" collapsed="false">
      <c r="A2533" s="2" t="str">
        <f aca="false">HYPERLINK("https://www.fabsurplus.com/sdi_catalog/salesItemDetails.do?id=110432")</f>
        <v>https://www.fabsurplus.com/sdi_catalog/salesItemDetails.do?id=110432</v>
      </c>
      <c r="B2533" s="2" t="s">
        <v>7142</v>
      </c>
      <c r="C2533" s="2" t="s">
        <v>7095</v>
      </c>
      <c r="D2533" s="2" t="s">
        <v>471</v>
      </c>
      <c r="E2533" s="2" t="s">
        <v>47</v>
      </c>
      <c r="F2533" s="2" t="s">
        <v>16</v>
      </c>
      <c r="G2533" s="2" t="s">
        <v>41</v>
      </c>
      <c r="H2533" s="2"/>
      <c r="I2533" s="2"/>
      <c r="J2533" s="2" t="s">
        <v>42</v>
      </c>
      <c r="K2533" s="2"/>
      <c r="L2533" s="2" t="s">
        <v>7141</v>
      </c>
    </row>
    <row r="2534" customFormat="false" ht="11.9" hidden="false" customHeight="true" outlineLevel="0" collapsed="false">
      <c r="A2534" s="3" t="str">
        <f aca="false">HYPERLINK("https://www.fabsurplus.com/sdi_catalog/salesItemDetails.do?id=110431")</f>
        <v>https://www.fabsurplus.com/sdi_catalog/salesItemDetails.do?id=110431</v>
      </c>
      <c r="B2534" s="3" t="s">
        <v>7143</v>
      </c>
      <c r="C2534" s="3" t="s">
        <v>7095</v>
      </c>
      <c r="D2534" s="3" t="s">
        <v>471</v>
      </c>
      <c r="E2534" s="3" t="s">
        <v>47</v>
      </c>
      <c r="F2534" s="3" t="s">
        <v>16</v>
      </c>
      <c r="G2534" s="3" t="s">
        <v>41</v>
      </c>
      <c r="H2534" s="3"/>
      <c r="I2534" s="3"/>
      <c r="J2534" s="3" t="s">
        <v>42</v>
      </c>
      <c r="K2534" s="3"/>
      <c r="L2534" s="3" t="s">
        <v>7141</v>
      </c>
    </row>
    <row r="2535" customFormat="false" ht="11.9" hidden="false" customHeight="true" outlineLevel="0" collapsed="false">
      <c r="A2535" s="2" t="str">
        <f aca="false">HYPERLINK("https://www.fabsurplus.com/sdi_catalog/salesItemDetails.do?id=110430")</f>
        <v>https://www.fabsurplus.com/sdi_catalog/salesItemDetails.do?id=110430</v>
      </c>
      <c r="B2535" s="2" t="s">
        <v>7144</v>
      </c>
      <c r="C2535" s="2" t="s">
        <v>7095</v>
      </c>
      <c r="D2535" s="2" t="s">
        <v>471</v>
      </c>
      <c r="E2535" s="2" t="s">
        <v>47</v>
      </c>
      <c r="F2535" s="2" t="s">
        <v>16</v>
      </c>
      <c r="G2535" s="2" t="s">
        <v>41</v>
      </c>
      <c r="H2535" s="2"/>
      <c r="I2535" s="2"/>
      <c r="J2535" s="2" t="s">
        <v>42</v>
      </c>
      <c r="K2535" s="2"/>
      <c r="L2535" s="6" t="s">
        <v>7145</v>
      </c>
    </row>
    <row r="2536" customFormat="false" ht="11.9" hidden="false" customHeight="true" outlineLevel="0" collapsed="false">
      <c r="A2536" s="3" t="str">
        <f aca="false">HYPERLINK("https://www.fabsurplus.com/sdi_catalog/salesItemDetails.do?id=110429")</f>
        <v>https://www.fabsurplus.com/sdi_catalog/salesItemDetails.do?id=110429</v>
      </c>
      <c r="B2536" s="3" t="s">
        <v>7146</v>
      </c>
      <c r="C2536" s="3" t="s">
        <v>7095</v>
      </c>
      <c r="D2536" s="3" t="s">
        <v>471</v>
      </c>
      <c r="E2536" s="3" t="s">
        <v>47</v>
      </c>
      <c r="F2536" s="3" t="s">
        <v>16</v>
      </c>
      <c r="G2536" s="3" t="s">
        <v>41</v>
      </c>
      <c r="H2536" s="3"/>
      <c r="I2536" s="3"/>
      <c r="J2536" s="3" t="s">
        <v>42</v>
      </c>
      <c r="K2536" s="3"/>
      <c r="L2536" s="5" t="s">
        <v>7145</v>
      </c>
    </row>
    <row r="2537" customFormat="false" ht="11.9" hidden="false" customHeight="true" outlineLevel="0" collapsed="false">
      <c r="A2537" s="2" t="str">
        <f aca="false">HYPERLINK("https://www.fabsurplus.com/sdi_catalog/salesItemDetails.do?id=110428")</f>
        <v>https://www.fabsurplus.com/sdi_catalog/salesItemDetails.do?id=110428</v>
      </c>
      <c r="B2537" s="2" t="s">
        <v>7147</v>
      </c>
      <c r="C2537" s="2" t="s">
        <v>7095</v>
      </c>
      <c r="D2537" s="2" t="s">
        <v>471</v>
      </c>
      <c r="E2537" s="2" t="s">
        <v>47</v>
      </c>
      <c r="F2537" s="2" t="s">
        <v>16</v>
      </c>
      <c r="G2537" s="2" t="s">
        <v>41</v>
      </c>
      <c r="H2537" s="2"/>
      <c r="I2537" s="2"/>
      <c r="J2537" s="2" t="s">
        <v>42</v>
      </c>
      <c r="K2537" s="2"/>
      <c r="L2537" s="2" t="s">
        <v>7148</v>
      </c>
    </row>
    <row r="2538" customFormat="false" ht="11.9" hidden="false" customHeight="true" outlineLevel="0" collapsed="false">
      <c r="A2538" s="2" t="str">
        <f aca="false">HYPERLINK("https://www.fabsurplus.com/sdi_catalog/salesItemDetails.do?id=110434")</f>
        <v>https://www.fabsurplus.com/sdi_catalog/salesItemDetails.do?id=110434</v>
      </c>
      <c r="B2538" s="2" t="s">
        <v>7149</v>
      </c>
      <c r="C2538" s="2" t="s">
        <v>7095</v>
      </c>
      <c r="D2538" s="2" t="s">
        <v>7150</v>
      </c>
      <c r="E2538" s="2" t="s">
        <v>47</v>
      </c>
      <c r="F2538" s="2" t="s">
        <v>16</v>
      </c>
      <c r="G2538" s="2" t="s">
        <v>41</v>
      </c>
      <c r="H2538" s="2"/>
      <c r="I2538" s="2"/>
      <c r="J2538" s="2" t="s">
        <v>42</v>
      </c>
      <c r="K2538" s="2"/>
      <c r="L2538" s="2" t="s">
        <v>476</v>
      </c>
    </row>
    <row r="2539" customFormat="false" ht="11.9" hidden="false" customHeight="true" outlineLevel="0" collapsed="false">
      <c r="A2539" s="3" t="str">
        <f aca="false">HYPERLINK("https://www.fabsurplus.com/sdi_catalog/salesItemDetails.do?id=110435")</f>
        <v>https://www.fabsurplus.com/sdi_catalog/salesItemDetails.do?id=110435</v>
      </c>
      <c r="B2539" s="3" t="s">
        <v>7151</v>
      </c>
      <c r="C2539" s="3" t="s">
        <v>7095</v>
      </c>
      <c r="D2539" s="3" t="s">
        <v>133</v>
      </c>
      <c r="E2539" s="3" t="s">
        <v>133</v>
      </c>
      <c r="F2539" s="3" t="s">
        <v>16</v>
      </c>
      <c r="G2539" s="3" t="s">
        <v>41</v>
      </c>
      <c r="H2539" s="3"/>
      <c r="I2539" s="3"/>
      <c r="J2539" s="3" t="s">
        <v>42</v>
      </c>
      <c r="K2539" s="3"/>
      <c r="L2539" s="3" t="s">
        <v>7152</v>
      </c>
    </row>
    <row r="2540" customFormat="false" ht="11.9" hidden="false" customHeight="true" outlineLevel="0" collapsed="false">
      <c r="A2540" s="3" t="str">
        <f aca="false">HYPERLINK("https://www.fabsurplus.com/sdi_catalog/salesItemDetails.do?id=110441")</f>
        <v>https://www.fabsurplus.com/sdi_catalog/salesItemDetails.do?id=110441</v>
      </c>
      <c r="B2540" s="3" t="s">
        <v>7153</v>
      </c>
      <c r="C2540" s="3" t="s">
        <v>7095</v>
      </c>
      <c r="D2540" s="3" t="s">
        <v>7154</v>
      </c>
      <c r="E2540" s="3" t="s">
        <v>47</v>
      </c>
      <c r="F2540" s="3" t="s">
        <v>16</v>
      </c>
      <c r="G2540" s="3" t="s">
        <v>41</v>
      </c>
      <c r="H2540" s="3"/>
      <c r="I2540" s="3"/>
      <c r="J2540" s="3" t="s">
        <v>42</v>
      </c>
      <c r="K2540" s="3"/>
      <c r="L2540" s="3" t="s">
        <v>7155</v>
      </c>
    </row>
    <row r="2541" customFormat="false" ht="11.9" hidden="false" customHeight="true" outlineLevel="0" collapsed="false">
      <c r="A2541" s="3" t="str">
        <f aca="false">HYPERLINK("https://www.fabsurplus.com/sdi_catalog/salesItemDetails.do?id=110447")</f>
        <v>https://www.fabsurplus.com/sdi_catalog/salesItemDetails.do?id=110447</v>
      </c>
      <c r="B2541" s="3" t="s">
        <v>7156</v>
      </c>
      <c r="C2541" s="3" t="s">
        <v>7095</v>
      </c>
      <c r="D2541" s="3" t="s">
        <v>7157</v>
      </c>
      <c r="E2541" s="3" t="s">
        <v>47</v>
      </c>
      <c r="F2541" s="3" t="s">
        <v>16</v>
      </c>
      <c r="G2541" s="3" t="s">
        <v>41</v>
      </c>
      <c r="H2541" s="3"/>
      <c r="I2541" s="3"/>
      <c r="J2541" s="3" t="s">
        <v>42</v>
      </c>
      <c r="K2541" s="3"/>
      <c r="L2541" s="5" t="s">
        <v>7158</v>
      </c>
    </row>
    <row r="2542" customFormat="false" ht="11.9" hidden="false" customHeight="true" outlineLevel="0" collapsed="false">
      <c r="A2542" s="2" t="str">
        <f aca="false">HYPERLINK("https://www.fabsurplus.com/sdi_catalog/salesItemDetails.do?id=110448")</f>
        <v>https://www.fabsurplus.com/sdi_catalog/salesItemDetails.do?id=110448</v>
      </c>
      <c r="B2542" s="2" t="s">
        <v>7159</v>
      </c>
      <c r="C2542" s="2" t="s">
        <v>7095</v>
      </c>
      <c r="D2542" s="2" t="s">
        <v>7160</v>
      </c>
      <c r="E2542" s="2" t="s">
        <v>47</v>
      </c>
      <c r="F2542" s="2" t="s">
        <v>16</v>
      </c>
      <c r="G2542" s="2" t="s">
        <v>41</v>
      </c>
      <c r="H2542" s="2"/>
      <c r="I2542" s="2"/>
      <c r="J2542" s="2" t="s">
        <v>42</v>
      </c>
      <c r="K2542" s="2"/>
      <c r="L2542" s="6" t="s">
        <v>7161</v>
      </c>
    </row>
    <row r="2543" customFormat="false" ht="11.9" hidden="false" customHeight="true" outlineLevel="0" collapsed="false">
      <c r="A2543" s="2" t="str">
        <f aca="false">HYPERLINK("https://www.fabsurplus.com/sdi_catalog/salesItemDetails.do?id=110436")</f>
        <v>https://www.fabsurplus.com/sdi_catalog/salesItemDetails.do?id=110436</v>
      </c>
      <c r="B2543" s="2" t="s">
        <v>7162</v>
      </c>
      <c r="C2543" s="2" t="s">
        <v>7095</v>
      </c>
      <c r="D2543" s="2" t="s">
        <v>7163</v>
      </c>
      <c r="E2543" s="2" t="s">
        <v>47</v>
      </c>
      <c r="F2543" s="2" t="s">
        <v>16</v>
      </c>
      <c r="G2543" s="2" t="s">
        <v>41</v>
      </c>
      <c r="H2543" s="2"/>
      <c r="I2543" s="2"/>
      <c r="J2543" s="2" t="s">
        <v>42</v>
      </c>
      <c r="K2543" s="2"/>
      <c r="L2543" s="6" t="s">
        <v>7164</v>
      </c>
    </row>
    <row r="2544" customFormat="false" ht="11.9" hidden="false" customHeight="true" outlineLevel="0" collapsed="false">
      <c r="A2544" s="3" t="str">
        <f aca="false">HYPERLINK("https://www.fabsurplus.com/sdi_catalog/salesItemDetails.do?id=110437")</f>
        <v>https://www.fabsurplus.com/sdi_catalog/salesItemDetails.do?id=110437</v>
      </c>
      <c r="B2544" s="3" t="s">
        <v>7165</v>
      </c>
      <c r="C2544" s="3" t="s">
        <v>7095</v>
      </c>
      <c r="D2544" s="3" t="s">
        <v>7166</v>
      </c>
      <c r="E2544" s="3" t="s">
        <v>47</v>
      </c>
      <c r="F2544" s="3" t="s">
        <v>16</v>
      </c>
      <c r="G2544" s="3" t="s">
        <v>41</v>
      </c>
      <c r="H2544" s="3"/>
      <c r="I2544" s="3"/>
      <c r="J2544" s="3" t="s">
        <v>42</v>
      </c>
      <c r="K2544" s="3"/>
      <c r="L2544" s="5" t="s">
        <v>7167</v>
      </c>
    </row>
    <row r="2545" customFormat="false" ht="11.9" hidden="false" customHeight="true" outlineLevel="0" collapsed="false">
      <c r="A2545" s="2" t="str">
        <f aca="false">HYPERLINK("https://www.fabsurplus.com/sdi_catalog/salesItemDetails.do?id=110438")</f>
        <v>https://www.fabsurplus.com/sdi_catalog/salesItemDetails.do?id=110438</v>
      </c>
      <c r="B2545" s="2" t="s">
        <v>7168</v>
      </c>
      <c r="C2545" s="2" t="s">
        <v>7095</v>
      </c>
      <c r="D2545" s="2" t="s">
        <v>7169</v>
      </c>
      <c r="E2545" s="2" t="s">
        <v>47</v>
      </c>
      <c r="F2545" s="2" t="s">
        <v>16</v>
      </c>
      <c r="G2545" s="2" t="s">
        <v>41</v>
      </c>
      <c r="H2545" s="2"/>
      <c r="I2545" s="2"/>
      <c r="J2545" s="2" t="s">
        <v>42</v>
      </c>
      <c r="K2545" s="2"/>
      <c r="L2545" s="2" t="s">
        <v>349</v>
      </c>
    </row>
    <row r="2546" customFormat="false" ht="11.9" hidden="false" customHeight="true" outlineLevel="0" collapsed="false">
      <c r="A2546" s="3" t="str">
        <f aca="false">HYPERLINK("https://www.fabsurplus.com/sdi_catalog/salesItemDetails.do?id=110459")</f>
        <v>https://www.fabsurplus.com/sdi_catalog/salesItemDetails.do?id=110459</v>
      </c>
      <c r="B2546" s="3" t="s">
        <v>7170</v>
      </c>
      <c r="C2546" s="3" t="s">
        <v>7095</v>
      </c>
      <c r="D2546" s="3" t="s">
        <v>724</v>
      </c>
      <c r="E2546" s="3" t="s">
        <v>47</v>
      </c>
      <c r="F2546" s="3" t="s">
        <v>16</v>
      </c>
      <c r="G2546" s="3" t="s">
        <v>41</v>
      </c>
      <c r="H2546" s="3"/>
      <c r="I2546" s="3"/>
      <c r="J2546" s="3" t="s">
        <v>42</v>
      </c>
      <c r="K2546" s="3"/>
      <c r="L2546" s="3" t="s">
        <v>7171</v>
      </c>
    </row>
    <row r="2547" customFormat="false" ht="11.9" hidden="false" customHeight="true" outlineLevel="0" collapsed="false">
      <c r="A2547" s="2" t="str">
        <f aca="false">HYPERLINK("https://www.fabsurplus.com/sdi_catalog/salesItemDetails.do?id=110458")</f>
        <v>https://www.fabsurplus.com/sdi_catalog/salesItemDetails.do?id=110458</v>
      </c>
      <c r="B2547" s="2" t="s">
        <v>7172</v>
      </c>
      <c r="C2547" s="2" t="s">
        <v>7095</v>
      </c>
      <c r="D2547" s="2" t="s">
        <v>724</v>
      </c>
      <c r="E2547" s="2" t="s">
        <v>47</v>
      </c>
      <c r="F2547" s="2" t="s">
        <v>16</v>
      </c>
      <c r="G2547" s="2" t="s">
        <v>41</v>
      </c>
      <c r="H2547" s="2"/>
      <c r="I2547" s="2"/>
      <c r="J2547" s="2" t="s">
        <v>42</v>
      </c>
      <c r="K2547" s="2"/>
      <c r="L2547" s="2" t="s">
        <v>7173</v>
      </c>
    </row>
    <row r="2548" customFormat="false" ht="11.9" hidden="false" customHeight="true" outlineLevel="0" collapsed="false">
      <c r="A2548" s="3" t="str">
        <f aca="false">HYPERLINK("https://www.fabsurplus.com/sdi_catalog/salesItemDetails.do?id=110457")</f>
        <v>https://www.fabsurplus.com/sdi_catalog/salesItemDetails.do?id=110457</v>
      </c>
      <c r="B2548" s="3" t="s">
        <v>7174</v>
      </c>
      <c r="C2548" s="3" t="s">
        <v>7095</v>
      </c>
      <c r="D2548" s="3" t="s">
        <v>724</v>
      </c>
      <c r="E2548" s="3" t="s">
        <v>47</v>
      </c>
      <c r="F2548" s="3" t="s">
        <v>16</v>
      </c>
      <c r="G2548" s="3" t="s">
        <v>41</v>
      </c>
      <c r="H2548" s="3"/>
      <c r="I2548" s="3"/>
      <c r="J2548" s="3" t="s">
        <v>42</v>
      </c>
      <c r="K2548" s="3"/>
      <c r="L2548" s="3" t="s">
        <v>7175</v>
      </c>
    </row>
    <row r="2549" customFormat="false" ht="11.9" hidden="false" customHeight="true" outlineLevel="0" collapsed="false">
      <c r="A2549" s="2" t="str">
        <f aca="false">HYPERLINK("https://www.fabsurplus.com/sdi_catalog/salesItemDetails.do?id=110456")</f>
        <v>https://www.fabsurplus.com/sdi_catalog/salesItemDetails.do?id=110456</v>
      </c>
      <c r="B2549" s="2" t="s">
        <v>7176</v>
      </c>
      <c r="C2549" s="2" t="s">
        <v>7095</v>
      </c>
      <c r="D2549" s="2" t="s">
        <v>724</v>
      </c>
      <c r="E2549" s="2" t="s">
        <v>47</v>
      </c>
      <c r="F2549" s="2" t="s">
        <v>16</v>
      </c>
      <c r="G2549" s="2" t="s">
        <v>41</v>
      </c>
      <c r="H2549" s="2"/>
      <c r="I2549" s="2"/>
      <c r="J2549" s="2" t="s">
        <v>42</v>
      </c>
      <c r="K2549" s="2"/>
      <c r="L2549" s="2" t="s">
        <v>7173</v>
      </c>
    </row>
    <row r="2550" customFormat="false" ht="11.9" hidden="false" customHeight="true" outlineLevel="0" collapsed="false">
      <c r="A2550" s="3" t="str">
        <f aca="false">HYPERLINK("https://www.fabsurplus.com/sdi_catalog/salesItemDetails.do?id=110455")</f>
        <v>https://www.fabsurplus.com/sdi_catalog/salesItemDetails.do?id=110455</v>
      </c>
      <c r="B2550" s="3" t="s">
        <v>7177</v>
      </c>
      <c r="C2550" s="3" t="s">
        <v>7095</v>
      </c>
      <c r="D2550" s="3" t="s">
        <v>724</v>
      </c>
      <c r="E2550" s="3" t="s">
        <v>47</v>
      </c>
      <c r="F2550" s="3" t="s">
        <v>16</v>
      </c>
      <c r="G2550" s="3" t="s">
        <v>41</v>
      </c>
      <c r="H2550" s="3"/>
      <c r="I2550" s="3"/>
      <c r="J2550" s="3" t="s">
        <v>42</v>
      </c>
      <c r="K2550" s="3"/>
      <c r="L2550" s="3" t="s">
        <v>7173</v>
      </c>
    </row>
    <row r="2551" customFormat="false" ht="11.9" hidden="false" customHeight="true" outlineLevel="0" collapsed="false">
      <c r="A2551" s="2" t="str">
        <f aca="false">HYPERLINK("https://www.fabsurplus.com/sdi_catalog/salesItemDetails.do?id=110454")</f>
        <v>https://www.fabsurplus.com/sdi_catalog/salesItemDetails.do?id=110454</v>
      </c>
      <c r="B2551" s="2" t="s">
        <v>7178</v>
      </c>
      <c r="C2551" s="2" t="s">
        <v>7095</v>
      </c>
      <c r="D2551" s="2" t="s">
        <v>724</v>
      </c>
      <c r="E2551" s="2" t="s">
        <v>47</v>
      </c>
      <c r="F2551" s="2" t="s">
        <v>16</v>
      </c>
      <c r="G2551" s="2" t="s">
        <v>41</v>
      </c>
      <c r="H2551" s="2"/>
      <c r="I2551" s="2"/>
      <c r="J2551" s="2" t="s">
        <v>42</v>
      </c>
      <c r="K2551" s="2"/>
      <c r="L2551" s="2" t="s">
        <v>7179</v>
      </c>
    </row>
    <row r="2552" customFormat="false" ht="11.9" hidden="false" customHeight="true" outlineLevel="0" collapsed="false">
      <c r="A2552" s="3" t="str">
        <f aca="false">HYPERLINK("https://www.fabsurplus.com/sdi_catalog/salesItemDetails.do?id=110453")</f>
        <v>https://www.fabsurplus.com/sdi_catalog/salesItemDetails.do?id=110453</v>
      </c>
      <c r="B2552" s="3" t="s">
        <v>7180</v>
      </c>
      <c r="C2552" s="3" t="s">
        <v>7095</v>
      </c>
      <c r="D2552" s="3" t="s">
        <v>724</v>
      </c>
      <c r="E2552" s="3" t="s">
        <v>47</v>
      </c>
      <c r="F2552" s="3" t="s">
        <v>16</v>
      </c>
      <c r="G2552" s="3" t="s">
        <v>41</v>
      </c>
      <c r="H2552" s="3"/>
      <c r="I2552" s="3"/>
      <c r="J2552" s="3" t="s">
        <v>42</v>
      </c>
      <c r="K2552" s="3"/>
      <c r="L2552" s="3" t="s">
        <v>729</v>
      </c>
    </row>
    <row r="2553" customFormat="false" ht="11.9" hidden="false" customHeight="true" outlineLevel="0" collapsed="false">
      <c r="A2553" s="2" t="str">
        <f aca="false">HYPERLINK("https://www.fabsurplus.com/sdi_catalog/salesItemDetails.do?id=110452")</f>
        <v>https://www.fabsurplus.com/sdi_catalog/salesItemDetails.do?id=110452</v>
      </c>
      <c r="B2553" s="2" t="s">
        <v>7181</v>
      </c>
      <c r="C2553" s="2" t="s">
        <v>7095</v>
      </c>
      <c r="D2553" s="2" t="s">
        <v>724</v>
      </c>
      <c r="E2553" s="2" t="s">
        <v>47</v>
      </c>
      <c r="F2553" s="2" t="s">
        <v>16</v>
      </c>
      <c r="G2553" s="2" t="s">
        <v>41</v>
      </c>
      <c r="H2553" s="2"/>
      <c r="I2553" s="2"/>
      <c r="J2553" s="2" t="s">
        <v>42</v>
      </c>
      <c r="K2553" s="2"/>
      <c r="L2553" s="2" t="s">
        <v>349</v>
      </c>
    </row>
    <row r="2554" customFormat="false" ht="11.9" hidden="false" customHeight="true" outlineLevel="0" collapsed="false">
      <c r="A2554" s="3" t="str">
        <f aca="false">HYPERLINK("https://www.fabsurplus.com/sdi_catalog/salesItemDetails.do?id=110439")</f>
        <v>https://www.fabsurplus.com/sdi_catalog/salesItemDetails.do?id=110439</v>
      </c>
      <c r="B2554" s="3" t="s">
        <v>7182</v>
      </c>
      <c r="C2554" s="3" t="s">
        <v>7095</v>
      </c>
      <c r="D2554" s="3" t="s">
        <v>7183</v>
      </c>
      <c r="E2554" s="3" t="s">
        <v>40</v>
      </c>
      <c r="F2554" s="3" t="s">
        <v>16</v>
      </c>
      <c r="G2554" s="3" t="s">
        <v>41</v>
      </c>
      <c r="H2554" s="3"/>
      <c r="I2554" s="3"/>
      <c r="J2554" s="3" t="s">
        <v>42</v>
      </c>
      <c r="K2554" s="3"/>
      <c r="L2554" s="3" t="s">
        <v>7184</v>
      </c>
    </row>
    <row r="2555" customFormat="false" ht="11.9" hidden="false" customHeight="true" outlineLevel="0" collapsed="false">
      <c r="A2555" s="2" t="str">
        <f aca="false">HYPERLINK("https://www.fabsurplus.com/sdi_catalog/salesItemDetails.do?id=110440")</f>
        <v>https://www.fabsurplus.com/sdi_catalog/salesItemDetails.do?id=110440</v>
      </c>
      <c r="B2555" s="2" t="s">
        <v>7185</v>
      </c>
      <c r="C2555" s="2" t="s">
        <v>7095</v>
      </c>
      <c r="D2555" s="2" t="s">
        <v>7186</v>
      </c>
      <c r="E2555" s="2" t="s">
        <v>47</v>
      </c>
      <c r="F2555" s="2" t="s">
        <v>16</v>
      </c>
      <c r="G2555" s="2" t="s">
        <v>41</v>
      </c>
      <c r="H2555" s="2"/>
      <c r="I2555" s="2"/>
      <c r="J2555" s="2" t="s">
        <v>42</v>
      </c>
      <c r="K2555" s="2"/>
      <c r="L2555" s="2" t="s">
        <v>7187</v>
      </c>
    </row>
    <row r="2556" customFormat="false" ht="11.9" hidden="false" customHeight="true" outlineLevel="0" collapsed="false">
      <c r="A2556" s="2" t="str">
        <f aca="false">HYPERLINK("https://www.fabsurplus.com/sdi_catalog/salesItemDetails.do?id=110446")</f>
        <v>https://www.fabsurplus.com/sdi_catalog/salesItemDetails.do?id=110446</v>
      </c>
      <c r="B2556" s="2" t="s">
        <v>7188</v>
      </c>
      <c r="C2556" s="2" t="s">
        <v>7095</v>
      </c>
      <c r="D2556" s="2" t="s">
        <v>7189</v>
      </c>
      <c r="E2556" s="2" t="s">
        <v>47</v>
      </c>
      <c r="F2556" s="2" t="s">
        <v>16</v>
      </c>
      <c r="G2556" s="2" t="s">
        <v>41</v>
      </c>
      <c r="H2556" s="2"/>
      <c r="I2556" s="2"/>
      <c r="J2556" s="2" t="s">
        <v>42</v>
      </c>
      <c r="K2556" s="2"/>
      <c r="L2556" s="6" t="s">
        <v>7190</v>
      </c>
    </row>
    <row r="2557" customFormat="false" ht="11.9" hidden="false" customHeight="true" outlineLevel="0" collapsed="false">
      <c r="A2557" s="3" t="str">
        <f aca="false">HYPERLINK("https://www.fabsurplus.com/sdi_catalog/salesItemDetails.do?id=110445")</f>
        <v>https://www.fabsurplus.com/sdi_catalog/salesItemDetails.do?id=110445</v>
      </c>
      <c r="B2557" s="3" t="s">
        <v>7191</v>
      </c>
      <c r="C2557" s="3" t="s">
        <v>7095</v>
      </c>
      <c r="D2557" s="3" t="s">
        <v>7189</v>
      </c>
      <c r="E2557" s="3" t="s">
        <v>47</v>
      </c>
      <c r="F2557" s="3" t="s">
        <v>16</v>
      </c>
      <c r="G2557" s="3" t="s">
        <v>41</v>
      </c>
      <c r="H2557" s="3"/>
      <c r="I2557" s="3"/>
      <c r="J2557" s="3" t="s">
        <v>42</v>
      </c>
      <c r="K2557" s="3"/>
      <c r="L2557" s="3" t="s">
        <v>7192</v>
      </c>
    </row>
    <row r="2558" customFormat="false" ht="11.9" hidden="false" customHeight="true" outlineLevel="0" collapsed="false">
      <c r="A2558" s="2" t="str">
        <f aca="false">HYPERLINK("https://www.fabsurplus.com/sdi_catalog/salesItemDetails.do?id=110444")</f>
        <v>https://www.fabsurplus.com/sdi_catalog/salesItemDetails.do?id=110444</v>
      </c>
      <c r="B2558" s="2" t="s">
        <v>7193</v>
      </c>
      <c r="C2558" s="2" t="s">
        <v>7095</v>
      </c>
      <c r="D2558" s="2" t="s">
        <v>7189</v>
      </c>
      <c r="E2558" s="2" t="s">
        <v>47</v>
      </c>
      <c r="F2558" s="2" t="s">
        <v>16</v>
      </c>
      <c r="G2558" s="2" t="s">
        <v>41</v>
      </c>
      <c r="H2558" s="2"/>
      <c r="I2558" s="2"/>
      <c r="J2558" s="2" t="s">
        <v>42</v>
      </c>
      <c r="K2558" s="2"/>
      <c r="L2558" s="2" t="s">
        <v>7194</v>
      </c>
    </row>
    <row r="2559" customFormat="false" ht="11.9" hidden="false" customHeight="true" outlineLevel="0" collapsed="false">
      <c r="A2559" s="3" t="str">
        <f aca="false">HYPERLINK("https://www.fabsurplus.com/sdi_catalog/salesItemDetails.do?id=110443")</f>
        <v>https://www.fabsurplus.com/sdi_catalog/salesItemDetails.do?id=110443</v>
      </c>
      <c r="B2559" s="3" t="s">
        <v>7195</v>
      </c>
      <c r="C2559" s="3" t="s">
        <v>7095</v>
      </c>
      <c r="D2559" s="3" t="s">
        <v>7189</v>
      </c>
      <c r="E2559" s="3" t="s">
        <v>47</v>
      </c>
      <c r="F2559" s="3" t="s">
        <v>16</v>
      </c>
      <c r="G2559" s="3" t="s">
        <v>41</v>
      </c>
      <c r="H2559" s="3"/>
      <c r="I2559" s="3"/>
      <c r="J2559" s="3" t="s">
        <v>42</v>
      </c>
      <c r="K2559" s="3"/>
      <c r="L2559" s="3" t="s">
        <v>7194</v>
      </c>
    </row>
    <row r="2560" customFormat="false" ht="11.9" hidden="false" customHeight="true" outlineLevel="0" collapsed="false">
      <c r="A2560" s="2" t="str">
        <f aca="false">HYPERLINK("https://www.fabsurplus.com/sdi_catalog/salesItemDetails.do?id=110442")</f>
        <v>https://www.fabsurplus.com/sdi_catalog/salesItemDetails.do?id=110442</v>
      </c>
      <c r="B2560" s="2" t="s">
        <v>7196</v>
      </c>
      <c r="C2560" s="2" t="s">
        <v>7095</v>
      </c>
      <c r="D2560" s="2" t="s">
        <v>7189</v>
      </c>
      <c r="E2560" s="2" t="s">
        <v>47</v>
      </c>
      <c r="F2560" s="2" t="s">
        <v>16</v>
      </c>
      <c r="G2560" s="2" t="s">
        <v>41</v>
      </c>
      <c r="H2560" s="2"/>
      <c r="I2560" s="2"/>
      <c r="J2560" s="2" t="s">
        <v>42</v>
      </c>
      <c r="K2560" s="2"/>
      <c r="L2560" s="2" t="s">
        <v>349</v>
      </c>
    </row>
    <row r="2561" customFormat="false" ht="11.9" hidden="false" customHeight="true" outlineLevel="0" collapsed="false">
      <c r="A2561" s="3" t="str">
        <f aca="false">HYPERLINK("https://www.fabsurplus.com/sdi_catalog/salesItemDetails.do?id=110451")</f>
        <v>https://www.fabsurplus.com/sdi_catalog/salesItemDetails.do?id=110451</v>
      </c>
      <c r="B2561" s="3" t="s">
        <v>7197</v>
      </c>
      <c r="C2561" s="3" t="s">
        <v>7095</v>
      </c>
      <c r="D2561" s="3" t="s">
        <v>152</v>
      </c>
      <c r="E2561" s="3" t="s">
        <v>47</v>
      </c>
      <c r="F2561" s="3" t="s">
        <v>16</v>
      </c>
      <c r="G2561" s="3" t="s">
        <v>41</v>
      </c>
      <c r="H2561" s="3"/>
      <c r="I2561" s="3"/>
      <c r="J2561" s="3" t="s">
        <v>42</v>
      </c>
      <c r="K2561" s="3"/>
      <c r="L2561" s="3" t="s">
        <v>7198</v>
      </c>
    </row>
    <row r="2562" customFormat="false" ht="11.9" hidden="false" customHeight="true" outlineLevel="0" collapsed="false">
      <c r="A2562" s="2" t="str">
        <f aca="false">HYPERLINK("https://www.fabsurplus.com/sdi_catalog/salesItemDetails.do?id=110450")</f>
        <v>https://www.fabsurplus.com/sdi_catalog/salesItemDetails.do?id=110450</v>
      </c>
      <c r="B2562" s="2" t="s">
        <v>7199</v>
      </c>
      <c r="C2562" s="2" t="s">
        <v>7095</v>
      </c>
      <c r="D2562" s="2" t="s">
        <v>152</v>
      </c>
      <c r="E2562" s="2" t="s">
        <v>47</v>
      </c>
      <c r="F2562" s="2" t="s">
        <v>16</v>
      </c>
      <c r="G2562" s="2" t="s">
        <v>41</v>
      </c>
      <c r="H2562" s="2"/>
      <c r="I2562" s="2"/>
      <c r="J2562" s="2" t="s">
        <v>42</v>
      </c>
      <c r="K2562" s="2"/>
      <c r="L2562" s="2" t="s">
        <v>7198</v>
      </c>
    </row>
    <row r="2563" customFormat="false" ht="11.9" hidden="false" customHeight="true" outlineLevel="0" collapsed="false">
      <c r="A2563" s="3" t="str">
        <f aca="false">HYPERLINK("https://www.fabsurplus.com/sdi_catalog/salesItemDetails.do?id=110449")</f>
        <v>https://www.fabsurplus.com/sdi_catalog/salesItemDetails.do?id=110449</v>
      </c>
      <c r="B2563" s="3" t="s">
        <v>7200</v>
      </c>
      <c r="C2563" s="3" t="s">
        <v>7095</v>
      </c>
      <c r="D2563" s="3" t="s">
        <v>152</v>
      </c>
      <c r="E2563" s="3" t="s">
        <v>47</v>
      </c>
      <c r="F2563" s="3" t="s">
        <v>16</v>
      </c>
      <c r="G2563" s="3" t="s">
        <v>41</v>
      </c>
      <c r="H2563" s="3"/>
      <c r="I2563" s="3"/>
      <c r="J2563" s="3" t="s">
        <v>42</v>
      </c>
      <c r="K2563" s="3"/>
      <c r="L2563" s="3" t="s">
        <v>741</v>
      </c>
    </row>
    <row r="2564" customFormat="false" ht="11.9" hidden="false" customHeight="true" outlineLevel="0" collapsed="false">
      <c r="A2564" s="3" t="str">
        <f aca="false">HYPERLINK("https://www.fabsurplus.com/sdi_catalog/salesItemDetails.do?id=110415")</f>
        <v>https://www.fabsurplus.com/sdi_catalog/salesItemDetails.do?id=110415</v>
      </c>
      <c r="B2564" s="3" t="s">
        <v>7201</v>
      </c>
      <c r="C2564" s="3" t="s">
        <v>7202</v>
      </c>
      <c r="D2564" s="3" t="s">
        <v>7203</v>
      </c>
      <c r="E2564" s="3" t="s">
        <v>40</v>
      </c>
      <c r="F2564" s="3" t="s">
        <v>16</v>
      </c>
      <c r="G2564" s="3" t="s">
        <v>41</v>
      </c>
      <c r="H2564" s="3"/>
      <c r="I2564" s="3"/>
      <c r="J2564" s="3" t="s">
        <v>42</v>
      </c>
      <c r="K2564" s="3"/>
      <c r="L2564" s="3" t="s">
        <v>7204</v>
      </c>
    </row>
    <row r="2565" customFormat="false" ht="11.9" hidden="false" customHeight="true" outlineLevel="0" collapsed="false">
      <c r="A2565" s="2" t="str">
        <f aca="false">HYPERLINK("https://www.fabsurplus.com/sdi_catalog/salesItemDetails.do?id=110460")</f>
        <v>https://www.fabsurplus.com/sdi_catalog/salesItemDetails.do?id=110460</v>
      </c>
      <c r="B2565" s="2" t="s">
        <v>7205</v>
      </c>
      <c r="C2565" s="2" t="s">
        <v>7206</v>
      </c>
      <c r="D2565" s="2" t="s">
        <v>7207</v>
      </c>
      <c r="E2565" s="2" t="s">
        <v>133</v>
      </c>
      <c r="F2565" s="2" t="s">
        <v>16</v>
      </c>
      <c r="G2565" s="2" t="s">
        <v>41</v>
      </c>
      <c r="H2565" s="2"/>
      <c r="I2565" s="2"/>
      <c r="J2565" s="2" t="s">
        <v>42</v>
      </c>
      <c r="K2565" s="2"/>
      <c r="L2565" s="2" t="s">
        <v>349</v>
      </c>
    </row>
    <row r="2566" customFormat="false" ht="11.9" hidden="false" customHeight="true" outlineLevel="0" collapsed="false">
      <c r="A2566" s="3" t="str">
        <f aca="false">HYPERLINK("https://www.fabsurplus.com/sdi_catalog/salesItemDetails.do?id=110461")</f>
        <v>https://www.fabsurplus.com/sdi_catalog/salesItemDetails.do?id=110461</v>
      </c>
      <c r="B2566" s="3" t="s">
        <v>7208</v>
      </c>
      <c r="C2566" s="3" t="s">
        <v>7206</v>
      </c>
      <c r="D2566" s="3" t="s">
        <v>7209</v>
      </c>
      <c r="E2566" s="3" t="s">
        <v>133</v>
      </c>
      <c r="F2566" s="3" t="s">
        <v>16</v>
      </c>
      <c r="G2566" s="3" t="s">
        <v>41</v>
      </c>
      <c r="H2566" s="3"/>
      <c r="I2566" s="3"/>
      <c r="J2566" s="3" t="s">
        <v>42</v>
      </c>
      <c r="K2566" s="3"/>
      <c r="L2566" s="3" t="s">
        <v>7210</v>
      </c>
    </row>
    <row r="2567" customFormat="false" ht="11.9" hidden="false" customHeight="true" outlineLevel="0" collapsed="false">
      <c r="A2567" s="3" t="str">
        <f aca="false">HYPERLINK("https://www.fabsurplus.com/sdi_catalog/salesItemDetails.do?id=110463")</f>
        <v>https://www.fabsurplus.com/sdi_catalog/salesItemDetails.do?id=110463</v>
      </c>
      <c r="B2567" s="3" t="s">
        <v>7211</v>
      </c>
      <c r="C2567" s="3" t="s">
        <v>7206</v>
      </c>
      <c r="D2567" s="3" t="s">
        <v>7212</v>
      </c>
      <c r="E2567" s="3" t="s">
        <v>40</v>
      </c>
      <c r="F2567" s="3" t="s">
        <v>16</v>
      </c>
      <c r="G2567" s="3" t="s">
        <v>41</v>
      </c>
      <c r="H2567" s="3"/>
      <c r="I2567" s="3"/>
      <c r="J2567" s="3" t="s">
        <v>42</v>
      </c>
      <c r="K2567" s="3"/>
      <c r="L2567" s="3" t="s">
        <v>349</v>
      </c>
    </row>
    <row r="2568" customFormat="false" ht="11.9" hidden="false" customHeight="true" outlineLevel="0" collapsed="false">
      <c r="A2568" s="2" t="str">
        <f aca="false">HYPERLINK("https://www.fabsurplus.com/sdi_catalog/salesItemDetails.do?id=110462")</f>
        <v>https://www.fabsurplus.com/sdi_catalog/salesItemDetails.do?id=110462</v>
      </c>
      <c r="B2568" s="2" t="s">
        <v>7213</v>
      </c>
      <c r="C2568" s="2" t="s">
        <v>7206</v>
      </c>
      <c r="D2568" s="2" t="s">
        <v>7212</v>
      </c>
      <c r="E2568" s="2" t="s">
        <v>40</v>
      </c>
      <c r="F2568" s="2" t="s">
        <v>16</v>
      </c>
      <c r="G2568" s="2" t="s">
        <v>41</v>
      </c>
      <c r="H2568" s="2"/>
      <c r="I2568" s="2"/>
      <c r="J2568" s="2" t="s">
        <v>42</v>
      </c>
      <c r="K2568" s="2"/>
      <c r="L2568" s="2" t="s">
        <v>349</v>
      </c>
    </row>
    <row r="2569" customFormat="false" ht="11.9" hidden="false" customHeight="true" outlineLevel="0" collapsed="false">
      <c r="A2569" s="2" t="str">
        <f aca="false">HYPERLINK("https://www.fabsurplus.com/sdi_catalog/salesItemDetails.do?id=110464")</f>
        <v>https://www.fabsurplus.com/sdi_catalog/salesItemDetails.do?id=110464</v>
      </c>
      <c r="B2569" s="2" t="s">
        <v>7214</v>
      </c>
      <c r="C2569" s="2" t="s">
        <v>7206</v>
      </c>
      <c r="D2569" s="2" t="s">
        <v>733</v>
      </c>
      <c r="E2569" s="2" t="s">
        <v>47</v>
      </c>
      <c r="F2569" s="2" t="s">
        <v>16</v>
      </c>
      <c r="G2569" s="2" t="s">
        <v>41</v>
      </c>
      <c r="H2569" s="2"/>
      <c r="I2569" s="2"/>
      <c r="J2569" s="2" t="s">
        <v>42</v>
      </c>
      <c r="K2569" s="2"/>
      <c r="L2569" s="2" t="s">
        <v>7215</v>
      </c>
    </row>
    <row r="2570" customFormat="false" ht="11.9" hidden="false" customHeight="true" outlineLevel="0" collapsed="false">
      <c r="A2570" s="2" t="str">
        <f aca="false">HYPERLINK("https://www.fabsurplus.com/sdi_catalog/salesItemDetails.do?id=83881")</f>
        <v>https://www.fabsurplus.com/sdi_catalog/salesItemDetails.do?id=83881</v>
      </c>
      <c r="B2570" s="2" t="s">
        <v>7216</v>
      </c>
      <c r="C2570" s="2" t="s">
        <v>7217</v>
      </c>
      <c r="D2570" s="2" t="s">
        <v>7218</v>
      </c>
      <c r="E2570" s="2" t="s">
        <v>7219</v>
      </c>
      <c r="F2570" s="2" t="s">
        <v>69</v>
      </c>
      <c r="G2570" s="2" t="s">
        <v>7220</v>
      </c>
      <c r="H2570" s="2" t="s">
        <v>18</v>
      </c>
      <c r="I2570" s="2"/>
      <c r="J2570" s="2" t="s">
        <v>19</v>
      </c>
      <c r="K2570" s="2" t="s">
        <v>20</v>
      </c>
      <c r="L2570" s="6" t="s">
        <v>7221</v>
      </c>
    </row>
    <row r="2571" customFormat="false" ht="11.9" hidden="false" customHeight="true" outlineLevel="0" collapsed="false">
      <c r="A2571" s="3" t="str">
        <f aca="false">HYPERLINK("https://www.fabsurplus.com/sdi_catalog/salesItemDetails.do?id=53053")</f>
        <v>https://www.fabsurplus.com/sdi_catalog/salesItemDetails.do?id=53053</v>
      </c>
      <c r="B2571" s="3" t="s">
        <v>7222</v>
      </c>
      <c r="C2571" s="3" t="s">
        <v>7217</v>
      </c>
      <c r="D2571" s="3" t="s">
        <v>7223</v>
      </c>
      <c r="E2571" s="3" t="s">
        <v>7224</v>
      </c>
      <c r="F2571" s="3" t="s">
        <v>16</v>
      </c>
      <c r="G2571" s="3" t="s">
        <v>3114</v>
      </c>
      <c r="H2571" s="3" t="s">
        <v>27</v>
      </c>
      <c r="I2571" s="4" t="n">
        <v>34851</v>
      </c>
      <c r="J2571" s="3" t="s">
        <v>19</v>
      </c>
      <c r="K2571" s="3" t="s">
        <v>20</v>
      </c>
      <c r="L2571" s="5" t="s">
        <v>7225</v>
      </c>
    </row>
    <row r="2572" customFormat="false" ht="11.9" hidden="false" customHeight="true" outlineLevel="0" collapsed="false">
      <c r="A2572" s="3" t="str">
        <f aca="false">HYPERLINK("https://www.fabsurplus.com/sdi_catalog/salesItemDetails.do?id=56813")</f>
        <v>https://www.fabsurplus.com/sdi_catalog/salesItemDetails.do?id=56813</v>
      </c>
      <c r="B2572" s="3" t="s">
        <v>7226</v>
      </c>
      <c r="C2572" s="3" t="s">
        <v>7227</v>
      </c>
      <c r="D2572" s="3" t="s">
        <v>7228</v>
      </c>
      <c r="E2572" s="3" t="s">
        <v>7229</v>
      </c>
      <c r="F2572" s="3" t="s">
        <v>16</v>
      </c>
      <c r="G2572" s="3" t="s">
        <v>3353</v>
      </c>
      <c r="H2572" s="3" t="s">
        <v>27</v>
      </c>
      <c r="I2572" s="4" t="n">
        <v>40452</v>
      </c>
      <c r="J2572" s="3" t="s">
        <v>19</v>
      </c>
      <c r="K2572" s="3" t="s">
        <v>20</v>
      </c>
      <c r="L2572" s="5" t="s">
        <v>7230</v>
      </c>
    </row>
    <row r="2573" customFormat="false" ht="11.9" hidden="false" customHeight="true" outlineLevel="0" collapsed="false">
      <c r="A2573" s="3" t="str">
        <f aca="false">HYPERLINK("https://www.fabsurplus.com/sdi_catalog/salesItemDetails.do?id=110465")</f>
        <v>https://www.fabsurplus.com/sdi_catalog/salesItemDetails.do?id=110465</v>
      </c>
      <c r="B2573" s="3" t="s">
        <v>7231</v>
      </c>
      <c r="C2573" s="3" t="s">
        <v>7232</v>
      </c>
      <c r="D2573" s="3" t="s">
        <v>7233</v>
      </c>
      <c r="E2573" s="3" t="s">
        <v>40</v>
      </c>
      <c r="F2573" s="3" t="s">
        <v>16</v>
      </c>
      <c r="G2573" s="3" t="s">
        <v>41</v>
      </c>
      <c r="H2573" s="3"/>
      <c r="I2573" s="3"/>
      <c r="J2573" s="3" t="s">
        <v>42</v>
      </c>
      <c r="K2573" s="3"/>
      <c r="L2573" s="3" t="s">
        <v>7234</v>
      </c>
    </row>
    <row r="2574" customFormat="false" ht="11.9" hidden="false" customHeight="true" outlineLevel="0" collapsed="false">
      <c r="A2574" s="2" t="str">
        <f aca="false">HYPERLINK("https://www.fabsurplus.com/sdi_catalog/salesItemDetails.do?id=84373")</f>
        <v>https://www.fabsurplus.com/sdi_catalog/salesItemDetails.do?id=84373</v>
      </c>
      <c r="B2574" s="2" t="s">
        <v>7235</v>
      </c>
      <c r="C2574" s="2" t="s">
        <v>7236</v>
      </c>
      <c r="D2574" s="2" t="s">
        <v>7237</v>
      </c>
      <c r="E2574" s="2" t="s">
        <v>7238</v>
      </c>
      <c r="F2574" s="2" t="s">
        <v>77</v>
      </c>
      <c r="G2574" s="2"/>
      <c r="H2574" s="2" t="s">
        <v>27</v>
      </c>
      <c r="I2574" s="2"/>
      <c r="J2574" s="2" t="s">
        <v>19</v>
      </c>
      <c r="K2574" s="2" t="s">
        <v>20</v>
      </c>
      <c r="L2574" s="6" t="s">
        <v>7239</v>
      </c>
    </row>
    <row r="2575" customFormat="false" ht="11.9" hidden="false" customHeight="true" outlineLevel="0" collapsed="false">
      <c r="A2575" s="3" t="str">
        <f aca="false">HYPERLINK("https://www.fabsurplus.com/sdi_catalog/salesItemDetails.do?id=86303")</f>
        <v>https://www.fabsurplus.com/sdi_catalog/salesItemDetails.do?id=86303</v>
      </c>
      <c r="B2575" s="3" t="s">
        <v>7240</v>
      </c>
      <c r="C2575" s="3" t="s">
        <v>7241</v>
      </c>
      <c r="D2575" s="3" t="s">
        <v>7242</v>
      </c>
      <c r="E2575" s="3" t="s">
        <v>7243</v>
      </c>
      <c r="F2575" s="3" t="s">
        <v>16</v>
      </c>
      <c r="G2575" s="3" t="s">
        <v>4354</v>
      </c>
      <c r="H2575" s="3" t="s">
        <v>27</v>
      </c>
      <c r="I2575" s="4" t="n">
        <v>35247</v>
      </c>
      <c r="J2575" s="3" t="s">
        <v>19</v>
      </c>
      <c r="K2575" s="3" t="s">
        <v>20</v>
      </c>
      <c r="L2575" s="5" t="s">
        <v>7244</v>
      </c>
    </row>
    <row r="2576" customFormat="false" ht="11.9" hidden="false" customHeight="true" outlineLevel="0" collapsed="false">
      <c r="A2576" s="2" t="str">
        <f aca="false">HYPERLINK("https://www.fabsurplus.com/sdi_catalog/salesItemDetails.do?id=106206")</f>
        <v>https://www.fabsurplus.com/sdi_catalog/salesItemDetails.do?id=106206</v>
      </c>
      <c r="B2576" s="2" t="s">
        <v>7245</v>
      </c>
      <c r="C2576" s="2" t="s">
        <v>7246</v>
      </c>
      <c r="D2576" s="2" t="s">
        <v>7247</v>
      </c>
      <c r="E2576" s="2" t="s">
        <v>7248</v>
      </c>
      <c r="F2576" s="2" t="s">
        <v>77</v>
      </c>
      <c r="G2576" s="2" t="s">
        <v>26</v>
      </c>
      <c r="H2576" s="2" t="s">
        <v>35</v>
      </c>
      <c r="I2576" s="2"/>
      <c r="J2576" s="2" t="s">
        <v>19</v>
      </c>
      <c r="K2576" s="2" t="s">
        <v>20</v>
      </c>
      <c r="L2576" s="6" t="s">
        <v>7249</v>
      </c>
    </row>
    <row r="2577" customFormat="false" ht="11.9" hidden="false" customHeight="true" outlineLevel="0" collapsed="false">
      <c r="A2577" s="3" t="str">
        <f aca="false">HYPERLINK("https://www.fabsurplus.com/sdi_catalog/salesItemDetails.do?id=83634")</f>
        <v>https://www.fabsurplus.com/sdi_catalog/salesItemDetails.do?id=83634</v>
      </c>
      <c r="B2577" s="3" t="s">
        <v>7250</v>
      </c>
      <c r="C2577" s="3" t="s">
        <v>7251</v>
      </c>
      <c r="D2577" s="3" t="s">
        <v>7252</v>
      </c>
      <c r="E2577" s="3" t="s">
        <v>7253</v>
      </c>
      <c r="F2577" s="3" t="s">
        <v>77</v>
      </c>
      <c r="G2577" s="3" t="s">
        <v>7254</v>
      </c>
      <c r="H2577" s="3" t="s">
        <v>18</v>
      </c>
      <c r="I2577" s="4" t="n">
        <v>38929.9166666667</v>
      </c>
      <c r="J2577" s="3" t="s">
        <v>19</v>
      </c>
      <c r="K2577" s="3" t="s">
        <v>20</v>
      </c>
      <c r="L2577" s="5" t="s">
        <v>7255</v>
      </c>
    </row>
    <row r="2578" customFormat="false" ht="11.9" hidden="false" customHeight="true" outlineLevel="0" collapsed="false">
      <c r="A2578" s="2" t="str">
        <f aca="false">HYPERLINK("https://www.fabsurplus.com/sdi_catalog/salesItemDetails.do?id=83836")</f>
        <v>https://www.fabsurplus.com/sdi_catalog/salesItemDetails.do?id=83836</v>
      </c>
      <c r="B2578" s="2" t="s">
        <v>7256</v>
      </c>
      <c r="C2578" s="2" t="s">
        <v>7257</v>
      </c>
      <c r="D2578" s="2" t="s">
        <v>7258</v>
      </c>
      <c r="E2578" s="2"/>
      <c r="F2578" s="2" t="s">
        <v>16</v>
      </c>
      <c r="G2578" s="2"/>
      <c r="H2578" s="2" t="s">
        <v>27</v>
      </c>
      <c r="I2578" s="2"/>
      <c r="J2578" s="2" t="s">
        <v>19</v>
      </c>
      <c r="K2578" s="2" t="s">
        <v>20</v>
      </c>
      <c r="L2578" s="6" t="s">
        <v>7259</v>
      </c>
    </row>
    <row r="2579" customFormat="false" ht="11.9" hidden="false" customHeight="true" outlineLevel="0" collapsed="false">
      <c r="A2579" s="3" t="str">
        <f aca="false">HYPERLINK("https://www.fabsurplus.com/sdi_catalog/salesItemDetails.do?id=84387")</f>
        <v>https://www.fabsurplus.com/sdi_catalog/salesItemDetails.do?id=84387</v>
      </c>
      <c r="B2579" s="3" t="s">
        <v>7260</v>
      </c>
      <c r="C2579" s="3" t="s">
        <v>7261</v>
      </c>
      <c r="D2579" s="3" t="s">
        <v>7262</v>
      </c>
      <c r="E2579" s="3" t="s">
        <v>5417</v>
      </c>
      <c r="F2579" s="3" t="s">
        <v>104</v>
      </c>
      <c r="G2579" s="3"/>
      <c r="H2579" s="3" t="s">
        <v>18</v>
      </c>
      <c r="I2579" s="3"/>
      <c r="J2579" s="3" t="s">
        <v>19</v>
      </c>
      <c r="K2579" s="3" t="s">
        <v>20</v>
      </c>
      <c r="L2579" s="5" t="s">
        <v>7263</v>
      </c>
    </row>
    <row r="2580" customFormat="false" ht="11.9" hidden="false" customHeight="true" outlineLevel="0" collapsed="false">
      <c r="A2580" s="2" t="str">
        <f aca="false">HYPERLINK("https://www.fabsurplus.com/sdi_catalog/salesItemDetails.do?id=21521")</f>
        <v>https://www.fabsurplus.com/sdi_catalog/salesItemDetails.do?id=21521</v>
      </c>
      <c r="B2580" s="2" t="s">
        <v>7264</v>
      </c>
      <c r="C2580" s="2" t="s">
        <v>7265</v>
      </c>
      <c r="D2580" s="2" t="s">
        <v>7266</v>
      </c>
      <c r="E2580" s="2" t="s">
        <v>7267</v>
      </c>
      <c r="F2580" s="2" t="s">
        <v>16</v>
      </c>
      <c r="G2580" s="2" t="s">
        <v>4947</v>
      </c>
      <c r="H2580" s="2" t="s">
        <v>35</v>
      </c>
      <c r="I2580" s="7" t="n">
        <v>34851</v>
      </c>
      <c r="J2580" s="2" t="s">
        <v>19</v>
      </c>
      <c r="K2580" s="2" t="s">
        <v>20</v>
      </c>
      <c r="L2580" s="2" t="s">
        <v>7268</v>
      </c>
    </row>
    <row r="2581" customFormat="false" ht="11.9" hidden="false" customHeight="true" outlineLevel="0" collapsed="false">
      <c r="A2581" s="3" t="str">
        <f aca="false">HYPERLINK("https://www.fabsurplus.com/sdi_catalog/salesItemDetails.do?id=52191")</f>
        <v>https://www.fabsurplus.com/sdi_catalog/salesItemDetails.do?id=52191</v>
      </c>
      <c r="B2581" s="3" t="s">
        <v>7269</v>
      </c>
      <c r="C2581" s="3" t="s">
        <v>7270</v>
      </c>
      <c r="D2581" s="3" t="s">
        <v>7271</v>
      </c>
      <c r="E2581" s="3" t="s">
        <v>7272</v>
      </c>
      <c r="F2581" s="3" t="s">
        <v>16</v>
      </c>
      <c r="G2581" s="3" t="s">
        <v>17</v>
      </c>
      <c r="H2581" s="3" t="s">
        <v>27</v>
      </c>
      <c r="I2581" s="4" t="n">
        <v>36312</v>
      </c>
      <c r="J2581" s="3" t="s">
        <v>19</v>
      </c>
      <c r="K2581" s="3" t="s">
        <v>20</v>
      </c>
      <c r="L2581" s="5" t="s">
        <v>7273</v>
      </c>
    </row>
    <row r="2582" customFormat="false" ht="11.9" hidden="false" customHeight="true" outlineLevel="0" collapsed="false">
      <c r="A2582" s="2" t="str">
        <f aca="false">HYPERLINK("https://www.fabsurplus.com/sdi_catalog/salesItemDetails.do?id=71921")</f>
        <v>https://www.fabsurplus.com/sdi_catalog/salesItemDetails.do?id=71921</v>
      </c>
      <c r="B2582" s="2" t="s">
        <v>7274</v>
      </c>
      <c r="C2582" s="2" t="s">
        <v>7270</v>
      </c>
      <c r="D2582" s="2" t="s">
        <v>7275</v>
      </c>
      <c r="E2582" s="2" t="s">
        <v>7276</v>
      </c>
      <c r="F2582" s="2" t="s">
        <v>16</v>
      </c>
      <c r="G2582" s="2" t="s">
        <v>17</v>
      </c>
      <c r="H2582" s="2" t="s">
        <v>27</v>
      </c>
      <c r="I2582" s="7" t="n">
        <v>36434</v>
      </c>
      <c r="J2582" s="2" t="s">
        <v>19</v>
      </c>
      <c r="K2582" s="2" t="s">
        <v>20</v>
      </c>
      <c r="L2582" s="6" t="s">
        <v>7277</v>
      </c>
    </row>
    <row r="2583" customFormat="false" ht="11.9" hidden="false" customHeight="true" outlineLevel="0" collapsed="false">
      <c r="A2583" s="2" t="str">
        <f aca="false">HYPERLINK("https://www.fabsurplus.com/sdi_catalog/salesItemDetails.do?id=115408")</f>
        <v>https://www.fabsurplus.com/sdi_catalog/salesItemDetails.do?id=115408</v>
      </c>
      <c r="B2583" s="2" t="s">
        <v>7278</v>
      </c>
      <c r="C2583" s="2" t="s">
        <v>7279</v>
      </c>
      <c r="D2583" s="2" t="s">
        <v>7280</v>
      </c>
      <c r="E2583" s="2" t="s">
        <v>7281</v>
      </c>
      <c r="F2583" s="2" t="s">
        <v>16</v>
      </c>
      <c r="G2583" s="2" t="s">
        <v>26</v>
      </c>
      <c r="H2583" s="2"/>
      <c r="I2583" s="2"/>
      <c r="J2583" s="2" t="s">
        <v>19</v>
      </c>
      <c r="K2583" s="2"/>
      <c r="L2583" s="2" t="s">
        <v>63</v>
      </c>
    </row>
    <row r="2584" customFormat="false" ht="11.9" hidden="false" customHeight="true" outlineLevel="0" collapsed="false">
      <c r="A2584" s="3" t="str">
        <f aca="false">HYPERLINK("https://www.fabsurplus.com/sdi_catalog/salesItemDetails.do?id=20268")</f>
        <v>https://www.fabsurplus.com/sdi_catalog/salesItemDetails.do?id=20268</v>
      </c>
      <c r="B2584" s="3" t="s">
        <v>7282</v>
      </c>
      <c r="C2584" s="3" t="s">
        <v>7283</v>
      </c>
      <c r="D2584" s="3" t="s">
        <v>7284</v>
      </c>
      <c r="E2584" s="3" t="s">
        <v>7285</v>
      </c>
      <c r="F2584" s="3" t="s">
        <v>3434</v>
      </c>
      <c r="G2584" s="3" t="s">
        <v>3114</v>
      </c>
      <c r="H2584" s="3" t="s">
        <v>27</v>
      </c>
      <c r="I2584" s="4" t="n">
        <v>38869</v>
      </c>
      <c r="J2584" s="3" t="s">
        <v>19</v>
      </c>
      <c r="K2584" s="3" t="s">
        <v>20</v>
      </c>
      <c r="L2584" s="5" t="s">
        <v>7286</v>
      </c>
    </row>
    <row r="2585" customFormat="false" ht="11.9" hidden="false" customHeight="true" outlineLevel="0" collapsed="false">
      <c r="A2585" s="3" t="str">
        <f aca="false">HYPERLINK("https://www.fabsurplus.com/sdi_catalog/salesItemDetails.do?id=77189")</f>
        <v>https://www.fabsurplus.com/sdi_catalog/salesItemDetails.do?id=77189</v>
      </c>
      <c r="B2585" s="3" t="s">
        <v>7287</v>
      </c>
      <c r="C2585" s="3" t="s">
        <v>7288</v>
      </c>
      <c r="D2585" s="3" t="s">
        <v>7289</v>
      </c>
      <c r="E2585" s="3" t="s">
        <v>7290</v>
      </c>
      <c r="F2585" s="3" t="s">
        <v>199</v>
      </c>
      <c r="G2585" s="3" t="s">
        <v>1029</v>
      </c>
      <c r="H2585" s="3" t="s">
        <v>1691</v>
      </c>
      <c r="I2585" s="4" t="n">
        <v>40330</v>
      </c>
      <c r="J2585" s="3" t="s">
        <v>19</v>
      </c>
      <c r="K2585" s="3" t="s">
        <v>20</v>
      </c>
      <c r="L2585" s="5" t="s">
        <v>7291</v>
      </c>
    </row>
    <row r="2586" customFormat="false" ht="11.9" hidden="false" customHeight="true" outlineLevel="0" collapsed="false">
      <c r="A2586" s="2" t="str">
        <f aca="false">HYPERLINK("https://www.fabsurplus.com/sdi_catalog/salesItemDetails.do?id=77185")</f>
        <v>https://www.fabsurplus.com/sdi_catalog/salesItemDetails.do?id=77185</v>
      </c>
      <c r="B2586" s="2" t="s">
        <v>7292</v>
      </c>
      <c r="C2586" s="2" t="s">
        <v>7288</v>
      </c>
      <c r="D2586" s="2" t="s">
        <v>7293</v>
      </c>
      <c r="E2586" s="2" t="s">
        <v>7294</v>
      </c>
      <c r="F2586" s="2" t="s">
        <v>16</v>
      </c>
      <c r="G2586" s="2"/>
      <c r="H2586" s="2" t="s">
        <v>35</v>
      </c>
      <c r="I2586" s="2"/>
      <c r="J2586" s="2" t="s">
        <v>19</v>
      </c>
      <c r="K2586" s="2" t="s">
        <v>20</v>
      </c>
      <c r="L2586" s="6" t="s">
        <v>7295</v>
      </c>
    </row>
    <row r="2587" customFormat="false" ht="11.9" hidden="false" customHeight="true" outlineLevel="0" collapsed="false">
      <c r="A2587" s="3" t="str">
        <f aca="false">HYPERLINK("https://www.fabsurplus.com/sdi_catalog/salesItemDetails.do?id=110467")</f>
        <v>https://www.fabsurplus.com/sdi_catalog/salesItemDetails.do?id=110467</v>
      </c>
      <c r="B2587" s="3" t="s">
        <v>7296</v>
      </c>
      <c r="C2587" s="3" t="s">
        <v>7288</v>
      </c>
      <c r="D2587" s="3" t="s">
        <v>7297</v>
      </c>
      <c r="E2587" s="3" t="s">
        <v>40</v>
      </c>
      <c r="F2587" s="3" t="s">
        <v>16</v>
      </c>
      <c r="G2587" s="3" t="s">
        <v>41</v>
      </c>
      <c r="H2587" s="3"/>
      <c r="I2587" s="3"/>
      <c r="J2587" s="3" t="s">
        <v>42</v>
      </c>
      <c r="K2587" s="3"/>
      <c r="L2587" s="3" t="s">
        <v>7298</v>
      </c>
    </row>
    <row r="2588" customFormat="false" ht="11.9" hidden="false" customHeight="true" outlineLevel="0" collapsed="false">
      <c r="A2588" s="2" t="str">
        <f aca="false">HYPERLINK("https://www.fabsurplus.com/sdi_catalog/salesItemDetails.do?id=110466")</f>
        <v>https://www.fabsurplus.com/sdi_catalog/salesItemDetails.do?id=110466</v>
      </c>
      <c r="B2588" s="2" t="s">
        <v>7299</v>
      </c>
      <c r="C2588" s="2" t="s">
        <v>7288</v>
      </c>
      <c r="D2588" s="2" t="s">
        <v>7300</v>
      </c>
      <c r="E2588" s="2" t="s">
        <v>40</v>
      </c>
      <c r="F2588" s="2" t="s">
        <v>16</v>
      </c>
      <c r="G2588" s="2" t="s">
        <v>41</v>
      </c>
      <c r="H2588" s="2"/>
      <c r="I2588" s="2"/>
      <c r="J2588" s="2" t="s">
        <v>42</v>
      </c>
      <c r="K2588" s="2"/>
      <c r="L2588" s="2" t="s">
        <v>7301</v>
      </c>
    </row>
    <row r="2589" customFormat="false" ht="11.9" hidden="false" customHeight="true" outlineLevel="0" collapsed="false">
      <c r="A2589" s="3" t="str">
        <f aca="false">HYPERLINK("https://www.fabsurplus.com/sdi_catalog/salesItemDetails.do?id=77198")</f>
        <v>https://www.fabsurplus.com/sdi_catalog/salesItemDetails.do?id=77198</v>
      </c>
      <c r="B2589" s="3" t="s">
        <v>7302</v>
      </c>
      <c r="C2589" s="3" t="s">
        <v>7288</v>
      </c>
      <c r="D2589" s="3" t="s">
        <v>7303</v>
      </c>
      <c r="E2589" s="3" t="s">
        <v>7304</v>
      </c>
      <c r="F2589" s="3" t="s">
        <v>69</v>
      </c>
      <c r="G2589" s="3" t="s">
        <v>1029</v>
      </c>
      <c r="H2589" s="3" t="s">
        <v>27</v>
      </c>
      <c r="I2589" s="3"/>
      <c r="J2589" s="3" t="s">
        <v>19</v>
      </c>
      <c r="K2589" s="3" t="s">
        <v>20</v>
      </c>
      <c r="L2589" s="5" t="s">
        <v>7305</v>
      </c>
    </row>
    <row r="2590" customFormat="false" ht="11.9" hidden="false" customHeight="true" outlineLevel="0" collapsed="false">
      <c r="A2590" s="2" t="str">
        <f aca="false">HYPERLINK("https://www.fabsurplus.com/sdi_catalog/salesItemDetails.do?id=77191")</f>
        <v>https://www.fabsurplus.com/sdi_catalog/salesItemDetails.do?id=77191</v>
      </c>
      <c r="B2590" s="2" t="s">
        <v>7306</v>
      </c>
      <c r="C2590" s="2" t="s">
        <v>7288</v>
      </c>
      <c r="D2590" s="2" t="s">
        <v>7307</v>
      </c>
      <c r="E2590" s="2" t="s">
        <v>7308</v>
      </c>
      <c r="F2590" s="2" t="s">
        <v>889</v>
      </c>
      <c r="G2590" s="2" t="s">
        <v>1029</v>
      </c>
      <c r="H2590" s="2" t="s">
        <v>27</v>
      </c>
      <c r="I2590" s="2"/>
      <c r="J2590" s="2" t="s">
        <v>19</v>
      </c>
      <c r="K2590" s="2" t="s">
        <v>20</v>
      </c>
      <c r="L2590" s="6" t="s">
        <v>7309</v>
      </c>
    </row>
    <row r="2591" customFormat="false" ht="11.9" hidden="false" customHeight="true" outlineLevel="0" collapsed="false">
      <c r="A2591" s="3" t="str">
        <f aca="false">HYPERLINK("https://www.fabsurplus.com/sdi_catalog/salesItemDetails.do?id=84365")</f>
        <v>https://www.fabsurplus.com/sdi_catalog/salesItemDetails.do?id=84365</v>
      </c>
      <c r="B2591" s="3" t="s">
        <v>7310</v>
      </c>
      <c r="C2591" s="3" t="s">
        <v>7311</v>
      </c>
      <c r="D2591" s="3" t="s">
        <v>7312</v>
      </c>
      <c r="E2591" s="3" t="s">
        <v>7313</v>
      </c>
      <c r="F2591" s="3" t="s">
        <v>16</v>
      </c>
      <c r="G2591" s="3" t="s">
        <v>26</v>
      </c>
      <c r="H2591" s="3" t="s">
        <v>35</v>
      </c>
      <c r="I2591" s="3"/>
      <c r="J2591" s="3" t="s">
        <v>19</v>
      </c>
      <c r="K2591" s="3" t="s">
        <v>20</v>
      </c>
      <c r="L2591" s="5" t="s">
        <v>7314</v>
      </c>
    </row>
    <row r="2592" customFormat="false" ht="11.9" hidden="false" customHeight="true" outlineLevel="0" collapsed="false">
      <c r="A2592" s="2" t="str">
        <f aca="false">HYPERLINK("https://www.fabsurplus.com/sdi_catalog/salesItemDetails.do?id=84364")</f>
        <v>https://www.fabsurplus.com/sdi_catalog/salesItemDetails.do?id=84364</v>
      </c>
      <c r="B2592" s="2" t="s">
        <v>7315</v>
      </c>
      <c r="C2592" s="2" t="s">
        <v>7311</v>
      </c>
      <c r="D2592" s="2" t="s">
        <v>7316</v>
      </c>
      <c r="E2592" s="2" t="s">
        <v>7317</v>
      </c>
      <c r="F2592" s="2" t="s">
        <v>16</v>
      </c>
      <c r="G2592" s="2" t="s">
        <v>7318</v>
      </c>
      <c r="H2592" s="2" t="s">
        <v>35</v>
      </c>
      <c r="I2592" s="2"/>
      <c r="J2592" s="2" t="s">
        <v>19</v>
      </c>
      <c r="K2592" s="2" t="s">
        <v>20</v>
      </c>
      <c r="L2592" s="6" t="s">
        <v>7319</v>
      </c>
    </row>
    <row r="2593" customFormat="false" ht="11.9" hidden="false" customHeight="true" outlineLevel="0" collapsed="false">
      <c r="A2593" s="2" t="str">
        <f aca="false">HYPERLINK("https://www.fabsurplus.com/sdi_catalog/salesItemDetails.do?id=116420")</f>
        <v>https://www.fabsurplus.com/sdi_catalog/salesItemDetails.do?id=116420</v>
      </c>
      <c r="B2593" s="2" t="s">
        <v>7320</v>
      </c>
      <c r="C2593" s="2" t="s">
        <v>7311</v>
      </c>
      <c r="D2593" s="2" t="s">
        <v>7321</v>
      </c>
      <c r="E2593" s="2" t="s">
        <v>7322</v>
      </c>
      <c r="F2593" s="2" t="s">
        <v>16</v>
      </c>
      <c r="G2593" s="2" t="s">
        <v>3106</v>
      </c>
      <c r="H2593" s="2" t="s">
        <v>35</v>
      </c>
      <c r="I2593" s="7" t="n">
        <v>35217</v>
      </c>
      <c r="J2593" s="2" t="s">
        <v>19</v>
      </c>
      <c r="K2593" s="2" t="s">
        <v>20</v>
      </c>
      <c r="L2593" s="6" t="s">
        <v>7323</v>
      </c>
    </row>
    <row r="2594" customFormat="false" ht="11.9" hidden="false" customHeight="true" outlineLevel="0" collapsed="false">
      <c r="A2594" s="3" t="str">
        <f aca="false">HYPERLINK("https://www.fabsurplus.com/sdi_catalog/salesItemDetails.do?id=78169")</f>
        <v>https://www.fabsurplus.com/sdi_catalog/salesItemDetails.do?id=78169</v>
      </c>
      <c r="B2594" s="3" t="s">
        <v>7324</v>
      </c>
      <c r="C2594" s="3" t="s">
        <v>7325</v>
      </c>
      <c r="D2594" s="3" t="s">
        <v>7326</v>
      </c>
      <c r="E2594" s="3" t="s">
        <v>7327</v>
      </c>
      <c r="F2594" s="3" t="s">
        <v>16</v>
      </c>
      <c r="G2594" s="3" t="s">
        <v>3114</v>
      </c>
      <c r="H2594" s="3" t="s">
        <v>27</v>
      </c>
      <c r="I2594" s="4" t="n">
        <v>37742</v>
      </c>
      <c r="J2594" s="3" t="s">
        <v>19</v>
      </c>
      <c r="K2594" s="3" t="s">
        <v>20</v>
      </c>
      <c r="L2594" s="5" t="s">
        <v>7328</v>
      </c>
    </row>
    <row r="2595" customFormat="false" ht="11.9" hidden="false" customHeight="true" outlineLevel="0" collapsed="false">
      <c r="A2595" s="2" t="str">
        <f aca="false">HYPERLINK("https://www.fabsurplus.com/sdi_catalog/salesItemDetails.do?id=78170")</f>
        <v>https://www.fabsurplus.com/sdi_catalog/salesItemDetails.do?id=78170</v>
      </c>
      <c r="B2595" s="2" t="s">
        <v>7329</v>
      </c>
      <c r="C2595" s="2" t="s">
        <v>7325</v>
      </c>
      <c r="D2595" s="2" t="s">
        <v>7326</v>
      </c>
      <c r="E2595" s="2" t="s">
        <v>7330</v>
      </c>
      <c r="F2595" s="2" t="s">
        <v>16</v>
      </c>
      <c r="G2595" s="2" t="s">
        <v>3114</v>
      </c>
      <c r="H2595" s="2" t="s">
        <v>27</v>
      </c>
      <c r="I2595" s="7" t="n">
        <v>37803</v>
      </c>
      <c r="J2595" s="2" t="s">
        <v>19</v>
      </c>
      <c r="K2595" s="2" t="s">
        <v>20</v>
      </c>
      <c r="L2595" s="6" t="s">
        <v>7331</v>
      </c>
    </row>
    <row r="2596" customFormat="false" ht="11.9" hidden="false" customHeight="true" outlineLevel="0" collapsed="false">
      <c r="A2596" s="2" t="str">
        <f aca="false">HYPERLINK("https://www.fabsurplus.com/sdi_catalog/salesItemDetails.do?id=110474")</f>
        <v>https://www.fabsurplus.com/sdi_catalog/salesItemDetails.do?id=110474</v>
      </c>
      <c r="B2596" s="2" t="s">
        <v>7332</v>
      </c>
      <c r="C2596" s="2" t="s">
        <v>7333</v>
      </c>
      <c r="D2596" s="2" t="s">
        <v>7334</v>
      </c>
      <c r="E2596" s="2" t="s">
        <v>133</v>
      </c>
      <c r="F2596" s="2" t="s">
        <v>16</v>
      </c>
      <c r="G2596" s="2" t="s">
        <v>41</v>
      </c>
      <c r="H2596" s="2"/>
      <c r="I2596" s="2"/>
      <c r="J2596" s="2" t="s">
        <v>42</v>
      </c>
      <c r="K2596" s="2"/>
      <c r="L2596" s="2" t="s">
        <v>7335</v>
      </c>
    </row>
    <row r="2597" customFormat="false" ht="11.9" hidden="false" customHeight="true" outlineLevel="0" collapsed="false">
      <c r="A2597" s="3" t="str">
        <f aca="false">HYPERLINK("https://www.fabsurplus.com/sdi_catalog/salesItemDetails.do?id=110473")</f>
        <v>https://www.fabsurplus.com/sdi_catalog/salesItemDetails.do?id=110473</v>
      </c>
      <c r="B2597" s="3" t="s">
        <v>7336</v>
      </c>
      <c r="C2597" s="3" t="s">
        <v>7333</v>
      </c>
      <c r="D2597" s="3" t="s">
        <v>7334</v>
      </c>
      <c r="E2597" s="3" t="s">
        <v>133</v>
      </c>
      <c r="F2597" s="3" t="s">
        <v>16</v>
      </c>
      <c r="G2597" s="3" t="s">
        <v>41</v>
      </c>
      <c r="H2597" s="3"/>
      <c r="I2597" s="3"/>
      <c r="J2597" s="3" t="s">
        <v>42</v>
      </c>
      <c r="K2597" s="3"/>
      <c r="L2597" s="3" t="s">
        <v>7337</v>
      </c>
    </row>
    <row r="2598" customFormat="false" ht="11.9" hidden="false" customHeight="true" outlineLevel="0" collapsed="false">
      <c r="A2598" s="3" t="str">
        <f aca="false">HYPERLINK("https://www.fabsurplus.com/sdi_catalog/salesItemDetails.do?id=110475")</f>
        <v>https://www.fabsurplus.com/sdi_catalog/salesItemDetails.do?id=110475</v>
      </c>
      <c r="B2598" s="3" t="s">
        <v>7338</v>
      </c>
      <c r="C2598" s="3" t="s">
        <v>7333</v>
      </c>
      <c r="D2598" s="3" t="s">
        <v>7339</v>
      </c>
      <c r="E2598" s="3" t="s">
        <v>133</v>
      </c>
      <c r="F2598" s="3" t="s">
        <v>16</v>
      </c>
      <c r="G2598" s="3" t="s">
        <v>41</v>
      </c>
      <c r="H2598" s="3"/>
      <c r="I2598" s="3"/>
      <c r="J2598" s="3" t="s">
        <v>42</v>
      </c>
      <c r="K2598" s="3"/>
      <c r="L2598" s="3" t="s">
        <v>7340</v>
      </c>
    </row>
    <row r="2599" customFormat="false" ht="11.9" hidden="false" customHeight="true" outlineLevel="0" collapsed="false">
      <c r="A2599" s="3" t="str">
        <f aca="false">HYPERLINK("https://www.fabsurplus.com/sdi_catalog/salesItemDetails.do?id=110468")</f>
        <v>https://www.fabsurplus.com/sdi_catalog/salesItemDetails.do?id=110468</v>
      </c>
      <c r="B2599" s="3" t="s">
        <v>7341</v>
      </c>
      <c r="C2599" s="3" t="s">
        <v>7333</v>
      </c>
      <c r="D2599" s="3" t="s">
        <v>7342</v>
      </c>
      <c r="E2599" s="3" t="s">
        <v>133</v>
      </c>
      <c r="F2599" s="3" t="s">
        <v>16</v>
      </c>
      <c r="G2599" s="3" t="s">
        <v>41</v>
      </c>
      <c r="H2599" s="3"/>
      <c r="I2599" s="3"/>
      <c r="J2599" s="3" t="s">
        <v>42</v>
      </c>
      <c r="K2599" s="3"/>
      <c r="L2599" s="3" t="s">
        <v>7343</v>
      </c>
    </row>
    <row r="2600" customFormat="false" ht="11.9" hidden="false" customHeight="true" outlineLevel="0" collapsed="false">
      <c r="A2600" s="2" t="str">
        <f aca="false">HYPERLINK("https://www.fabsurplus.com/sdi_catalog/salesItemDetails.do?id=110469")</f>
        <v>https://www.fabsurplus.com/sdi_catalog/salesItemDetails.do?id=110469</v>
      </c>
      <c r="B2600" s="2" t="s">
        <v>7344</v>
      </c>
      <c r="C2600" s="2" t="s">
        <v>7333</v>
      </c>
      <c r="D2600" s="2" t="s">
        <v>7345</v>
      </c>
      <c r="E2600" s="2" t="s">
        <v>133</v>
      </c>
      <c r="F2600" s="2" t="s">
        <v>16</v>
      </c>
      <c r="G2600" s="2" t="s">
        <v>41</v>
      </c>
      <c r="H2600" s="2"/>
      <c r="I2600" s="2"/>
      <c r="J2600" s="2" t="s">
        <v>42</v>
      </c>
      <c r="K2600" s="2"/>
      <c r="L2600" s="2" t="s">
        <v>7346</v>
      </c>
    </row>
    <row r="2601" customFormat="false" ht="11.9" hidden="false" customHeight="true" outlineLevel="0" collapsed="false">
      <c r="A2601" s="3" t="str">
        <f aca="false">HYPERLINK("https://www.fabsurplus.com/sdi_catalog/salesItemDetails.do?id=110470")</f>
        <v>https://www.fabsurplus.com/sdi_catalog/salesItemDetails.do?id=110470</v>
      </c>
      <c r="B2601" s="3" t="s">
        <v>7347</v>
      </c>
      <c r="C2601" s="3" t="s">
        <v>7333</v>
      </c>
      <c r="D2601" s="3" t="s">
        <v>7348</v>
      </c>
      <c r="E2601" s="3" t="s">
        <v>133</v>
      </c>
      <c r="F2601" s="3" t="s">
        <v>16</v>
      </c>
      <c r="G2601" s="3" t="s">
        <v>41</v>
      </c>
      <c r="H2601" s="3"/>
      <c r="I2601" s="3"/>
      <c r="J2601" s="3" t="s">
        <v>42</v>
      </c>
      <c r="K2601" s="3"/>
      <c r="L2601" s="3" t="s">
        <v>7349</v>
      </c>
    </row>
    <row r="2602" customFormat="false" ht="11.9" hidden="false" customHeight="true" outlineLevel="0" collapsed="false">
      <c r="A2602" s="2" t="str">
        <f aca="false">HYPERLINK("https://www.fabsurplus.com/sdi_catalog/salesItemDetails.do?id=110471")</f>
        <v>https://www.fabsurplus.com/sdi_catalog/salesItemDetails.do?id=110471</v>
      </c>
      <c r="B2602" s="2" t="s">
        <v>7350</v>
      </c>
      <c r="C2602" s="2" t="s">
        <v>7333</v>
      </c>
      <c r="D2602" s="2" t="s">
        <v>7351</v>
      </c>
      <c r="E2602" s="2" t="s">
        <v>133</v>
      </c>
      <c r="F2602" s="2" t="s">
        <v>16</v>
      </c>
      <c r="G2602" s="2" t="s">
        <v>41</v>
      </c>
      <c r="H2602" s="2"/>
      <c r="I2602" s="2"/>
      <c r="J2602" s="2" t="s">
        <v>42</v>
      </c>
      <c r="K2602" s="2"/>
      <c r="L2602" s="2" t="s">
        <v>7352</v>
      </c>
    </row>
    <row r="2603" customFormat="false" ht="11.9" hidden="false" customHeight="true" outlineLevel="0" collapsed="false">
      <c r="A2603" s="3" t="str">
        <f aca="false">HYPERLINK("https://www.fabsurplus.com/sdi_catalog/salesItemDetails.do?id=110472")</f>
        <v>https://www.fabsurplus.com/sdi_catalog/salesItemDetails.do?id=110472</v>
      </c>
      <c r="B2603" s="3" t="s">
        <v>7353</v>
      </c>
      <c r="C2603" s="3" t="s">
        <v>7333</v>
      </c>
      <c r="D2603" s="3" t="s">
        <v>7354</v>
      </c>
      <c r="E2603" s="3" t="s">
        <v>133</v>
      </c>
      <c r="F2603" s="3" t="s">
        <v>16</v>
      </c>
      <c r="G2603" s="3" t="s">
        <v>41</v>
      </c>
      <c r="H2603" s="3"/>
      <c r="I2603" s="3"/>
      <c r="J2603" s="3" t="s">
        <v>42</v>
      </c>
      <c r="K2603" s="3"/>
      <c r="L2603" s="3" t="s">
        <v>7355</v>
      </c>
    </row>
    <row r="2604" customFormat="false" ht="11.9" hidden="false" customHeight="true" outlineLevel="0" collapsed="false">
      <c r="A2604" s="2" t="str">
        <f aca="false">HYPERLINK("https://www.fabsurplus.com/sdi_catalog/salesItemDetails.do?id=110480")</f>
        <v>https://www.fabsurplus.com/sdi_catalog/salesItemDetails.do?id=110480</v>
      </c>
      <c r="B2604" s="2" t="s">
        <v>7356</v>
      </c>
      <c r="C2604" s="2" t="s">
        <v>7333</v>
      </c>
      <c r="D2604" s="2" t="s">
        <v>7357</v>
      </c>
      <c r="E2604" s="2" t="s">
        <v>47</v>
      </c>
      <c r="F2604" s="2" t="s">
        <v>16</v>
      </c>
      <c r="G2604" s="2" t="s">
        <v>41</v>
      </c>
      <c r="H2604" s="2" t="s">
        <v>35</v>
      </c>
      <c r="I2604" s="2"/>
      <c r="J2604" s="2" t="s">
        <v>19</v>
      </c>
      <c r="K2604" s="2" t="s">
        <v>20</v>
      </c>
      <c r="L2604" s="2" t="s">
        <v>7358</v>
      </c>
    </row>
    <row r="2605" customFormat="false" ht="11.9" hidden="false" customHeight="true" outlineLevel="0" collapsed="false">
      <c r="A2605" s="3" t="str">
        <f aca="false">HYPERLINK("https://www.fabsurplus.com/sdi_catalog/salesItemDetails.do?id=110479")</f>
        <v>https://www.fabsurplus.com/sdi_catalog/salesItemDetails.do?id=110479</v>
      </c>
      <c r="B2605" s="3" t="s">
        <v>7359</v>
      </c>
      <c r="C2605" s="3" t="s">
        <v>7333</v>
      </c>
      <c r="D2605" s="3" t="s">
        <v>7357</v>
      </c>
      <c r="E2605" s="3" t="s">
        <v>47</v>
      </c>
      <c r="F2605" s="3" t="s">
        <v>16</v>
      </c>
      <c r="G2605" s="3" t="s">
        <v>41</v>
      </c>
      <c r="H2605" s="3"/>
      <c r="I2605" s="3"/>
      <c r="J2605" s="3" t="s">
        <v>42</v>
      </c>
      <c r="K2605" s="3"/>
      <c r="L2605" s="3" t="s">
        <v>7358</v>
      </c>
    </row>
    <row r="2606" customFormat="false" ht="11.9" hidden="false" customHeight="true" outlineLevel="0" collapsed="false">
      <c r="A2606" s="3" t="str">
        <f aca="false">HYPERLINK("https://www.fabsurplus.com/sdi_catalog/salesItemDetails.do?id=110481")</f>
        <v>https://www.fabsurplus.com/sdi_catalog/salesItemDetails.do?id=110481</v>
      </c>
      <c r="B2606" s="3" t="s">
        <v>7360</v>
      </c>
      <c r="C2606" s="3" t="s">
        <v>7333</v>
      </c>
      <c r="D2606" s="3" t="s">
        <v>7357</v>
      </c>
      <c r="E2606" s="3" t="s">
        <v>137</v>
      </c>
      <c r="F2606" s="3" t="s">
        <v>16</v>
      </c>
      <c r="G2606" s="3" t="s">
        <v>41</v>
      </c>
      <c r="H2606" s="3" t="s">
        <v>35</v>
      </c>
      <c r="I2606" s="3"/>
      <c r="J2606" s="3" t="s">
        <v>19</v>
      </c>
      <c r="K2606" s="3" t="s">
        <v>20</v>
      </c>
      <c r="L2606" s="3" t="s">
        <v>7358</v>
      </c>
    </row>
    <row r="2607" customFormat="false" ht="11.9" hidden="false" customHeight="true" outlineLevel="0" collapsed="false">
      <c r="A2607" s="2" t="str">
        <f aca="false">HYPERLINK("https://www.fabsurplus.com/sdi_catalog/salesItemDetails.do?id=110478")</f>
        <v>https://www.fabsurplus.com/sdi_catalog/salesItemDetails.do?id=110478</v>
      </c>
      <c r="B2607" s="2" t="s">
        <v>7361</v>
      </c>
      <c r="C2607" s="2" t="s">
        <v>7333</v>
      </c>
      <c r="D2607" s="2" t="s">
        <v>7357</v>
      </c>
      <c r="E2607" s="2" t="s">
        <v>137</v>
      </c>
      <c r="F2607" s="2" t="s">
        <v>16</v>
      </c>
      <c r="G2607" s="2" t="s">
        <v>41</v>
      </c>
      <c r="H2607" s="2" t="s">
        <v>35</v>
      </c>
      <c r="I2607" s="2"/>
      <c r="J2607" s="2" t="s">
        <v>19</v>
      </c>
      <c r="K2607" s="2" t="s">
        <v>20</v>
      </c>
      <c r="L2607" s="2" t="s">
        <v>7358</v>
      </c>
    </row>
    <row r="2608" customFormat="false" ht="11.9" hidden="false" customHeight="true" outlineLevel="0" collapsed="false">
      <c r="A2608" s="3" t="str">
        <f aca="false">HYPERLINK("https://www.fabsurplus.com/sdi_catalog/salesItemDetails.do?id=110477")</f>
        <v>https://www.fabsurplus.com/sdi_catalog/salesItemDetails.do?id=110477</v>
      </c>
      <c r="B2608" s="3" t="s">
        <v>7362</v>
      </c>
      <c r="C2608" s="3" t="s">
        <v>7333</v>
      </c>
      <c r="D2608" s="3" t="s">
        <v>7357</v>
      </c>
      <c r="E2608" s="3" t="s">
        <v>137</v>
      </c>
      <c r="F2608" s="3" t="s">
        <v>16</v>
      </c>
      <c r="G2608" s="3" t="s">
        <v>41</v>
      </c>
      <c r="H2608" s="3" t="s">
        <v>35</v>
      </c>
      <c r="I2608" s="3"/>
      <c r="J2608" s="3" t="s">
        <v>19</v>
      </c>
      <c r="K2608" s="3" t="s">
        <v>20</v>
      </c>
      <c r="L2608" s="3" t="s">
        <v>7358</v>
      </c>
    </row>
    <row r="2609" customFormat="false" ht="11.9" hidden="false" customHeight="true" outlineLevel="0" collapsed="false">
      <c r="A2609" s="2" t="str">
        <f aca="false">HYPERLINK("https://www.fabsurplus.com/sdi_catalog/salesItemDetails.do?id=110482")</f>
        <v>https://www.fabsurplus.com/sdi_catalog/salesItemDetails.do?id=110482</v>
      </c>
      <c r="B2609" s="2" t="s">
        <v>7363</v>
      </c>
      <c r="C2609" s="2" t="s">
        <v>7333</v>
      </c>
      <c r="D2609" s="2" t="s">
        <v>7364</v>
      </c>
      <c r="E2609" s="2" t="s">
        <v>47</v>
      </c>
      <c r="F2609" s="2" t="s">
        <v>16</v>
      </c>
      <c r="G2609" s="2" t="s">
        <v>41</v>
      </c>
      <c r="H2609" s="2"/>
      <c r="I2609" s="2"/>
      <c r="J2609" s="2" t="s">
        <v>42</v>
      </c>
      <c r="K2609" s="2"/>
      <c r="L2609" s="2" t="s">
        <v>7365</v>
      </c>
    </row>
    <row r="2610" customFormat="false" ht="11.9" hidden="false" customHeight="true" outlineLevel="0" collapsed="false">
      <c r="A2610" s="3" t="str">
        <f aca="false">HYPERLINK("https://www.fabsurplus.com/sdi_catalog/salesItemDetails.do?id=110489")</f>
        <v>https://www.fabsurplus.com/sdi_catalog/salesItemDetails.do?id=110489</v>
      </c>
      <c r="B2610" s="3" t="s">
        <v>7366</v>
      </c>
      <c r="C2610" s="3" t="s">
        <v>7333</v>
      </c>
      <c r="D2610" s="3" t="s">
        <v>7367</v>
      </c>
      <c r="E2610" s="3" t="s">
        <v>47</v>
      </c>
      <c r="F2610" s="3" t="s">
        <v>16</v>
      </c>
      <c r="G2610" s="3" t="s">
        <v>41</v>
      </c>
      <c r="H2610" s="3"/>
      <c r="I2610" s="3"/>
      <c r="J2610" s="3" t="s">
        <v>42</v>
      </c>
      <c r="K2610" s="3"/>
      <c r="L2610" s="3" t="s">
        <v>7368</v>
      </c>
    </row>
    <row r="2611" customFormat="false" ht="11.9" hidden="false" customHeight="true" outlineLevel="0" collapsed="false">
      <c r="A2611" s="2" t="str">
        <f aca="false">HYPERLINK("https://www.fabsurplus.com/sdi_catalog/salesItemDetails.do?id=110488")</f>
        <v>https://www.fabsurplus.com/sdi_catalog/salesItemDetails.do?id=110488</v>
      </c>
      <c r="B2611" s="2" t="s">
        <v>7369</v>
      </c>
      <c r="C2611" s="2" t="s">
        <v>7333</v>
      </c>
      <c r="D2611" s="2" t="s">
        <v>7367</v>
      </c>
      <c r="E2611" s="2" t="s">
        <v>47</v>
      </c>
      <c r="F2611" s="2" t="s">
        <v>16</v>
      </c>
      <c r="G2611" s="2" t="s">
        <v>41</v>
      </c>
      <c r="H2611" s="2"/>
      <c r="I2611" s="2"/>
      <c r="J2611" s="2" t="s">
        <v>42</v>
      </c>
      <c r="K2611" s="2"/>
      <c r="L2611" s="2" t="s">
        <v>7370</v>
      </c>
    </row>
    <row r="2612" customFormat="false" ht="11.9" hidden="false" customHeight="true" outlineLevel="0" collapsed="false">
      <c r="A2612" s="3" t="str">
        <f aca="false">HYPERLINK("https://www.fabsurplus.com/sdi_catalog/salesItemDetails.do?id=110487")</f>
        <v>https://www.fabsurplus.com/sdi_catalog/salesItemDetails.do?id=110487</v>
      </c>
      <c r="B2612" s="3" t="s">
        <v>7371</v>
      </c>
      <c r="C2612" s="3" t="s">
        <v>7333</v>
      </c>
      <c r="D2612" s="3" t="s">
        <v>7367</v>
      </c>
      <c r="E2612" s="3" t="s">
        <v>47</v>
      </c>
      <c r="F2612" s="3" t="s">
        <v>16</v>
      </c>
      <c r="G2612" s="3" t="s">
        <v>41</v>
      </c>
      <c r="H2612" s="3"/>
      <c r="I2612" s="3"/>
      <c r="J2612" s="3" t="s">
        <v>42</v>
      </c>
      <c r="K2612" s="3"/>
      <c r="L2612" s="3" t="s">
        <v>7370</v>
      </c>
    </row>
    <row r="2613" customFormat="false" ht="11.9" hidden="false" customHeight="true" outlineLevel="0" collapsed="false">
      <c r="A2613" s="2" t="str">
        <f aca="false">HYPERLINK("https://www.fabsurplus.com/sdi_catalog/salesItemDetails.do?id=110486")</f>
        <v>https://www.fabsurplus.com/sdi_catalog/salesItemDetails.do?id=110486</v>
      </c>
      <c r="B2613" s="2" t="s">
        <v>7372</v>
      </c>
      <c r="C2613" s="2" t="s">
        <v>7333</v>
      </c>
      <c r="D2613" s="2" t="s">
        <v>7367</v>
      </c>
      <c r="E2613" s="2" t="s">
        <v>47</v>
      </c>
      <c r="F2613" s="2" t="s">
        <v>16</v>
      </c>
      <c r="G2613" s="2" t="s">
        <v>41</v>
      </c>
      <c r="H2613" s="2"/>
      <c r="I2613" s="2"/>
      <c r="J2613" s="2" t="s">
        <v>42</v>
      </c>
      <c r="K2613" s="2"/>
      <c r="L2613" s="2" t="s">
        <v>7370</v>
      </c>
    </row>
    <row r="2614" customFormat="false" ht="11.9" hidden="false" customHeight="true" outlineLevel="0" collapsed="false">
      <c r="A2614" s="3" t="str">
        <f aca="false">HYPERLINK("https://www.fabsurplus.com/sdi_catalog/salesItemDetails.do?id=110485")</f>
        <v>https://www.fabsurplus.com/sdi_catalog/salesItemDetails.do?id=110485</v>
      </c>
      <c r="B2614" s="3" t="s">
        <v>7373</v>
      </c>
      <c r="C2614" s="3" t="s">
        <v>7333</v>
      </c>
      <c r="D2614" s="3" t="s">
        <v>7367</v>
      </c>
      <c r="E2614" s="3" t="s">
        <v>47</v>
      </c>
      <c r="F2614" s="3" t="s">
        <v>16</v>
      </c>
      <c r="G2614" s="3" t="s">
        <v>41</v>
      </c>
      <c r="H2614" s="3"/>
      <c r="I2614" s="3"/>
      <c r="J2614" s="3" t="s">
        <v>42</v>
      </c>
      <c r="K2614" s="3"/>
      <c r="L2614" s="3" t="s">
        <v>7374</v>
      </c>
    </row>
    <row r="2615" customFormat="false" ht="11.9" hidden="false" customHeight="true" outlineLevel="0" collapsed="false">
      <c r="A2615" s="2" t="str">
        <f aca="false">HYPERLINK("https://www.fabsurplus.com/sdi_catalog/salesItemDetails.do?id=110484")</f>
        <v>https://www.fabsurplus.com/sdi_catalog/salesItemDetails.do?id=110484</v>
      </c>
      <c r="B2615" s="2" t="s">
        <v>7375</v>
      </c>
      <c r="C2615" s="2" t="s">
        <v>7333</v>
      </c>
      <c r="D2615" s="2" t="s">
        <v>7367</v>
      </c>
      <c r="E2615" s="2" t="s">
        <v>47</v>
      </c>
      <c r="F2615" s="2" t="s">
        <v>16</v>
      </c>
      <c r="G2615" s="2" t="s">
        <v>41</v>
      </c>
      <c r="H2615" s="2"/>
      <c r="I2615" s="2"/>
      <c r="J2615" s="2" t="s">
        <v>42</v>
      </c>
      <c r="K2615" s="2"/>
      <c r="L2615" s="2" t="s">
        <v>7376</v>
      </c>
    </row>
    <row r="2616" customFormat="false" ht="11.9" hidden="false" customHeight="true" outlineLevel="0" collapsed="false">
      <c r="A2616" s="3" t="str">
        <f aca="false">HYPERLINK("https://www.fabsurplus.com/sdi_catalog/salesItemDetails.do?id=110483")</f>
        <v>https://www.fabsurplus.com/sdi_catalog/salesItemDetails.do?id=110483</v>
      </c>
      <c r="B2616" s="3" t="s">
        <v>7377</v>
      </c>
      <c r="C2616" s="3" t="s">
        <v>7333</v>
      </c>
      <c r="D2616" s="3" t="s">
        <v>7367</v>
      </c>
      <c r="E2616" s="3" t="s">
        <v>47</v>
      </c>
      <c r="F2616" s="3" t="s">
        <v>16</v>
      </c>
      <c r="G2616" s="3" t="s">
        <v>41</v>
      </c>
      <c r="H2616" s="3"/>
      <c r="I2616" s="3"/>
      <c r="J2616" s="3" t="s">
        <v>42</v>
      </c>
      <c r="K2616" s="3"/>
      <c r="L2616" s="3" t="s">
        <v>7376</v>
      </c>
    </row>
    <row r="2617" customFormat="false" ht="11.9" hidden="false" customHeight="true" outlineLevel="0" collapsed="false">
      <c r="A2617" s="3" t="str">
        <f aca="false">HYPERLINK("https://www.fabsurplus.com/sdi_catalog/salesItemDetails.do?id=110491")</f>
        <v>https://www.fabsurplus.com/sdi_catalog/salesItemDetails.do?id=110491</v>
      </c>
      <c r="B2617" s="3" t="s">
        <v>7378</v>
      </c>
      <c r="C2617" s="3" t="s">
        <v>7333</v>
      </c>
      <c r="D2617" s="3" t="s">
        <v>7379</v>
      </c>
      <c r="E2617" s="3" t="s">
        <v>47</v>
      </c>
      <c r="F2617" s="3" t="s">
        <v>16</v>
      </c>
      <c r="G2617" s="3" t="s">
        <v>41</v>
      </c>
      <c r="H2617" s="3"/>
      <c r="I2617" s="3"/>
      <c r="J2617" s="3" t="s">
        <v>42</v>
      </c>
      <c r="K2617" s="3"/>
      <c r="L2617" s="3" t="s">
        <v>7380</v>
      </c>
    </row>
    <row r="2618" customFormat="false" ht="11.9" hidden="false" customHeight="true" outlineLevel="0" collapsed="false">
      <c r="A2618" s="2" t="str">
        <f aca="false">HYPERLINK("https://www.fabsurplus.com/sdi_catalog/salesItemDetails.do?id=110490")</f>
        <v>https://www.fabsurplus.com/sdi_catalog/salesItemDetails.do?id=110490</v>
      </c>
      <c r="B2618" s="2" t="s">
        <v>7381</v>
      </c>
      <c r="C2618" s="2" t="s">
        <v>7333</v>
      </c>
      <c r="D2618" s="2" t="s">
        <v>7379</v>
      </c>
      <c r="E2618" s="2" t="s">
        <v>47</v>
      </c>
      <c r="F2618" s="2" t="s">
        <v>16</v>
      </c>
      <c r="G2618" s="2" t="s">
        <v>41</v>
      </c>
      <c r="H2618" s="2"/>
      <c r="I2618" s="2"/>
      <c r="J2618" s="2" t="s">
        <v>42</v>
      </c>
      <c r="K2618" s="2"/>
      <c r="L2618" s="2" t="s">
        <v>7380</v>
      </c>
    </row>
    <row r="2619" customFormat="false" ht="11.9" hidden="false" customHeight="true" outlineLevel="0" collapsed="false">
      <c r="A2619" s="3" t="str">
        <f aca="false">HYPERLINK("https://www.fabsurplus.com/sdi_catalog/salesItemDetails.do?id=110497")</f>
        <v>https://www.fabsurplus.com/sdi_catalog/salesItemDetails.do?id=110497</v>
      </c>
      <c r="B2619" s="3" t="s">
        <v>7382</v>
      </c>
      <c r="C2619" s="3" t="s">
        <v>7333</v>
      </c>
      <c r="D2619" s="3" t="s">
        <v>7383</v>
      </c>
      <c r="E2619" s="3" t="s">
        <v>40</v>
      </c>
      <c r="F2619" s="3" t="s">
        <v>16</v>
      </c>
      <c r="G2619" s="3" t="s">
        <v>41</v>
      </c>
      <c r="H2619" s="3"/>
      <c r="I2619" s="3"/>
      <c r="J2619" s="3" t="s">
        <v>42</v>
      </c>
      <c r="K2619" s="3"/>
      <c r="L2619" s="3" t="s">
        <v>7384</v>
      </c>
    </row>
    <row r="2620" customFormat="false" ht="11.9" hidden="false" customHeight="true" outlineLevel="0" collapsed="false">
      <c r="A2620" s="2" t="str">
        <f aca="false">HYPERLINK("https://www.fabsurplus.com/sdi_catalog/salesItemDetails.do?id=110496")</f>
        <v>https://www.fabsurplus.com/sdi_catalog/salesItemDetails.do?id=110496</v>
      </c>
      <c r="B2620" s="2" t="s">
        <v>7385</v>
      </c>
      <c r="C2620" s="2" t="s">
        <v>7333</v>
      </c>
      <c r="D2620" s="2" t="s">
        <v>7383</v>
      </c>
      <c r="E2620" s="2" t="s">
        <v>40</v>
      </c>
      <c r="F2620" s="2" t="s">
        <v>16</v>
      </c>
      <c r="G2620" s="2" t="s">
        <v>41</v>
      </c>
      <c r="H2620" s="2"/>
      <c r="I2620" s="2"/>
      <c r="J2620" s="2" t="s">
        <v>42</v>
      </c>
      <c r="K2620" s="2"/>
      <c r="L2620" s="2" t="s">
        <v>7386</v>
      </c>
    </row>
    <row r="2621" customFormat="false" ht="11.9" hidden="false" customHeight="true" outlineLevel="0" collapsed="false">
      <c r="A2621" s="3" t="str">
        <f aca="false">HYPERLINK("https://www.fabsurplus.com/sdi_catalog/salesItemDetails.do?id=110495")</f>
        <v>https://www.fabsurplus.com/sdi_catalog/salesItemDetails.do?id=110495</v>
      </c>
      <c r="B2621" s="3" t="s">
        <v>7387</v>
      </c>
      <c r="C2621" s="3" t="s">
        <v>7333</v>
      </c>
      <c r="D2621" s="3" t="s">
        <v>7383</v>
      </c>
      <c r="E2621" s="3" t="s">
        <v>40</v>
      </c>
      <c r="F2621" s="3" t="s">
        <v>16</v>
      </c>
      <c r="G2621" s="3" t="s">
        <v>41</v>
      </c>
      <c r="H2621" s="3"/>
      <c r="I2621" s="3"/>
      <c r="J2621" s="3" t="s">
        <v>42</v>
      </c>
      <c r="K2621" s="3"/>
      <c r="L2621" s="3" t="s">
        <v>7388</v>
      </c>
    </row>
    <row r="2622" customFormat="false" ht="11.9" hidden="false" customHeight="true" outlineLevel="0" collapsed="false">
      <c r="A2622" s="2" t="str">
        <f aca="false">HYPERLINK("https://www.fabsurplus.com/sdi_catalog/salesItemDetails.do?id=110494")</f>
        <v>https://www.fabsurplus.com/sdi_catalog/salesItemDetails.do?id=110494</v>
      </c>
      <c r="B2622" s="2" t="s">
        <v>7389</v>
      </c>
      <c r="C2622" s="2" t="s">
        <v>7333</v>
      </c>
      <c r="D2622" s="2" t="s">
        <v>7383</v>
      </c>
      <c r="E2622" s="2" t="s">
        <v>40</v>
      </c>
      <c r="F2622" s="2" t="s">
        <v>16</v>
      </c>
      <c r="G2622" s="2" t="s">
        <v>41</v>
      </c>
      <c r="H2622" s="2"/>
      <c r="I2622" s="2"/>
      <c r="J2622" s="2" t="s">
        <v>42</v>
      </c>
      <c r="K2622" s="2"/>
      <c r="L2622" s="2" t="s">
        <v>7388</v>
      </c>
    </row>
    <row r="2623" customFormat="false" ht="11.9" hidden="false" customHeight="true" outlineLevel="0" collapsed="false">
      <c r="A2623" s="3" t="str">
        <f aca="false">HYPERLINK("https://www.fabsurplus.com/sdi_catalog/salesItemDetails.do?id=110493")</f>
        <v>https://www.fabsurplus.com/sdi_catalog/salesItemDetails.do?id=110493</v>
      </c>
      <c r="B2623" s="3" t="s">
        <v>7390</v>
      </c>
      <c r="C2623" s="3" t="s">
        <v>7333</v>
      </c>
      <c r="D2623" s="3" t="s">
        <v>7383</v>
      </c>
      <c r="E2623" s="3" t="s">
        <v>40</v>
      </c>
      <c r="F2623" s="3" t="s">
        <v>16</v>
      </c>
      <c r="G2623" s="3" t="s">
        <v>41</v>
      </c>
      <c r="H2623" s="3"/>
      <c r="I2623" s="3"/>
      <c r="J2623" s="3" t="s">
        <v>42</v>
      </c>
      <c r="K2623" s="3"/>
      <c r="L2623" s="3" t="s">
        <v>7391</v>
      </c>
    </row>
    <row r="2624" customFormat="false" ht="11.9" hidden="false" customHeight="true" outlineLevel="0" collapsed="false">
      <c r="A2624" s="2" t="str">
        <f aca="false">HYPERLINK("https://www.fabsurplus.com/sdi_catalog/salesItemDetails.do?id=110492")</f>
        <v>https://www.fabsurplus.com/sdi_catalog/salesItemDetails.do?id=110492</v>
      </c>
      <c r="B2624" s="2" t="s">
        <v>7392</v>
      </c>
      <c r="C2624" s="2" t="s">
        <v>7333</v>
      </c>
      <c r="D2624" s="2" t="s">
        <v>7383</v>
      </c>
      <c r="E2624" s="2" t="s">
        <v>40</v>
      </c>
      <c r="F2624" s="2" t="s">
        <v>16</v>
      </c>
      <c r="G2624" s="2" t="s">
        <v>41</v>
      </c>
      <c r="H2624" s="2"/>
      <c r="I2624" s="2"/>
      <c r="J2624" s="2" t="s">
        <v>42</v>
      </c>
      <c r="K2624" s="2"/>
      <c r="L2624" s="2" t="s">
        <v>7391</v>
      </c>
    </row>
    <row r="2625" customFormat="false" ht="11.9" hidden="false" customHeight="true" outlineLevel="0" collapsed="false">
      <c r="A2625" s="2" t="str">
        <f aca="false">HYPERLINK("https://www.fabsurplus.com/sdi_catalog/salesItemDetails.do?id=110498")</f>
        <v>https://www.fabsurplus.com/sdi_catalog/salesItemDetails.do?id=110498</v>
      </c>
      <c r="B2625" s="2" t="s">
        <v>7393</v>
      </c>
      <c r="C2625" s="2" t="s">
        <v>7333</v>
      </c>
      <c r="D2625" s="2" t="s">
        <v>7394</v>
      </c>
      <c r="E2625" s="2" t="s">
        <v>133</v>
      </c>
      <c r="F2625" s="2" t="s">
        <v>16</v>
      </c>
      <c r="G2625" s="2" t="s">
        <v>41</v>
      </c>
      <c r="H2625" s="2"/>
      <c r="I2625" s="2"/>
      <c r="J2625" s="2" t="s">
        <v>42</v>
      </c>
      <c r="K2625" s="2"/>
      <c r="L2625" s="2" t="s">
        <v>7395</v>
      </c>
    </row>
    <row r="2626" customFormat="false" ht="11.9" hidden="false" customHeight="true" outlineLevel="0" collapsed="false">
      <c r="A2626" s="3" t="str">
        <f aca="false">HYPERLINK("https://www.fabsurplus.com/sdi_catalog/salesItemDetails.do?id=110499")</f>
        <v>https://www.fabsurplus.com/sdi_catalog/salesItemDetails.do?id=110499</v>
      </c>
      <c r="B2626" s="3" t="s">
        <v>7396</v>
      </c>
      <c r="C2626" s="3" t="s">
        <v>7333</v>
      </c>
      <c r="D2626" s="3" t="s">
        <v>7397</v>
      </c>
      <c r="E2626" s="3" t="s">
        <v>47</v>
      </c>
      <c r="F2626" s="3" t="s">
        <v>16</v>
      </c>
      <c r="G2626" s="3" t="s">
        <v>41</v>
      </c>
      <c r="H2626" s="3"/>
      <c r="I2626" s="3"/>
      <c r="J2626" s="3" t="s">
        <v>42</v>
      </c>
      <c r="K2626" s="3"/>
      <c r="L2626" s="3" t="s">
        <v>7398</v>
      </c>
    </row>
    <row r="2627" customFormat="false" ht="11.9" hidden="false" customHeight="true" outlineLevel="0" collapsed="false">
      <c r="A2627" s="2" t="str">
        <f aca="false">HYPERLINK("https://www.fabsurplus.com/sdi_catalog/salesItemDetails.do?id=110502")</f>
        <v>https://www.fabsurplus.com/sdi_catalog/salesItemDetails.do?id=110502</v>
      </c>
      <c r="B2627" s="2" t="s">
        <v>7399</v>
      </c>
      <c r="C2627" s="2" t="s">
        <v>7333</v>
      </c>
      <c r="D2627" s="2" t="s">
        <v>7400</v>
      </c>
      <c r="E2627" s="2" t="s">
        <v>47</v>
      </c>
      <c r="F2627" s="2" t="s">
        <v>16</v>
      </c>
      <c r="G2627" s="2" t="s">
        <v>41</v>
      </c>
      <c r="H2627" s="2"/>
      <c r="I2627" s="2"/>
      <c r="J2627" s="2" t="s">
        <v>42</v>
      </c>
      <c r="K2627" s="2"/>
      <c r="L2627" s="2" t="s">
        <v>7401</v>
      </c>
    </row>
    <row r="2628" customFormat="false" ht="11.9" hidden="false" customHeight="true" outlineLevel="0" collapsed="false">
      <c r="A2628" s="2" t="str">
        <f aca="false">HYPERLINK("https://www.fabsurplus.com/sdi_catalog/salesItemDetails.do?id=110500")</f>
        <v>https://www.fabsurplus.com/sdi_catalog/salesItemDetails.do?id=110500</v>
      </c>
      <c r="B2628" s="2" t="s">
        <v>7402</v>
      </c>
      <c r="C2628" s="2" t="s">
        <v>7333</v>
      </c>
      <c r="D2628" s="2" t="s">
        <v>7403</v>
      </c>
      <c r="E2628" s="2" t="s">
        <v>47</v>
      </c>
      <c r="F2628" s="2" t="s">
        <v>16</v>
      </c>
      <c r="G2628" s="2" t="s">
        <v>41</v>
      </c>
      <c r="H2628" s="2" t="s">
        <v>138</v>
      </c>
      <c r="I2628" s="2"/>
      <c r="J2628" s="2" t="s">
        <v>139</v>
      </c>
      <c r="K2628" s="2"/>
      <c r="L2628" s="6" t="s">
        <v>7404</v>
      </c>
    </row>
    <row r="2629" customFormat="false" ht="11.9" hidden="false" customHeight="true" outlineLevel="0" collapsed="false">
      <c r="A2629" s="3" t="str">
        <f aca="false">HYPERLINK("https://www.fabsurplus.com/sdi_catalog/salesItemDetails.do?id=110501")</f>
        <v>https://www.fabsurplus.com/sdi_catalog/salesItemDetails.do?id=110501</v>
      </c>
      <c r="B2629" s="3" t="s">
        <v>7405</v>
      </c>
      <c r="C2629" s="3" t="s">
        <v>7333</v>
      </c>
      <c r="D2629" s="3" t="s">
        <v>7406</v>
      </c>
      <c r="E2629" s="3" t="s">
        <v>47</v>
      </c>
      <c r="F2629" s="3" t="s">
        <v>16</v>
      </c>
      <c r="G2629" s="3" t="s">
        <v>41</v>
      </c>
      <c r="H2629" s="3"/>
      <c r="I2629" s="3"/>
      <c r="J2629" s="3" t="s">
        <v>42</v>
      </c>
      <c r="K2629" s="3"/>
      <c r="L2629" s="3" t="s">
        <v>7407</v>
      </c>
    </row>
    <row r="2630" customFormat="false" ht="11.9" hidden="false" customHeight="true" outlineLevel="0" collapsed="false">
      <c r="A2630" s="2" t="str">
        <f aca="false">HYPERLINK("https://www.fabsurplus.com/sdi_catalog/salesItemDetails.do?id=110476")</f>
        <v>https://www.fabsurplus.com/sdi_catalog/salesItemDetails.do?id=110476</v>
      </c>
      <c r="B2630" s="2" t="s">
        <v>7408</v>
      </c>
      <c r="C2630" s="2" t="s">
        <v>7409</v>
      </c>
      <c r="D2630" s="2" t="s">
        <v>414</v>
      </c>
      <c r="E2630" s="2" t="s">
        <v>40</v>
      </c>
      <c r="F2630" s="2" t="s">
        <v>16</v>
      </c>
      <c r="G2630" s="2" t="s">
        <v>41</v>
      </c>
      <c r="H2630" s="2"/>
      <c r="I2630" s="2"/>
      <c r="J2630" s="2" t="s">
        <v>42</v>
      </c>
      <c r="K2630" s="2"/>
      <c r="L2630" s="2" t="s">
        <v>7410</v>
      </c>
    </row>
    <row r="2631" customFormat="false" ht="11.9" hidden="false" customHeight="true" outlineLevel="0" collapsed="false">
      <c r="A2631" s="3" t="str">
        <f aca="false">HYPERLINK("https://www.fabsurplus.com/sdi_catalog/salesItemDetails.do?id=110503")</f>
        <v>https://www.fabsurplus.com/sdi_catalog/salesItemDetails.do?id=110503</v>
      </c>
      <c r="B2631" s="3" t="s">
        <v>7411</v>
      </c>
      <c r="C2631" s="3" t="s">
        <v>7409</v>
      </c>
      <c r="D2631" s="3" t="s">
        <v>7412</v>
      </c>
      <c r="E2631" s="3" t="s">
        <v>133</v>
      </c>
      <c r="F2631" s="3" t="s">
        <v>16</v>
      </c>
      <c r="G2631" s="3" t="s">
        <v>41</v>
      </c>
      <c r="H2631" s="3"/>
      <c r="I2631" s="3"/>
      <c r="J2631" s="3" t="s">
        <v>42</v>
      </c>
      <c r="K2631" s="3"/>
      <c r="L2631" s="3" t="s">
        <v>7413</v>
      </c>
    </row>
    <row r="2632" customFormat="false" ht="11.9" hidden="false" customHeight="true" outlineLevel="0" collapsed="false">
      <c r="A2632" s="3" t="str">
        <f aca="false">HYPERLINK("https://www.fabsurplus.com/sdi_catalog/salesItemDetails.do?id=110506")</f>
        <v>https://www.fabsurplus.com/sdi_catalog/salesItemDetails.do?id=110506</v>
      </c>
      <c r="B2632" s="3" t="s">
        <v>7414</v>
      </c>
      <c r="C2632" s="3" t="s">
        <v>7415</v>
      </c>
      <c r="D2632" s="3" t="s">
        <v>7416</v>
      </c>
      <c r="E2632" s="3" t="s">
        <v>133</v>
      </c>
      <c r="F2632" s="3" t="s">
        <v>16</v>
      </c>
      <c r="G2632" s="3" t="s">
        <v>41</v>
      </c>
      <c r="H2632" s="3"/>
      <c r="I2632" s="3"/>
      <c r="J2632" s="3" t="s">
        <v>42</v>
      </c>
      <c r="K2632" s="3"/>
      <c r="L2632" s="3" t="s">
        <v>7417</v>
      </c>
    </row>
    <row r="2633" customFormat="false" ht="11.9" hidden="false" customHeight="true" outlineLevel="0" collapsed="false">
      <c r="A2633" s="2" t="str">
        <f aca="false">HYPERLINK("https://www.fabsurplus.com/sdi_catalog/salesItemDetails.do?id=110505")</f>
        <v>https://www.fabsurplus.com/sdi_catalog/salesItemDetails.do?id=110505</v>
      </c>
      <c r="B2633" s="2" t="s">
        <v>7418</v>
      </c>
      <c r="C2633" s="2" t="s">
        <v>7415</v>
      </c>
      <c r="D2633" s="2" t="s">
        <v>7416</v>
      </c>
      <c r="E2633" s="2" t="s">
        <v>133</v>
      </c>
      <c r="F2633" s="2" t="s">
        <v>16</v>
      </c>
      <c r="G2633" s="2" t="s">
        <v>41</v>
      </c>
      <c r="H2633" s="2"/>
      <c r="I2633" s="2"/>
      <c r="J2633" s="2" t="s">
        <v>42</v>
      </c>
      <c r="K2633" s="2"/>
      <c r="L2633" s="2" t="s">
        <v>7417</v>
      </c>
    </row>
    <row r="2634" customFormat="false" ht="11.9" hidden="false" customHeight="true" outlineLevel="0" collapsed="false">
      <c r="A2634" s="3" t="str">
        <f aca="false">HYPERLINK("https://www.fabsurplus.com/sdi_catalog/salesItemDetails.do?id=110504")</f>
        <v>https://www.fabsurplus.com/sdi_catalog/salesItemDetails.do?id=110504</v>
      </c>
      <c r="B2634" s="3" t="s">
        <v>7419</v>
      </c>
      <c r="C2634" s="3" t="s">
        <v>7415</v>
      </c>
      <c r="D2634" s="3" t="s">
        <v>7416</v>
      </c>
      <c r="E2634" s="3" t="s">
        <v>133</v>
      </c>
      <c r="F2634" s="3" t="s">
        <v>16</v>
      </c>
      <c r="G2634" s="3" t="s">
        <v>41</v>
      </c>
      <c r="H2634" s="3"/>
      <c r="I2634" s="3"/>
      <c r="J2634" s="3" t="s">
        <v>42</v>
      </c>
      <c r="K2634" s="3"/>
      <c r="L2634" s="3" t="s">
        <v>7417</v>
      </c>
    </row>
    <row r="2635" customFormat="false" ht="11.9" hidden="false" customHeight="true" outlineLevel="0" collapsed="false">
      <c r="A2635" s="3" t="str">
        <f aca="false">HYPERLINK("https://www.fabsurplus.com/sdi_catalog/salesItemDetails.do?id=77161")</f>
        <v>https://www.fabsurplus.com/sdi_catalog/salesItemDetails.do?id=77161</v>
      </c>
      <c r="B2635" s="3" t="s">
        <v>7420</v>
      </c>
      <c r="C2635" s="3" t="s">
        <v>7421</v>
      </c>
      <c r="D2635" s="3" t="s">
        <v>7422</v>
      </c>
      <c r="E2635" s="3" t="s">
        <v>7423</v>
      </c>
      <c r="F2635" s="3" t="s">
        <v>16</v>
      </c>
      <c r="G2635" s="3" t="s">
        <v>26</v>
      </c>
      <c r="H2635" s="3" t="s">
        <v>35</v>
      </c>
      <c r="I2635" s="3"/>
      <c r="J2635" s="3" t="s">
        <v>19</v>
      </c>
      <c r="K2635" s="3" t="s">
        <v>20</v>
      </c>
      <c r="L2635" s="5" t="s">
        <v>7424</v>
      </c>
    </row>
    <row r="2636" customFormat="false" ht="11.9" hidden="false" customHeight="true" outlineLevel="0" collapsed="false">
      <c r="A2636" s="2" t="str">
        <f aca="false">HYPERLINK("https://www.fabsurplus.com/sdi_catalog/salesItemDetails.do?id=83548")</f>
        <v>https://www.fabsurplus.com/sdi_catalog/salesItemDetails.do?id=83548</v>
      </c>
      <c r="B2636" s="2" t="s">
        <v>7425</v>
      </c>
      <c r="C2636" s="2" t="s">
        <v>7426</v>
      </c>
      <c r="D2636" s="2" t="s">
        <v>7427</v>
      </c>
      <c r="E2636" s="2" t="s">
        <v>7428</v>
      </c>
      <c r="F2636" s="2" t="s">
        <v>16</v>
      </c>
      <c r="G2636" s="2" t="s">
        <v>26</v>
      </c>
      <c r="H2636" s="2" t="s">
        <v>35</v>
      </c>
      <c r="I2636" s="2"/>
      <c r="J2636" s="2" t="s">
        <v>19</v>
      </c>
      <c r="K2636" s="2" t="s">
        <v>20</v>
      </c>
      <c r="L2636" s="6" t="s">
        <v>7429</v>
      </c>
    </row>
    <row r="2637" customFormat="false" ht="11.9" hidden="false" customHeight="true" outlineLevel="0" collapsed="false">
      <c r="A2637" s="3" t="str">
        <f aca="false">HYPERLINK("https://www.fabsurplus.com/sdi_catalog/salesItemDetails.do?id=105873")</f>
        <v>https://www.fabsurplus.com/sdi_catalog/salesItemDetails.do?id=105873</v>
      </c>
      <c r="B2637" s="3" t="s">
        <v>7430</v>
      </c>
      <c r="C2637" s="3" t="s">
        <v>7431</v>
      </c>
      <c r="D2637" s="3" t="s">
        <v>6526</v>
      </c>
      <c r="E2637" s="3" t="s">
        <v>6527</v>
      </c>
      <c r="F2637" s="3" t="s">
        <v>77</v>
      </c>
      <c r="G2637" s="3" t="s">
        <v>17</v>
      </c>
      <c r="H2637" s="3" t="s">
        <v>1691</v>
      </c>
      <c r="I2637" s="3"/>
      <c r="J2637" s="3" t="s">
        <v>19</v>
      </c>
      <c r="K2637" s="3" t="s">
        <v>20</v>
      </c>
      <c r="L2637" s="3"/>
    </row>
    <row r="2638" customFormat="false" ht="11.9" hidden="false" customHeight="true" outlineLevel="0" collapsed="false">
      <c r="A2638" s="2" t="str">
        <f aca="false">HYPERLINK("https://www.fabsurplus.com/sdi_catalog/salesItemDetails.do?id=76610")</f>
        <v>https://www.fabsurplus.com/sdi_catalog/salesItemDetails.do?id=76610</v>
      </c>
      <c r="B2638" s="2" t="s">
        <v>7432</v>
      </c>
      <c r="C2638" s="2" t="s">
        <v>7433</v>
      </c>
      <c r="D2638" s="2" t="s">
        <v>7434</v>
      </c>
      <c r="E2638" s="2" t="s">
        <v>7435</v>
      </c>
      <c r="F2638" s="2" t="s">
        <v>16</v>
      </c>
      <c r="G2638" s="2" t="s">
        <v>7436</v>
      </c>
      <c r="H2638" s="2" t="s">
        <v>27</v>
      </c>
      <c r="I2638" s="7" t="n">
        <v>35916</v>
      </c>
      <c r="J2638" s="2" t="s">
        <v>19</v>
      </c>
      <c r="K2638" s="2" t="s">
        <v>20</v>
      </c>
      <c r="L2638" s="6" t="s">
        <v>7437</v>
      </c>
    </row>
    <row r="2639" customFormat="false" ht="11.9" hidden="false" customHeight="true" outlineLevel="0" collapsed="false">
      <c r="A2639" s="3" t="str">
        <f aca="false">HYPERLINK("https://www.fabsurplus.com/sdi_catalog/salesItemDetails.do?id=76611")</f>
        <v>https://www.fabsurplus.com/sdi_catalog/salesItemDetails.do?id=76611</v>
      </c>
      <c r="B2639" s="3" t="s">
        <v>7438</v>
      </c>
      <c r="C2639" s="3" t="s">
        <v>7439</v>
      </c>
      <c r="D2639" s="3" t="s">
        <v>7440</v>
      </c>
      <c r="E2639" s="3" t="s">
        <v>7441</v>
      </c>
      <c r="F2639" s="3" t="s">
        <v>16</v>
      </c>
      <c r="G2639" s="3" t="s">
        <v>7436</v>
      </c>
      <c r="H2639" s="3" t="s">
        <v>27</v>
      </c>
      <c r="I2639" s="3"/>
      <c r="J2639" s="3" t="s">
        <v>19</v>
      </c>
      <c r="K2639" s="3" t="s">
        <v>20</v>
      </c>
      <c r="L2639" s="5" t="s">
        <v>7442</v>
      </c>
    </row>
    <row r="2640" customFormat="false" ht="11.9" hidden="false" customHeight="true" outlineLevel="0" collapsed="false">
      <c r="A2640" s="2" t="str">
        <f aca="false">HYPERLINK("https://www.fabsurplus.com/sdi_catalog/salesItemDetails.do?id=84237")</f>
        <v>https://www.fabsurplus.com/sdi_catalog/salesItemDetails.do?id=84237</v>
      </c>
      <c r="B2640" s="2" t="s">
        <v>7443</v>
      </c>
      <c r="C2640" s="2" t="s">
        <v>7444</v>
      </c>
      <c r="D2640" s="2" t="s">
        <v>7445</v>
      </c>
      <c r="E2640" s="2" t="s">
        <v>7446</v>
      </c>
      <c r="F2640" s="2" t="s">
        <v>16</v>
      </c>
      <c r="G2640" s="2" t="s">
        <v>26</v>
      </c>
      <c r="H2640" s="2" t="s">
        <v>35</v>
      </c>
      <c r="I2640" s="2"/>
      <c r="J2640" s="2" t="s">
        <v>19</v>
      </c>
      <c r="K2640" s="2" t="s">
        <v>20</v>
      </c>
      <c r="L2640" s="2" t="s">
        <v>7447</v>
      </c>
    </row>
    <row r="2641" customFormat="false" ht="11.9" hidden="false" customHeight="true" outlineLevel="0" collapsed="false">
      <c r="A2641" s="3" t="str">
        <f aca="false">HYPERLINK("https://www.fabsurplus.com/sdi_catalog/salesItemDetails.do?id=84268")</f>
        <v>https://www.fabsurplus.com/sdi_catalog/salesItemDetails.do?id=84268</v>
      </c>
      <c r="B2641" s="3" t="s">
        <v>7448</v>
      </c>
      <c r="C2641" s="3" t="s">
        <v>7449</v>
      </c>
      <c r="D2641" s="3" t="s">
        <v>7450</v>
      </c>
      <c r="E2641" s="3" t="s">
        <v>6154</v>
      </c>
      <c r="F2641" s="3" t="s">
        <v>16</v>
      </c>
      <c r="G2641" s="3"/>
      <c r="H2641" s="3" t="s">
        <v>27</v>
      </c>
      <c r="I2641" s="3"/>
      <c r="J2641" s="3" t="s">
        <v>19</v>
      </c>
      <c r="K2641" s="3" t="s">
        <v>20</v>
      </c>
      <c r="L2641" s="5" t="s">
        <v>7451</v>
      </c>
    </row>
    <row r="2642" customFormat="false" ht="11.9" hidden="false" customHeight="true" outlineLevel="0" collapsed="false">
      <c r="A2642" s="3" t="str">
        <f aca="false">HYPERLINK("https://www.fabsurplus.com/sdi_catalog/salesItemDetails.do?id=84262")</f>
        <v>https://www.fabsurplus.com/sdi_catalog/salesItemDetails.do?id=84262</v>
      </c>
      <c r="B2642" s="3" t="s">
        <v>7452</v>
      </c>
      <c r="C2642" s="3" t="s">
        <v>7449</v>
      </c>
      <c r="D2642" s="3" t="s">
        <v>7453</v>
      </c>
      <c r="E2642" s="3" t="s">
        <v>6154</v>
      </c>
      <c r="F2642" s="3" t="s">
        <v>69</v>
      </c>
      <c r="G2642" s="3"/>
      <c r="H2642" s="3" t="s">
        <v>35</v>
      </c>
      <c r="I2642" s="3"/>
      <c r="J2642" s="3" t="s">
        <v>19</v>
      </c>
      <c r="K2642" s="3" t="s">
        <v>20</v>
      </c>
      <c r="L2642" s="5" t="s">
        <v>7454</v>
      </c>
    </row>
    <row r="2643" customFormat="false" ht="11.9" hidden="false" customHeight="true" outlineLevel="0" collapsed="false">
      <c r="A2643" s="2" t="str">
        <f aca="false">HYPERLINK("https://www.fabsurplus.com/sdi_catalog/salesItemDetails.do?id=84269")</f>
        <v>https://www.fabsurplus.com/sdi_catalog/salesItemDetails.do?id=84269</v>
      </c>
      <c r="B2643" s="2" t="s">
        <v>7455</v>
      </c>
      <c r="C2643" s="2" t="s">
        <v>7449</v>
      </c>
      <c r="D2643" s="2" t="s">
        <v>7456</v>
      </c>
      <c r="E2643" s="2" t="s">
        <v>6154</v>
      </c>
      <c r="F2643" s="2" t="s">
        <v>16</v>
      </c>
      <c r="G2643" s="2"/>
      <c r="H2643" s="2" t="s">
        <v>27</v>
      </c>
      <c r="I2643" s="2"/>
      <c r="J2643" s="2" t="s">
        <v>19</v>
      </c>
      <c r="K2643" s="2" t="s">
        <v>20</v>
      </c>
      <c r="L2643" s="6" t="s">
        <v>7457</v>
      </c>
    </row>
    <row r="2644" customFormat="false" ht="11.9" hidden="false" customHeight="true" outlineLevel="0" collapsed="false">
      <c r="A2644" s="2" t="str">
        <f aca="false">HYPERLINK("https://www.fabsurplus.com/sdi_catalog/salesItemDetails.do?id=84263")</f>
        <v>https://www.fabsurplus.com/sdi_catalog/salesItemDetails.do?id=84263</v>
      </c>
      <c r="B2644" s="2" t="s">
        <v>7458</v>
      </c>
      <c r="C2644" s="2" t="s">
        <v>7449</v>
      </c>
      <c r="D2644" s="2" t="s">
        <v>7459</v>
      </c>
      <c r="E2644" s="2" t="s">
        <v>6154</v>
      </c>
      <c r="F2644" s="2" t="s">
        <v>77</v>
      </c>
      <c r="G2644" s="2"/>
      <c r="H2644" s="2" t="s">
        <v>35</v>
      </c>
      <c r="I2644" s="2"/>
      <c r="J2644" s="2" t="s">
        <v>19</v>
      </c>
      <c r="K2644" s="2" t="s">
        <v>20</v>
      </c>
      <c r="L2644" s="6" t="s">
        <v>7460</v>
      </c>
    </row>
    <row r="2645" customFormat="false" ht="11.9" hidden="false" customHeight="true" outlineLevel="0" collapsed="false">
      <c r="A2645" s="2" t="str">
        <f aca="false">HYPERLINK("https://www.fabsurplus.com/sdi_catalog/salesItemDetails.do?id=84267")</f>
        <v>https://www.fabsurplus.com/sdi_catalog/salesItemDetails.do?id=84267</v>
      </c>
      <c r="B2645" s="2" t="s">
        <v>7461</v>
      </c>
      <c r="C2645" s="2" t="s">
        <v>7449</v>
      </c>
      <c r="D2645" s="2" t="s">
        <v>7462</v>
      </c>
      <c r="E2645" s="2" t="s">
        <v>6154</v>
      </c>
      <c r="F2645" s="2" t="s">
        <v>16</v>
      </c>
      <c r="G2645" s="2"/>
      <c r="H2645" s="2" t="s">
        <v>27</v>
      </c>
      <c r="I2645" s="2"/>
      <c r="J2645" s="2" t="s">
        <v>19</v>
      </c>
      <c r="K2645" s="2" t="s">
        <v>20</v>
      </c>
      <c r="L2645" s="6" t="s">
        <v>7463</v>
      </c>
    </row>
    <row r="2646" customFormat="false" ht="11.9" hidden="false" customHeight="true" outlineLevel="0" collapsed="false">
      <c r="A2646" s="2" t="str">
        <f aca="false">HYPERLINK("https://www.fabsurplus.com/sdi_catalog/salesItemDetails.do?id=83868")</f>
        <v>https://www.fabsurplus.com/sdi_catalog/salesItemDetails.do?id=83868</v>
      </c>
      <c r="B2646" s="2" t="s">
        <v>7464</v>
      </c>
      <c r="C2646" s="2" t="s">
        <v>7449</v>
      </c>
      <c r="D2646" s="2" t="s">
        <v>7465</v>
      </c>
      <c r="E2646" s="2" t="s">
        <v>7466</v>
      </c>
      <c r="F2646" s="2" t="s">
        <v>16</v>
      </c>
      <c r="G2646" s="2" t="s">
        <v>41</v>
      </c>
      <c r="H2646" s="2" t="s">
        <v>18</v>
      </c>
      <c r="I2646" s="2"/>
      <c r="J2646" s="2" t="s">
        <v>19</v>
      </c>
      <c r="K2646" s="2" t="s">
        <v>20</v>
      </c>
      <c r="L2646" s="6" t="s">
        <v>7467</v>
      </c>
    </row>
    <row r="2647" customFormat="false" ht="11.9" hidden="false" customHeight="true" outlineLevel="0" collapsed="false">
      <c r="A2647" s="3" t="str">
        <f aca="false">HYPERLINK("https://www.fabsurplus.com/sdi_catalog/salesItemDetails.do?id=83869")</f>
        <v>https://www.fabsurplus.com/sdi_catalog/salesItemDetails.do?id=83869</v>
      </c>
      <c r="B2647" s="3" t="s">
        <v>7468</v>
      </c>
      <c r="C2647" s="3" t="s">
        <v>7449</v>
      </c>
      <c r="D2647" s="3" t="s">
        <v>7469</v>
      </c>
      <c r="E2647" s="3" t="s">
        <v>7470</v>
      </c>
      <c r="F2647" s="3" t="s">
        <v>16</v>
      </c>
      <c r="G2647" s="3" t="s">
        <v>41</v>
      </c>
      <c r="H2647" s="3" t="s">
        <v>18</v>
      </c>
      <c r="I2647" s="3"/>
      <c r="J2647" s="3" t="s">
        <v>19</v>
      </c>
      <c r="K2647" s="3" t="s">
        <v>20</v>
      </c>
      <c r="L2647" s="5" t="s">
        <v>7471</v>
      </c>
    </row>
    <row r="2648" customFormat="false" ht="11.9" hidden="false" customHeight="true" outlineLevel="0" collapsed="false">
      <c r="A2648" s="3" t="str">
        <f aca="false">HYPERLINK("https://www.fabsurplus.com/sdi_catalog/salesItemDetails.do?id=83839")</f>
        <v>https://www.fabsurplus.com/sdi_catalog/salesItemDetails.do?id=83839</v>
      </c>
      <c r="B2648" s="3" t="s">
        <v>7472</v>
      </c>
      <c r="C2648" s="3" t="s">
        <v>7449</v>
      </c>
      <c r="D2648" s="3" t="s">
        <v>7473</v>
      </c>
      <c r="E2648" s="3" t="s">
        <v>7474</v>
      </c>
      <c r="F2648" s="3" t="s">
        <v>69</v>
      </c>
      <c r="G2648" s="3" t="s">
        <v>26</v>
      </c>
      <c r="H2648" s="3" t="s">
        <v>1691</v>
      </c>
      <c r="I2648" s="3"/>
      <c r="J2648" s="3" t="s">
        <v>19</v>
      </c>
      <c r="K2648" s="3" t="s">
        <v>20</v>
      </c>
      <c r="L2648" s="5" t="s">
        <v>7475</v>
      </c>
    </row>
    <row r="2649" customFormat="false" ht="11.9" hidden="false" customHeight="true" outlineLevel="0" collapsed="false">
      <c r="A2649" s="3" t="str">
        <f aca="false">HYPERLINK("https://www.fabsurplus.com/sdi_catalog/salesItemDetails.do?id=77163")</f>
        <v>https://www.fabsurplus.com/sdi_catalog/salesItemDetails.do?id=77163</v>
      </c>
      <c r="B2649" s="3" t="s">
        <v>7476</v>
      </c>
      <c r="C2649" s="3" t="s">
        <v>7449</v>
      </c>
      <c r="D2649" s="3" t="s">
        <v>7477</v>
      </c>
      <c r="E2649" s="3" t="s">
        <v>7478</v>
      </c>
      <c r="F2649" s="3" t="s">
        <v>16</v>
      </c>
      <c r="G2649" s="3" t="s">
        <v>26</v>
      </c>
      <c r="H2649" s="3" t="s">
        <v>944</v>
      </c>
      <c r="I2649" s="3"/>
      <c r="J2649" s="3" t="s">
        <v>19</v>
      </c>
      <c r="K2649" s="3" t="s">
        <v>20</v>
      </c>
      <c r="L2649" s="5" t="s">
        <v>7479</v>
      </c>
    </row>
    <row r="2650" customFormat="false" ht="11.9" hidden="false" customHeight="true" outlineLevel="0" collapsed="false">
      <c r="A2650" s="3" t="str">
        <f aca="false">HYPERLINK("https://www.fabsurplus.com/sdi_catalog/salesItemDetails.do?id=83612")</f>
        <v>https://www.fabsurplus.com/sdi_catalog/salesItemDetails.do?id=83612</v>
      </c>
      <c r="B2650" s="3" t="s">
        <v>7480</v>
      </c>
      <c r="C2650" s="3" t="s">
        <v>7449</v>
      </c>
      <c r="D2650" s="3" t="s">
        <v>7477</v>
      </c>
      <c r="E2650" s="3" t="s">
        <v>7478</v>
      </c>
      <c r="F2650" s="3" t="s">
        <v>16</v>
      </c>
      <c r="G2650" s="3" t="s">
        <v>26</v>
      </c>
      <c r="H2650" s="3" t="s">
        <v>35</v>
      </c>
      <c r="I2650" s="3"/>
      <c r="J2650" s="3" t="s">
        <v>19</v>
      </c>
      <c r="K2650" s="3" t="s">
        <v>20</v>
      </c>
      <c r="L2650" s="5" t="s">
        <v>7481</v>
      </c>
    </row>
    <row r="2651" customFormat="false" ht="11.9" hidden="false" customHeight="true" outlineLevel="0" collapsed="false">
      <c r="A2651" s="3" t="str">
        <f aca="false">HYPERLINK("https://www.fabsurplus.com/sdi_catalog/salesItemDetails.do?id=84079")</f>
        <v>https://www.fabsurplus.com/sdi_catalog/salesItemDetails.do?id=84079</v>
      </c>
      <c r="B2651" s="3" t="s">
        <v>7482</v>
      </c>
      <c r="C2651" s="3" t="s">
        <v>7449</v>
      </c>
      <c r="D2651" s="3" t="s">
        <v>7483</v>
      </c>
      <c r="E2651" s="3" t="s">
        <v>7484</v>
      </c>
      <c r="F2651" s="3" t="s">
        <v>77</v>
      </c>
      <c r="G2651" s="3"/>
      <c r="H2651" s="3" t="s">
        <v>944</v>
      </c>
      <c r="I2651" s="4" t="n">
        <v>34516</v>
      </c>
      <c r="J2651" s="3" t="s">
        <v>19</v>
      </c>
      <c r="K2651" s="3"/>
      <c r="L2651" s="5" t="s">
        <v>7485</v>
      </c>
    </row>
    <row r="2652" customFormat="false" ht="11.9" hidden="false" customHeight="true" outlineLevel="0" collapsed="false">
      <c r="A2652" s="2" t="str">
        <f aca="false">HYPERLINK("https://www.fabsurplus.com/sdi_catalog/salesItemDetails.do?id=84259")</f>
        <v>https://www.fabsurplus.com/sdi_catalog/salesItemDetails.do?id=84259</v>
      </c>
      <c r="B2652" s="2" t="s">
        <v>7486</v>
      </c>
      <c r="C2652" s="2" t="s">
        <v>7449</v>
      </c>
      <c r="D2652" s="2" t="s">
        <v>7487</v>
      </c>
      <c r="E2652" s="2" t="s">
        <v>6154</v>
      </c>
      <c r="F2652" s="2" t="s">
        <v>16</v>
      </c>
      <c r="G2652" s="2"/>
      <c r="H2652" s="2" t="s">
        <v>944</v>
      </c>
      <c r="I2652" s="2"/>
      <c r="J2652" s="2" t="s">
        <v>19</v>
      </c>
      <c r="K2652" s="2" t="s">
        <v>20</v>
      </c>
      <c r="L2652" s="2"/>
    </row>
    <row r="2653" customFormat="false" ht="11.9" hidden="false" customHeight="true" outlineLevel="0" collapsed="false">
      <c r="A2653" s="3" t="str">
        <f aca="false">HYPERLINK("https://www.fabsurplus.com/sdi_catalog/salesItemDetails.do?id=84264")</f>
        <v>https://www.fabsurplus.com/sdi_catalog/salesItemDetails.do?id=84264</v>
      </c>
      <c r="B2653" s="3" t="s">
        <v>7488</v>
      </c>
      <c r="C2653" s="3" t="s">
        <v>7449</v>
      </c>
      <c r="D2653" s="3" t="s">
        <v>7487</v>
      </c>
      <c r="E2653" s="3" t="s">
        <v>6154</v>
      </c>
      <c r="F2653" s="3" t="s">
        <v>16</v>
      </c>
      <c r="G2653" s="3"/>
      <c r="H2653" s="3" t="s">
        <v>35</v>
      </c>
      <c r="I2653" s="3"/>
      <c r="J2653" s="3" t="s">
        <v>19</v>
      </c>
      <c r="K2653" s="3" t="s">
        <v>20</v>
      </c>
      <c r="L2653" s="5" t="s">
        <v>7489</v>
      </c>
    </row>
    <row r="2654" customFormat="false" ht="11.9" hidden="false" customHeight="true" outlineLevel="0" collapsed="false">
      <c r="A2654" s="2" t="str">
        <f aca="false">HYPERLINK("https://www.fabsurplus.com/sdi_catalog/salesItemDetails.do?id=83843")</f>
        <v>https://www.fabsurplus.com/sdi_catalog/salesItemDetails.do?id=83843</v>
      </c>
      <c r="B2654" s="2" t="s">
        <v>7490</v>
      </c>
      <c r="C2654" s="2" t="s">
        <v>7449</v>
      </c>
      <c r="D2654" s="2" t="s">
        <v>7491</v>
      </c>
      <c r="E2654" s="2" t="s">
        <v>7492</v>
      </c>
      <c r="F2654" s="2" t="s">
        <v>69</v>
      </c>
      <c r="G2654" s="2" t="s">
        <v>26</v>
      </c>
      <c r="H2654" s="2" t="s">
        <v>27</v>
      </c>
      <c r="I2654" s="2"/>
      <c r="J2654" s="2" t="s">
        <v>19</v>
      </c>
      <c r="K2654" s="2" t="s">
        <v>20</v>
      </c>
      <c r="L2654" s="6" t="s">
        <v>7493</v>
      </c>
    </row>
    <row r="2655" customFormat="false" ht="11.9" hidden="false" customHeight="true" outlineLevel="0" collapsed="false">
      <c r="A2655" s="3" t="str">
        <f aca="false">HYPERLINK("https://www.fabsurplus.com/sdi_catalog/salesItemDetails.do?id=83842")</f>
        <v>https://www.fabsurplus.com/sdi_catalog/salesItemDetails.do?id=83842</v>
      </c>
      <c r="B2655" s="3" t="s">
        <v>7494</v>
      </c>
      <c r="C2655" s="3" t="s">
        <v>7449</v>
      </c>
      <c r="D2655" s="3" t="s">
        <v>7495</v>
      </c>
      <c r="E2655" s="3" t="s">
        <v>7496</v>
      </c>
      <c r="F2655" s="3" t="s">
        <v>104</v>
      </c>
      <c r="G2655" s="3" t="s">
        <v>26</v>
      </c>
      <c r="H2655" s="3" t="s">
        <v>1691</v>
      </c>
      <c r="I2655" s="3"/>
      <c r="J2655" s="3" t="s">
        <v>19</v>
      </c>
      <c r="K2655" s="3" t="s">
        <v>20</v>
      </c>
      <c r="L2655" s="5" t="s">
        <v>7497</v>
      </c>
    </row>
    <row r="2656" customFormat="false" ht="11.9" hidden="false" customHeight="true" outlineLevel="0" collapsed="false">
      <c r="A2656" s="3" t="str">
        <f aca="false">HYPERLINK("https://www.fabsurplus.com/sdi_catalog/salesItemDetails.do?id=84225")</f>
        <v>https://www.fabsurplus.com/sdi_catalog/salesItemDetails.do?id=84225</v>
      </c>
      <c r="B2656" s="3" t="s">
        <v>7498</v>
      </c>
      <c r="C2656" s="3" t="s">
        <v>7449</v>
      </c>
      <c r="D2656" s="3" t="s">
        <v>7499</v>
      </c>
      <c r="E2656" s="3" t="s">
        <v>7500</v>
      </c>
      <c r="F2656" s="3" t="s">
        <v>16</v>
      </c>
      <c r="G2656" s="3" t="s">
        <v>26</v>
      </c>
      <c r="H2656" s="3" t="s">
        <v>944</v>
      </c>
      <c r="I2656" s="3"/>
      <c r="J2656" s="3" t="s">
        <v>19</v>
      </c>
      <c r="K2656" s="3" t="s">
        <v>20</v>
      </c>
      <c r="L2656" s="5" t="s">
        <v>7501</v>
      </c>
    </row>
    <row r="2657" customFormat="false" ht="11.9" hidden="false" customHeight="true" outlineLevel="0" collapsed="false">
      <c r="A2657" s="2" t="str">
        <f aca="false">HYPERLINK("https://www.fabsurplus.com/sdi_catalog/salesItemDetails.do?id=83872")</f>
        <v>https://www.fabsurplus.com/sdi_catalog/salesItemDetails.do?id=83872</v>
      </c>
      <c r="B2657" s="2" t="s">
        <v>7502</v>
      </c>
      <c r="C2657" s="2" t="s">
        <v>7449</v>
      </c>
      <c r="D2657" s="2" t="s">
        <v>7503</v>
      </c>
      <c r="E2657" s="2" t="s">
        <v>7504</v>
      </c>
      <c r="F2657" s="2" t="s">
        <v>77</v>
      </c>
      <c r="G2657" s="2" t="s">
        <v>41</v>
      </c>
      <c r="H2657" s="2" t="s">
        <v>27</v>
      </c>
      <c r="I2657" s="2"/>
      <c r="J2657" s="2" t="s">
        <v>19</v>
      </c>
      <c r="K2657" s="2" t="s">
        <v>20</v>
      </c>
      <c r="L2657" s="6" t="s">
        <v>7505</v>
      </c>
    </row>
    <row r="2658" customFormat="false" ht="11.9" hidden="false" customHeight="true" outlineLevel="0" collapsed="false">
      <c r="A2658" s="3" t="str">
        <f aca="false">HYPERLINK("https://www.fabsurplus.com/sdi_catalog/salesItemDetails.do?id=83844")</f>
        <v>https://www.fabsurplus.com/sdi_catalog/salesItemDetails.do?id=83844</v>
      </c>
      <c r="B2658" s="3" t="s">
        <v>7506</v>
      </c>
      <c r="C2658" s="3" t="s">
        <v>7449</v>
      </c>
      <c r="D2658" s="3" t="s">
        <v>7507</v>
      </c>
      <c r="E2658" s="3" t="s">
        <v>7508</v>
      </c>
      <c r="F2658" s="3" t="s">
        <v>77</v>
      </c>
      <c r="G2658" s="3" t="s">
        <v>26</v>
      </c>
      <c r="H2658" s="3" t="s">
        <v>1691</v>
      </c>
      <c r="I2658" s="3"/>
      <c r="J2658" s="3" t="s">
        <v>19</v>
      </c>
      <c r="K2658" s="3" t="s">
        <v>20</v>
      </c>
      <c r="L2658" s="5" t="s">
        <v>7509</v>
      </c>
    </row>
    <row r="2659" customFormat="false" ht="11.9" hidden="false" customHeight="true" outlineLevel="0" collapsed="false">
      <c r="A2659" s="2" t="str">
        <f aca="false">HYPERLINK("https://www.fabsurplus.com/sdi_catalog/salesItemDetails.do?id=83845")</f>
        <v>https://www.fabsurplus.com/sdi_catalog/salesItemDetails.do?id=83845</v>
      </c>
      <c r="B2659" s="2" t="s">
        <v>7510</v>
      </c>
      <c r="C2659" s="2" t="s">
        <v>7449</v>
      </c>
      <c r="D2659" s="2" t="s">
        <v>7511</v>
      </c>
      <c r="E2659" s="2" t="s">
        <v>7474</v>
      </c>
      <c r="F2659" s="2" t="s">
        <v>16</v>
      </c>
      <c r="G2659" s="2" t="s">
        <v>26</v>
      </c>
      <c r="H2659" s="2" t="s">
        <v>27</v>
      </c>
      <c r="I2659" s="2"/>
      <c r="J2659" s="2" t="s">
        <v>19</v>
      </c>
      <c r="K2659" s="2" t="s">
        <v>20</v>
      </c>
      <c r="L2659" s="6" t="s">
        <v>7512</v>
      </c>
    </row>
    <row r="2660" customFormat="false" ht="11.9" hidden="false" customHeight="true" outlineLevel="0" collapsed="false">
      <c r="A2660" s="2" t="str">
        <f aca="false">HYPERLINK("https://www.fabsurplus.com/sdi_catalog/salesItemDetails.do?id=83840")</f>
        <v>https://www.fabsurplus.com/sdi_catalog/salesItemDetails.do?id=83840</v>
      </c>
      <c r="B2660" s="2" t="s">
        <v>7513</v>
      </c>
      <c r="C2660" s="2" t="s">
        <v>7449</v>
      </c>
      <c r="D2660" s="2" t="s">
        <v>7514</v>
      </c>
      <c r="E2660" s="2" t="s">
        <v>7515</v>
      </c>
      <c r="F2660" s="2" t="s">
        <v>69</v>
      </c>
      <c r="G2660" s="2" t="s">
        <v>26</v>
      </c>
      <c r="H2660" s="2" t="s">
        <v>1691</v>
      </c>
      <c r="I2660" s="2"/>
      <c r="J2660" s="2" t="s">
        <v>19</v>
      </c>
      <c r="K2660" s="2" t="s">
        <v>20</v>
      </c>
      <c r="L2660" s="6" t="s">
        <v>7516</v>
      </c>
    </row>
    <row r="2661" customFormat="false" ht="11.9" hidden="false" customHeight="true" outlineLevel="0" collapsed="false">
      <c r="A2661" s="2" t="str">
        <f aca="false">HYPERLINK("https://www.fabsurplus.com/sdi_catalog/salesItemDetails.do?id=83547")</f>
        <v>https://www.fabsurplus.com/sdi_catalog/salesItemDetails.do?id=83547</v>
      </c>
      <c r="B2661" s="2" t="s">
        <v>7517</v>
      </c>
      <c r="C2661" s="2" t="s">
        <v>7449</v>
      </c>
      <c r="D2661" s="2" t="s">
        <v>7518</v>
      </c>
      <c r="E2661" s="2" t="s">
        <v>7519</v>
      </c>
      <c r="F2661" s="2" t="s">
        <v>16</v>
      </c>
      <c r="G2661" s="2"/>
      <c r="H2661" s="2" t="s">
        <v>944</v>
      </c>
      <c r="I2661" s="7" t="n">
        <v>39448</v>
      </c>
      <c r="J2661" s="2" t="s">
        <v>19</v>
      </c>
      <c r="K2661" s="2" t="s">
        <v>20</v>
      </c>
      <c r="L2661" s="6" t="s">
        <v>7520</v>
      </c>
    </row>
    <row r="2662" customFormat="false" ht="11.9" hidden="false" customHeight="true" outlineLevel="0" collapsed="false">
      <c r="A2662" s="2" t="str">
        <f aca="false">HYPERLINK("https://www.fabsurplus.com/sdi_catalog/salesItemDetails.do?id=83632")</f>
        <v>https://www.fabsurplus.com/sdi_catalog/salesItemDetails.do?id=83632</v>
      </c>
      <c r="B2662" s="2" t="s">
        <v>7521</v>
      </c>
      <c r="C2662" s="2" t="s">
        <v>7449</v>
      </c>
      <c r="D2662" s="2" t="s">
        <v>7522</v>
      </c>
      <c r="E2662" s="2" t="s">
        <v>7523</v>
      </c>
      <c r="F2662" s="2" t="s">
        <v>16</v>
      </c>
      <c r="G2662" s="2"/>
      <c r="H2662" s="2" t="s">
        <v>27</v>
      </c>
      <c r="I2662" s="2"/>
      <c r="J2662" s="2" t="s">
        <v>19</v>
      </c>
      <c r="K2662" s="2" t="s">
        <v>20</v>
      </c>
      <c r="L2662" s="6" t="s">
        <v>7524</v>
      </c>
    </row>
    <row r="2663" customFormat="false" ht="11.9" hidden="false" customHeight="true" outlineLevel="0" collapsed="false">
      <c r="A2663" s="3" t="str">
        <f aca="false">HYPERLINK("https://www.fabsurplus.com/sdi_catalog/salesItemDetails.do?id=83867")</f>
        <v>https://www.fabsurplus.com/sdi_catalog/salesItemDetails.do?id=83867</v>
      </c>
      <c r="B2663" s="3" t="s">
        <v>7525</v>
      </c>
      <c r="C2663" s="3" t="s">
        <v>7449</v>
      </c>
      <c r="D2663" s="3" t="s">
        <v>7526</v>
      </c>
      <c r="E2663" s="3" t="s">
        <v>7527</v>
      </c>
      <c r="F2663" s="3" t="s">
        <v>16</v>
      </c>
      <c r="G2663" s="3" t="s">
        <v>41</v>
      </c>
      <c r="H2663" s="3" t="s">
        <v>18</v>
      </c>
      <c r="I2663" s="3"/>
      <c r="J2663" s="3" t="s">
        <v>19</v>
      </c>
      <c r="K2663" s="3" t="s">
        <v>20</v>
      </c>
      <c r="L2663" s="5" t="s">
        <v>7528</v>
      </c>
    </row>
    <row r="2664" customFormat="false" ht="11.9" hidden="false" customHeight="true" outlineLevel="0" collapsed="false">
      <c r="A2664" s="3" t="str">
        <f aca="false">HYPERLINK("https://www.fabsurplus.com/sdi_catalog/salesItemDetails.do?id=77152")</f>
        <v>https://www.fabsurplus.com/sdi_catalog/salesItemDetails.do?id=77152</v>
      </c>
      <c r="B2664" s="3" t="s">
        <v>7529</v>
      </c>
      <c r="C2664" s="3" t="s">
        <v>7449</v>
      </c>
      <c r="D2664" s="3" t="s">
        <v>7530</v>
      </c>
      <c r="E2664" s="3" t="s">
        <v>7531</v>
      </c>
      <c r="F2664" s="3" t="s">
        <v>16</v>
      </c>
      <c r="G2664" s="3"/>
      <c r="H2664" s="3" t="s">
        <v>944</v>
      </c>
      <c r="I2664" s="4" t="n">
        <v>39448</v>
      </c>
      <c r="J2664" s="3" t="s">
        <v>19</v>
      </c>
      <c r="K2664" s="3" t="s">
        <v>20</v>
      </c>
      <c r="L2664" s="3" t="s">
        <v>7532</v>
      </c>
    </row>
    <row r="2665" customFormat="false" ht="11.9" hidden="false" customHeight="true" outlineLevel="0" collapsed="false">
      <c r="A2665" s="2" t="str">
        <f aca="false">HYPERLINK("https://www.fabsurplus.com/sdi_catalog/salesItemDetails.do?id=84214")</f>
        <v>https://www.fabsurplus.com/sdi_catalog/salesItemDetails.do?id=84214</v>
      </c>
      <c r="B2665" s="2" t="s">
        <v>7533</v>
      </c>
      <c r="C2665" s="2" t="s">
        <v>7449</v>
      </c>
      <c r="D2665" s="2" t="s">
        <v>7534</v>
      </c>
      <c r="E2665" s="2" t="s">
        <v>7535</v>
      </c>
      <c r="F2665" s="2" t="s">
        <v>77</v>
      </c>
      <c r="G2665" s="2" t="s">
        <v>26</v>
      </c>
      <c r="H2665" s="2" t="s">
        <v>35</v>
      </c>
      <c r="I2665" s="2"/>
      <c r="J2665" s="2" t="s">
        <v>19</v>
      </c>
      <c r="K2665" s="2" t="s">
        <v>20</v>
      </c>
      <c r="L2665" s="6" t="s">
        <v>7536</v>
      </c>
    </row>
    <row r="2666" customFormat="false" ht="11.9" hidden="false" customHeight="true" outlineLevel="0" collapsed="false">
      <c r="A2666" s="3" t="str">
        <f aca="false">HYPERLINK("https://www.fabsurplus.com/sdi_catalog/salesItemDetails.do?id=84256")</f>
        <v>https://www.fabsurplus.com/sdi_catalog/salesItemDetails.do?id=84256</v>
      </c>
      <c r="B2666" s="3" t="s">
        <v>7537</v>
      </c>
      <c r="C2666" s="3" t="s">
        <v>7449</v>
      </c>
      <c r="D2666" s="3" t="s">
        <v>7538</v>
      </c>
      <c r="E2666" s="3" t="s">
        <v>7539</v>
      </c>
      <c r="F2666" s="3" t="s">
        <v>16</v>
      </c>
      <c r="G2666" s="3"/>
      <c r="H2666" s="3" t="s">
        <v>944</v>
      </c>
      <c r="I2666" s="4" t="n">
        <v>34366</v>
      </c>
      <c r="J2666" s="3" t="s">
        <v>19</v>
      </c>
      <c r="K2666" s="3" t="s">
        <v>20</v>
      </c>
      <c r="L2666" s="5" t="s">
        <v>7540</v>
      </c>
    </row>
    <row r="2667" customFormat="false" ht="11.9" hidden="false" customHeight="true" outlineLevel="0" collapsed="false">
      <c r="A2667" s="2" t="str">
        <f aca="false">HYPERLINK("https://www.fabsurplus.com/sdi_catalog/salesItemDetails.do?id=84236")</f>
        <v>https://www.fabsurplus.com/sdi_catalog/salesItemDetails.do?id=84236</v>
      </c>
      <c r="B2667" s="2" t="s">
        <v>7541</v>
      </c>
      <c r="C2667" s="2" t="s">
        <v>7449</v>
      </c>
      <c r="D2667" s="2" t="s">
        <v>7542</v>
      </c>
      <c r="E2667" s="2" t="s">
        <v>7543</v>
      </c>
      <c r="F2667" s="2" t="s">
        <v>16</v>
      </c>
      <c r="G2667" s="2" t="s">
        <v>26</v>
      </c>
      <c r="H2667" s="2" t="s">
        <v>35</v>
      </c>
      <c r="I2667" s="2"/>
      <c r="J2667" s="2" t="s">
        <v>19</v>
      </c>
      <c r="K2667" s="2" t="s">
        <v>20</v>
      </c>
      <c r="L2667" s="2" t="s">
        <v>7544</v>
      </c>
    </row>
    <row r="2668" customFormat="false" ht="11.9" hidden="false" customHeight="true" outlineLevel="0" collapsed="false">
      <c r="A2668" s="2" t="str">
        <f aca="false">HYPERLINK("https://www.fabsurplus.com/sdi_catalog/salesItemDetails.do?id=77157")</f>
        <v>https://www.fabsurplus.com/sdi_catalog/salesItemDetails.do?id=77157</v>
      </c>
      <c r="B2668" s="2" t="s">
        <v>7545</v>
      </c>
      <c r="C2668" s="2" t="s">
        <v>7449</v>
      </c>
      <c r="D2668" s="2" t="s">
        <v>7546</v>
      </c>
      <c r="E2668" s="2" t="s">
        <v>7547</v>
      </c>
      <c r="F2668" s="2" t="s">
        <v>16</v>
      </c>
      <c r="G2668" s="2" t="s">
        <v>26</v>
      </c>
      <c r="H2668" s="2" t="s">
        <v>1691</v>
      </c>
      <c r="I2668" s="2"/>
      <c r="J2668" s="2" t="s">
        <v>19</v>
      </c>
      <c r="K2668" s="2" t="s">
        <v>20</v>
      </c>
      <c r="L2668" s="6" t="s">
        <v>7548</v>
      </c>
    </row>
    <row r="2669" customFormat="false" ht="11.9" hidden="false" customHeight="true" outlineLevel="0" collapsed="false">
      <c r="A2669" s="2" t="str">
        <f aca="false">HYPERLINK("https://www.fabsurplus.com/sdi_catalog/salesItemDetails.do?id=83505")</f>
        <v>https://www.fabsurplus.com/sdi_catalog/salesItemDetails.do?id=83505</v>
      </c>
      <c r="B2669" s="2" t="s">
        <v>7549</v>
      </c>
      <c r="C2669" s="2" t="s">
        <v>7550</v>
      </c>
      <c r="D2669" s="2" t="s">
        <v>6976</v>
      </c>
      <c r="E2669" s="2" t="s">
        <v>15</v>
      </c>
      <c r="F2669" s="2" t="s">
        <v>69</v>
      </c>
      <c r="G2669" s="2" t="s">
        <v>6976</v>
      </c>
      <c r="H2669" s="2" t="s">
        <v>27</v>
      </c>
      <c r="I2669" s="7" t="n">
        <v>34668.9583333333</v>
      </c>
      <c r="J2669" s="2" t="s">
        <v>19</v>
      </c>
      <c r="K2669" s="2" t="s">
        <v>20</v>
      </c>
      <c r="L2669" s="2"/>
    </row>
    <row r="2670" customFormat="false" ht="11.9" hidden="false" customHeight="true" outlineLevel="0" collapsed="false">
      <c r="A2670" s="3" t="str">
        <f aca="false">HYPERLINK("https://www.fabsurplus.com/sdi_catalog/salesItemDetails.do?id=53268")</f>
        <v>https://www.fabsurplus.com/sdi_catalog/salesItemDetails.do?id=53268</v>
      </c>
      <c r="B2670" s="3" t="s">
        <v>7551</v>
      </c>
      <c r="C2670" s="3" t="s">
        <v>7552</v>
      </c>
      <c r="D2670" s="3" t="s">
        <v>7553</v>
      </c>
      <c r="E2670" s="3" t="s">
        <v>7554</v>
      </c>
      <c r="F2670" s="3" t="s">
        <v>69</v>
      </c>
      <c r="G2670" s="3" t="s">
        <v>26</v>
      </c>
      <c r="H2670" s="3" t="s">
        <v>27</v>
      </c>
      <c r="I2670" s="4" t="n">
        <v>34485.9166666667</v>
      </c>
      <c r="J2670" s="3" t="s">
        <v>19</v>
      </c>
      <c r="K2670" s="3" t="s">
        <v>20</v>
      </c>
      <c r="L2670" s="5" t="s">
        <v>7555</v>
      </c>
    </row>
    <row r="2671" customFormat="false" ht="11.9" hidden="false" customHeight="true" outlineLevel="0" collapsed="false">
      <c r="A2671" s="3" t="str">
        <f aca="false">HYPERLINK("https://www.fabsurplus.com/sdi_catalog/salesItemDetails.do?id=7689")</f>
        <v>https://www.fabsurplus.com/sdi_catalog/salesItemDetails.do?id=7689</v>
      </c>
      <c r="B2671" s="3" t="s">
        <v>7556</v>
      </c>
      <c r="C2671" s="3" t="s">
        <v>7557</v>
      </c>
      <c r="D2671" s="3" t="s">
        <v>7558</v>
      </c>
      <c r="E2671" s="3" t="s">
        <v>7559</v>
      </c>
      <c r="F2671" s="3" t="s">
        <v>77</v>
      </c>
      <c r="G2671" s="3" t="s">
        <v>7560</v>
      </c>
      <c r="H2671" s="3" t="s">
        <v>35</v>
      </c>
      <c r="I2671" s="4" t="n">
        <v>33756</v>
      </c>
      <c r="J2671" s="3" t="s">
        <v>19</v>
      </c>
      <c r="K2671" s="3" t="s">
        <v>20</v>
      </c>
      <c r="L2671" s="5" t="s">
        <v>7561</v>
      </c>
    </row>
    <row r="2672" customFormat="false" ht="11.9" hidden="false" customHeight="true" outlineLevel="0" collapsed="false">
      <c r="A2672" s="2" t="str">
        <f aca="false">HYPERLINK("https://www.fabsurplus.com/sdi_catalog/salesItemDetails.do?id=53038")</f>
        <v>https://www.fabsurplus.com/sdi_catalog/salesItemDetails.do?id=53038</v>
      </c>
      <c r="B2672" s="2" t="s">
        <v>7562</v>
      </c>
      <c r="C2672" s="2" t="s">
        <v>7557</v>
      </c>
      <c r="D2672" s="2" t="s">
        <v>7563</v>
      </c>
      <c r="E2672" s="2" t="s">
        <v>7564</v>
      </c>
      <c r="F2672" s="2" t="s">
        <v>16</v>
      </c>
      <c r="G2672" s="2" t="s">
        <v>17</v>
      </c>
      <c r="H2672" s="2" t="s">
        <v>27</v>
      </c>
      <c r="I2672" s="2"/>
      <c r="J2672" s="2" t="s">
        <v>19</v>
      </c>
      <c r="K2672" s="2" t="s">
        <v>20</v>
      </c>
      <c r="L2672" s="2" t="s">
        <v>7565</v>
      </c>
    </row>
    <row r="2673" customFormat="false" ht="11.9" hidden="false" customHeight="true" outlineLevel="0" collapsed="false">
      <c r="A2673" s="2" t="str">
        <f aca="false">HYPERLINK("https://www.fabsurplus.com/sdi_catalog/salesItemDetails.do?id=7690")</f>
        <v>https://www.fabsurplus.com/sdi_catalog/salesItemDetails.do?id=7690</v>
      </c>
      <c r="B2673" s="2" t="s">
        <v>7566</v>
      </c>
      <c r="C2673" s="2" t="s">
        <v>7557</v>
      </c>
      <c r="D2673" s="2" t="s">
        <v>7567</v>
      </c>
      <c r="E2673" s="2" t="s">
        <v>7568</v>
      </c>
      <c r="F2673" s="2" t="s">
        <v>77</v>
      </c>
      <c r="G2673" s="2" t="s">
        <v>7560</v>
      </c>
      <c r="H2673" s="2" t="s">
        <v>35</v>
      </c>
      <c r="I2673" s="7" t="n">
        <v>33756</v>
      </c>
      <c r="J2673" s="2" t="s">
        <v>19</v>
      </c>
      <c r="K2673" s="2" t="s">
        <v>20</v>
      </c>
      <c r="L2673" s="6" t="s">
        <v>7569</v>
      </c>
    </row>
    <row r="2674" customFormat="false" ht="11.9" hidden="false" customHeight="true" outlineLevel="0" collapsed="false">
      <c r="A2674" s="2" t="str">
        <f aca="false">HYPERLINK("https://www.fabsurplus.com/sdi_catalog/salesItemDetails.do?id=53040")</f>
        <v>https://www.fabsurplus.com/sdi_catalog/salesItemDetails.do?id=53040</v>
      </c>
      <c r="B2674" s="2" t="s">
        <v>7570</v>
      </c>
      <c r="C2674" s="2" t="s">
        <v>7557</v>
      </c>
      <c r="D2674" s="2"/>
      <c r="E2674" s="2" t="s">
        <v>7571</v>
      </c>
      <c r="F2674" s="2" t="s">
        <v>16</v>
      </c>
      <c r="G2674" s="2" t="s">
        <v>17</v>
      </c>
      <c r="H2674" s="2" t="s">
        <v>27</v>
      </c>
      <c r="I2674" s="2"/>
      <c r="J2674" s="2" t="s">
        <v>19</v>
      </c>
      <c r="K2674" s="2" t="s">
        <v>20</v>
      </c>
      <c r="L2674" s="2" t="s">
        <v>7572</v>
      </c>
    </row>
    <row r="2675" customFormat="false" ht="11.9" hidden="false" customHeight="true" outlineLevel="0" collapsed="false">
      <c r="A2675" s="3" t="str">
        <f aca="false">HYPERLINK("https://www.fabsurplus.com/sdi_catalog/salesItemDetails.do?id=53043")</f>
        <v>https://www.fabsurplus.com/sdi_catalog/salesItemDetails.do?id=53043</v>
      </c>
      <c r="B2675" s="3" t="s">
        <v>7573</v>
      </c>
      <c r="C2675" s="3" t="s">
        <v>7557</v>
      </c>
      <c r="D2675" s="3"/>
      <c r="E2675" s="3" t="s">
        <v>7574</v>
      </c>
      <c r="F2675" s="3" t="s">
        <v>16</v>
      </c>
      <c r="G2675" s="3" t="s">
        <v>17</v>
      </c>
      <c r="H2675" s="3" t="s">
        <v>27</v>
      </c>
      <c r="I2675" s="3"/>
      <c r="J2675" s="3" t="s">
        <v>19</v>
      </c>
      <c r="K2675" s="3" t="s">
        <v>20</v>
      </c>
      <c r="L2675" s="3" t="s">
        <v>7572</v>
      </c>
    </row>
    <row r="2676" customFormat="false" ht="11.9" hidden="false" customHeight="true" outlineLevel="0" collapsed="false">
      <c r="A2676" s="3" t="str">
        <f aca="false">HYPERLINK("https://www.fabsurplus.com/sdi_catalog/salesItemDetails.do?id=53037")</f>
        <v>https://www.fabsurplus.com/sdi_catalog/salesItemDetails.do?id=53037</v>
      </c>
      <c r="B2676" s="3" t="s">
        <v>7575</v>
      </c>
      <c r="C2676" s="3" t="s">
        <v>7557</v>
      </c>
      <c r="D2676" s="3"/>
      <c r="E2676" s="3" t="s">
        <v>7576</v>
      </c>
      <c r="F2676" s="3" t="s">
        <v>16</v>
      </c>
      <c r="G2676" s="3" t="s">
        <v>17</v>
      </c>
      <c r="H2676" s="3" t="s">
        <v>27</v>
      </c>
      <c r="I2676" s="3"/>
      <c r="J2676" s="3" t="s">
        <v>19</v>
      </c>
      <c r="K2676" s="3" t="s">
        <v>20</v>
      </c>
      <c r="L2676" s="3" t="s">
        <v>7572</v>
      </c>
    </row>
    <row r="2677" customFormat="false" ht="11.9" hidden="false" customHeight="true" outlineLevel="0" collapsed="false">
      <c r="A2677" s="3" t="str">
        <f aca="false">HYPERLINK("https://www.fabsurplus.com/sdi_catalog/salesItemDetails.do?id=53039")</f>
        <v>https://www.fabsurplus.com/sdi_catalog/salesItemDetails.do?id=53039</v>
      </c>
      <c r="B2677" s="3" t="s">
        <v>7577</v>
      </c>
      <c r="C2677" s="3" t="s">
        <v>7557</v>
      </c>
      <c r="D2677" s="3"/>
      <c r="E2677" s="3" t="s">
        <v>7578</v>
      </c>
      <c r="F2677" s="3" t="s">
        <v>16</v>
      </c>
      <c r="G2677" s="3" t="s">
        <v>17</v>
      </c>
      <c r="H2677" s="3" t="s">
        <v>27</v>
      </c>
      <c r="I2677" s="3"/>
      <c r="J2677" s="3" t="s">
        <v>19</v>
      </c>
      <c r="K2677" s="3" t="s">
        <v>20</v>
      </c>
      <c r="L2677" s="5" t="s">
        <v>7579</v>
      </c>
    </row>
    <row r="2678" customFormat="false" ht="11.9" hidden="false" customHeight="true" outlineLevel="0" collapsed="false">
      <c r="A2678" s="2" t="str">
        <f aca="false">HYPERLINK("https://www.fabsurplus.com/sdi_catalog/salesItemDetails.do?id=110507")</f>
        <v>https://www.fabsurplus.com/sdi_catalog/salesItemDetails.do?id=110507</v>
      </c>
      <c r="B2678" s="2" t="s">
        <v>7580</v>
      </c>
      <c r="C2678" s="2" t="s">
        <v>7581</v>
      </c>
      <c r="D2678" s="2" t="s">
        <v>7582</v>
      </c>
      <c r="E2678" s="2" t="s">
        <v>133</v>
      </c>
      <c r="F2678" s="2" t="s">
        <v>16</v>
      </c>
      <c r="G2678" s="2" t="s">
        <v>41</v>
      </c>
      <c r="H2678" s="2"/>
      <c r="I2678" s="2"/>
      <c r="J2678" s="2" t="s">
        <v>42</v>
      </c>
      <c r="K2678" s="2"/>
      <c r="L2678" s="2" t="s">
        <v>349</v>
      </c>
    </row>
    <row r="2679" customFormat="false" ht="11.9" hidden="false" customHeight="true" outlineLevel="0" collapsed="false">
      <c r="A2679" s="3" t="str">
        <f aca="false">HYPERLINK("https://www.fabsurplus.com/sdi_catalog/salesItemDetails.do?id=110508")</f>
        <v>https://www.fabsurplus.com/sdi_catalog/salesItemDetails.do?id=110508</v>
      </c>
      <c r="B2679" s="3" t="s">
        <v>7583</v>
      </c>
      <c r="C2679" s="3" t="s">
        <v>7581</v>
      </c>
      <c r="D2679" s="3" t="s">
        <v>7584</v>
      </c>
      <c r="E2679" s="3" t="s">
        <v>133</v>
      </c>
      <c r="F2679" s="3" t="s">
        <v>16</v>
      </c>
      <c r="G2679" s="3" t="s">
        <v>41</v>
      </c>
      <c r="H2679" s="3"/>
      <c r="I2679" s="3"/>
      <c r="J2679" s="3" t="s">
        <v>42</v>
      </c>
      <c r="K2679" s="3"/>
      <c r="L2679" s="3" t="s">
        <v>349</v>
      </c>
    </row>
    <row r="2680" customFormat="false" ht="11.9" hidden="false" customHeight="true" outlineLevel="0" collapsed="false">
      <c r="A2680" s="2" t="str">
        <f aca="false">HYPERLINK("https://www.fabsurplus.com/sdi_catalog/salesItemDetails.do?id=110509")</f>
        <v>https://www.fabsurplus.com/sdi_catalog/salesItemDetails.do?id=110509</v>
      </c>
      <c r="B2680" s="2" t="s">
        <v>7585</v>
      </c>
      <c r="C2680" s="2" t="s">
        <v>7581</v>
      </c>
      <c r="D2680" s="2" t="s">
        <v>7586</v>
      </c>
      <c r="E2680" s="2" t="s">
        <v>133</v>
      </c>
      <c r="F2680" s="2" t="s">
        <v>16</v>
      </c>
      <c r="G2680" s="2" t="s">
        <v>41</v>
      </c>
      <c r="H2680" s="2"/>
      <c r="I2680" s="2"/>
      <c r="J2680" s="2" t="s">
        <v>42</v>
      </c>
      <c r="K2680" s="2"/>
      <c r="L2680" s="2" t="s">
        <v>349</v>
      </c>
    </row>
    <row r="2681" customFormat="false" ht="11.9" hidden="false" customHeight="true" outlineLevel="0" collapsed="false">
      <c r="A2681" s="3" t="str">
        <f aca="false">HYPERLINK("https://www.fabsurplus.com/sdi_catalog/salesItemDetails.do?id=110510")</f>
        <v>https://www.fabsurplus.com/sdi_catalog/salesItemDetails.do?id=110510</v>
      </c>
      <c r="B2681" s="3" t="s">
        <v>7587</v>
      </c>
      <c r="C2681" s="3" t="s">
        <v>7581</v>
      </c>
      <c r="D2681" s="3" t="s">
        <v>7588</v>
      </c>
      <c r="E2681" s="3" t="s">
        <v>133</v>
      </c>
      <c r="F2681" s="3" t="s">
        <v>16</v>
      </c>
      <c r="G2681" s="3" t="s">
        <v>41</v>
      </c>
      <c r="H2681" s="3"/>
      <c r="I2681" s="3"/>
      <c r="J2681" s="3" t="s">
        <v>42</v>
      </c>
      <c r="K2681" s="3"/>
      <c r="L2681" s="3" t="s">
        <v>349</v>
      </c>
    </row>
    <row r="2682" customFormat="false" ht="11.9" hidden="false" customHeight="true" outlineLevel="0" collapsed="false">
      <c r="A2682" s="2" t="str">
        <f aca="false">HYPERLINK("https://www.fabsurplus.com/sdi_catalog/salesItemDetails.do?id=110511")</f>
        <v>https://www.fabsurplus.com/sdi_catalog/salesItemDetails.do?id=110511</v>
      </c>
      <c r="B2682" s="2" t="s">
        <v>7589</v>
      </c>
      <c r="C2682" s="2" t="s">
        <v>7581</v>
      </c>
      <c r="D2682" s="2" t="s">
        <v>7590</v>
      </c>
      <c r="E2682" s="2" t="s">
        <v>133</v>
      </c>
      <c r="F2682" s="2" t="s">
        <v>16</v>
      </c>
      <c r="G2682" s="2" t="s">
        <v>41</v>
      </c>
      <c r="H2682" s="2"/>
      <c r="I2682" s="2"/>
      <c r="J2682" s="2" t="s">
        <v>42</v>
      </c>
      <c r="K2682" s="2"/>
      <c r="L2682" s="2" t="s">
        <v>349</v>
      </c>
    </row>
    <row r="2683" customFormat="false" ht="11.9" hidden="false" customHeight="true" outlineLevel="0" collapsed="false">
      <c r="A2683" s="3" t="str">
        <f aca="false">HYPERLINK("https://www.fabsurplus.com/sdi_catalog/salesItemDetails.do?id=110512")</f>
        <v>https://www.fabsurplus.com/sdi_catalog/salesItemDetails.do?id=110512</v>
      </c>
      <c r="B2683" s="3" t="s">
        <v>7591</v>
      </c>
      <c r="C2683" s="3" t="s">
        <v>7581</v>
      </c>
      <c r="D2683" s="3" t="s">
        <v>7592</v>
      </c>
      <c r="E2683" s="3" t="s">
        <v>133</v>
      </c>
      <c r="F2683" s="3" t="s">
        <v>16</v>
      </c>
      <c r="G2683" s="3" t="s">
        <v>41</v>
      </c>
      <c r="H2683" s="3" t="s">
        <v>35</v>
      </c>
      <c r="I2683" s="3"/>
      <c r="J2683" s="3" t="s">
        <v>19</v>
      </c>
      <c r="K2683" s="3" t="s">
        <v>20</v>
      </c>
      <c r="L2683" s="3" t="s">
        <v>7593</v>
      </c>
    </row>
    <row r="2684" customFormat="false" ht="11.9" hidden="false" customHeight="true" outlineLevel="0" collapsed="false">
      <c r="A2684" s="2" t="str">
        <f aca="false">HYPERLINK("https://www.fabsurplus.com/sdi_catalog/salesItemDetails.do?id=110513")</f>
        <v>https://www.fabsurplus.com/sdi_catalog/salesItemDetails.do?id=110513</v>
      </c>
      <c r="B2684" s="2" t="s">
        <v>7594</v>
      </c>
      <c r="C2684" s="2" t="s">
        <v>7581</v>
      </c>
      <c r="D2684" s="2" t="s">
        <v>7595</v>
      </c>
      <c r="E2684" s="2" t="s">
        <v>133</v>
      </c>
      <c r="F2684" s="2" t="s">
        <v>16</v>
      </c>
      <c r="G2684" s="2" t="s">
        <v>41</v>
      </c>
      <c r="H2684" s="2"/>
      <c r="I2684" s="2"/>
      <c r="J2684" s="2" t="s">
        <v>42</v>
      </c>
      <c r="K2684" s="2"/>
      <c r="L2684" s="2" t="s">
        <v>349</v>
      </c>
    </row>
    <row r="2685" customFormat="false" ht="11.9" hidden="false" customHeight="true" outlineLevel="0" collapsed="false">
      <c r="A2685" s="3" t="str">
        <f aca="false">HYPERLINK("https://www.fabsurplus.com/sdi_catalog/salesItemDetails.do?id=110514")</f>
        <v>https://www.fabsurplus.com/sdi_catalog/salesItemDetails.do?id=110514</v>
      </c>
      <c r="B2685" s="3" t="s">
        <v>7596</v>
      </c>
      <c r="C2685" s="3" t="s">
        <v>7581</v>
      </c>
      <c r="D2685" s="3" t="s">
        <v>7597</v>
      </c>
      <c r="E2685" s="3" t="s">
        <v>133</v>
      </c>
      <c r="F2685" s="3" t="s">
        <v>16</v>
      </c>
      <c r="G2685" s="3" t="s">
        <v>41</v>
      </c>
      <c r="H2685" s="3"/>
      <c r="I2685" s="3"/>
      <c r="J2685" s="3" t="s">
        <v>42</v>
      </c>
      <c r="K2685" s="3"/>
      <c r="L2685" s="3" t="s">
        <v>349</v>
      </c>
    </row>
    <row r="2686" customFormat="false" ht="11.9" hidden="false" customHeight="true" outlineLevel="0" collapsed="false">
      <c r="A2686" s="3" t="str">
        <f aca="false">HYPERLINK("https://www.fabsurplus.com/sdi_catalog/salesItemDetails.do?id=110516")</f>
        <v>https://www.fabsurplus.com/sdi_catalog/salesItemDetails.do?id=110516</v>
      </c>
      <c r="B2686" s="3" t="s">
        <v>7598</v>
      </c>
      <c r="C2686" s="3" t="s">
        <v>7581</v>
      </c>
      <c r="D2686" s="3" t="s">
        <v>7599</v>
      </c>
      <c r="E2686" s="3" t="s">
        <v>133</v>
      </c>
      <c r="F2686" s="3" t="s">
        <v>16</v>
      </c>
      <c r="G2686" s="3" t="s">
        <v>41</v>
      </c>
      <c r="H2686" s="3"/>
      <c r="I2686" s="3"/>
      <c r="J2686" s="3" t="s">
        <v>42</v>
      </c>
      <c r="K2686" s="3"/>
      <c r="L2686" s="3" t="s">
        <v>349</v>
      </c>
    </row>
    <row r="2687" customFormat="false" ht="11.9" hidden="false" customHeight="true" outlineLevel="0" collapsed="false">
      <c r="A2687" s="2" t="str">
        <f aca="false">HYPERLINK("https://www.fabsurplus.com/sdi_catalog/salesItemDetails.do?id=110515")</f>
        <v>https://www.fabsurplus.com/sdi_catalog/salesItemDetails.do?id=110515</v>
      </c>
      <c r="B2687" s="2" t="s">
        <v>7600</v>
      </c>
      <c r="C2687" s="2" t="s">
        <v>7581</v>
      </c>
      <c r="D2687" s="2" t="s">
        <v>7599</v>
      </c>
      <c r="E2687" s="2" t="s">
        <v>133</v>
      </c>
      <c r="F2687" s="2" t="s">
        <v>16</v>
      </c>
      <c r="G2687" s="2" t="s">
        <v>41</v>
      </c>
      <c r="H2687" s="2"/>
      <c r="I2687" s="2"/>
      <c r="J2687" s="2" t="s">
        <v>42</v>
      </c>
      <c r="K2687" s="2"/>
      <c r="L2687" s="2" t="s">
        <v>349</v>
      </c>
    </row>
    <row r="2688" customFormat="false" ht="11.9" hidden="false" customHeight="true" outlineLevel="0" collapsed="false">
      <c r="A2688" s="2" t="str">
        <f aca="false">HYPERLINK("https://www.fabsurplus.com/sdi_catalog/salesItemDetails.do?id=110517")</f>
        <v>https://www.fabsurplus.com/sdi_catalog/salesItemDetails.do?id=110517</v>
      </c>
      <c r="B2688" s="2" t="s">
        <v>7601</v>
      </c>
      <c r="C2688" s="2" t="s">
        <v>7581</v>
      </c>
      <c r="D2688" s="2" t="s">
        <v>7602</v>
      </c>
      <c r="E2688" s="2" t="s">
        <v>133</v>
      </c>
      <c r="F2688" s="2" t="s">
        <v>16</v>
      </c>
      <c r="G2688" s="2" t="s">
        <v>41</v>
      </c>
      <c r="H2688" s="2"/>
      <c r="I2688" s="2"/>
      <c r="J2688" s="2" t="s">
        <v>42</v>
      </c>
      <c r="K2688" s="2"/>
      <c r="L2688" s="2" t="s">
        <v>349</v>
      </c>
    </row>
    <row r="2689" customFormat="false" ht="11.9" hidden="false" customHeight="true" outlineLevel="0" collapsed="false">
      <c r="A2689" s="3" t="str">
        <f aca="false">HYPERLINK("https://www.fabsurplus.com/sdi_catalog/salesItemDetails.do?id=110518")</f>
        <v>https://www.fabsurplus.com/sdi_catalog/salesItemDetails.do?id=110518</v>
      </c>
      <c r="B2689" s="3" t="s">
        <v>7603</v>
      </c>
      <c r="C2689" s="3" t="s">
        <v>7581</v>
      </c>
      <c r="D2689" s="3" t="s">
        <v>7604</v>
      </c>
      <c r="E2689" s="3" t="s">
        <v>133</v>
      </c>
      <c r="F2689" s="3" t="s">
        <v>16</v>
      </c>
      <c r="G2689" s="3" t="s">
        <v>41</v>
      </c>
      <c r="H2689" s="3"/>
      <c r="I2689" s="3"/>
      <c r="J2689" s="3" t="s">
        <v>42</v>
      </c>
      <c r="K2689" s="3"/>
      <c r="L2689" s="3" t="s">
        <v>349</v>
      </c>
    </row>
    <row r="2690" customFormat="false" ht="11.9" hidden="false" customHeight="true" outlineLevel="0" collapsed="false">
      <c r="A2690" s="3" t="str">
        <f aca="false">HYPERLINK("https://www.fabsurplus.com/sdi_catalog/salesItemDetails.do?id=110520")</f>
        <v>https://www.fabsurplus.com/sdi_catalog/salesItemDetails.do?id=110520</v>
      </c>
      <c r="B2690" s="3" t="s">
        <v>7605</v>
      </c>
      <c r="C2690" s="3" t="s">
        <v>7581</v>
      </c>
      <c r="D2690" s="3" t="s">
        <v>7606</v>
      </c>
      <c r="E2690" s="3" t="s">
        <v>133</v>
      </c>
      <c r="F2690" s="3" t="s">
        <v>16</v>
      </c>
      <c r="G2690" s="3" t="s">
        <v>41</v>
      </c>
      <c r="H2690" s="3"/>
      <c r="I2690" s="3"/>
      <c r="J2690" s="3" t="s">
        <v>42</v>
      </c>
      <c r="K2690" s="3"/>
      <c r="L2690" s="3" t="s">
        <v>349</v>
      </c>
    </row>
    <row r="2691" customFormat="false" ht="11.9" hidden="false" customHeight="true" outlineLevel="0" collapsed="false">
      <c r="A2691" s="2" t="str">
        <f aca="false">HYPERLINK("https://www.fabsurplus.com/sdi_catalog/salesItemDetails.do?id=110519")</f>
        <v>https://www.fabsurplus.com/sdi_catalog/salesItemDetails.do?id=110519</v>
      </c>
      <c r="B2691" s="2" t="s">
        <v>7607</v>
      </c>
      <c r="C2691" s="2" t="s">
        <v>7581</v>
      </c>
      <c r="D2691" s="2" t="s">
        <v>7606</v>
      </c>
      <c r="E2691" s="2" t="s">
        <v>133</v>
      </c>
      <c r="F2691" s="2" t="s">
        <v>16</v>
      </c>
      <c r="G2691" s="2" t="s">
        <v>41</v>
      </c>
      <c r="H2691" s="2"/>
      <c r="I2691" s="2"/>
      <c r="J2691" s="2" t="s">
        <v>42</v>
      </c>
      <c r="K2691" s="2"/>
      <c r="L2691" s="2" t="s">
        <v>349</v>
      </c>
    </row>
    <row r="2692" customFormat="false" ht="11.9" hidden="false" customHeight="true" outlineLevel="0" collapsed="false">
      <c r="A2692" s="2" t="str">
        <f aca="false">HYPERLINK("https://www.fabsurplus.com/sdi_catalog/salesItemDetails.do?id=84414")</f>
        <v>https://www.fabsurplus.com/sdi_catalog/salesItemDetails.do?id=84414</v>
      </c>
      <c r="B2692" s="2" t="s">
        <v>7608</v>
      </c>
      <c r="C2692" s="2" t="s">
        <v>7609</v>
      </c>
      <c r="D2692" s="2" t="s">
        <v>7610</v>
      </c>
      <c r="E2692" s="2" t="s">
        <v>7611</v>
      </c>
      <c r="F2692" s="2" t="s">
        <v>69</v>
      </c>
      <c r="G2692" s="2" t="s">
        <v>7612</v>
      </c>
      <c r="H2692" s="2" t="s">
        <v>35</v>
      </c>
      <c r="I2692" s="2"/>
      <c r="J2692" s="2" t="s">
        <v>19</v>
      </c>
      <c r="K2692" s="2" t="s">
        <v>20</v>
      </c>
      <c r="L2692" s="6" t="s">
        <v>7613</v>
      </c>
    </row>
    <row r="2693" customFormat="false" ht="11.9" hidden="false" customHeight="true" outlineLevel="0" collapsed="false">
      <c r="A2693" s="3" t="str">
        <f aca="false">HYPERLINK("https://www.fabsurplus.com/sdi_catalog/salesItemDetails.do?id=84376")</f>
        <v>https://www.fabsurplus.com/sdi_catalog/salesItemDetails.do?id=84376</v>
      </c>
      <c r="B2693" s="3" t="s">
        <v>7614</v>
      </c>
      <c r="C2693" s="3" t="s">
        <v>7615</v>
      </c>
      <c r="D2693" s="3" t="s">
        <v>7616</v>
      </c>
      <c r="E2693" s="3" t="s">
        <v>7617</v>
      </c>
      <c r="F2693" s="3" t="s">
        <v>16</v>
      </c>
      <c r="G2693" s="3"/>
      <c r="H2693" s="3" t="s">
        <v>27</v>
      </c>
      <c r="I2693" s="3"/>
      <c r="J2693" s="3" t="s">
        <v>19</v>
      </c>
      <c r="K2693" s="3" t="s">
        <v>20</v>
      </c>
      <c r="L2693" s="5" t="s">
        <v>7618</v>
      </c>
    </row>
    <row r="2694" customFormat="false" ht="11.9" hidden="false" customHeight="true" outlineLevel="0" collapsed="false">
      <c r="A2694" s="2" t="str">
        <f aca="false">HYPERLINK("https://www.fabsurplus.com/sdi_catalog/salesItemDetails.do?id=84297")</f>
        <v>https://www.fabsurplus.com/sdi_catalog/salesItemDetails.do?id=84297</v>
      </c>
      <c r="B2694" s="2" t="s">
        <v>7619</v>
      </c>
      <c r="C2694" s="2" t="s">
        <v>7620</v>
      </c>
      <c r="D2694" s="2" t="s">
        <v>7621</v>
      </c>
      <c r="E2694" s="2" t="s">
        <v>7622</v>
      </c>
      <c r="F2694" s="2" t="s">
        <v>16</v>
      </c>
      <c r="G2694" s="2" t="s">
        <v>17</v>
      </c>
      <c r="H2694" s="2" t="s">
        <v>27</v>
      </c>
      <c r="I2694" s="2"/>
      <c r="J2694" s="2" t="s">
        <v>19</v>
      </c>
      <c r="K2694" s="2" t="s">
        <v>20</v>
      </c>
      <c r="L2694" s="6" t="s">
        <v>7623</v>
      </c>
    </row>
    <row r="2695" customFormat="false" ht="11.9" hidden="false" customHeight="true" outlineLevel="0" collapsed="false">
      <c r="A2695" s="2" t="str">
        <f aca="false">HYPERLINK("https://www.fabsurplus.com/sdi_catalog/salesItemDetails.do?id=110521")</f>
        <v>https://www.fabsurplus.com/sdi_catalog/salesItemDetails.do?id=110521</v>
      </c>
      <c r="B2695" s="2" t="s">
        <v>7624</v>
      </c>
      <c r="C2695" s="2" t="s">
        <v>7625</v>
      </c>
      <c r="D2695" s="2" t="s">
        <v>7626</v>
      </c>
      <c r="E2695" s="2" t="s">
        <v>133</v>
      </c>
      <c r="F2695" s="2" t="s">
        <v>16</v>
      </c>
      <c r="G2695" s="2" t="s">
        <v>41</v>
      </c>
      <c r="H2695" s="2" t="s">
        <v>35</v>
      </c>
      <c r="I2695" s="2"/>
      <c r="J2695" s="2" t="s">
        <v>19</v>
      </c>
      <c r="K2695" s="2"/>
      <c r="L2695" s="6" t="s">
        <v>7627</v>
      </c>
    </row>
    <row r="2696" customFormat="false" ht="11.9" hidden="false" customHeight="true" outlineLevel="0" collapsed="false">
      <c r="A2696" s="3" t="str">
        <f aca="false">HYPERLINK("https://www.fabsurplus.com/sdi_catalog/salesItemDetails.do?id=84022")</f>
        <v>https://www.fabsurplus.com/sdi_catalog/salesItemDetails.do?id=84022</v>
      </c>
      <c r="B2696" s="3" t="s">
        <v>7628</v>
      </c>
      <c r="C2696" s="3" t="s">
        <v>7629</v>
      </c>
      <c r="D2696" s="3" t="s">
        <v>7630</v>
      </c>
      <c r="E2696" s="3" t="s">
        <v>7631</v>
      </c>
      <c r="F2696" s="3" t="s">
        <v>16</v>
      </c>
      <c r="G2696" s="3" t="s">
        <v>7632</v>
      </c>
      <c r="H2696" s="3" t="s">
        <v>35</v>
      </c>
      <c r="I2696" s="4" t="n">
        <v>35430.9583333333</v>
      </c>
      <c r="J2696" s="3" t="s">
        <v>19</v>
      </c>
      <c r="K2696" s="3" t="s">
        <v>20</v>
      </c>
      <c r="L2696" s="5" t="s">
        <v>7633</v>
      </c>
    </row>
    <row r="2697" customFormat="false" ht="11.9" hidden="false" customHeight="true" outlineLevel="0" collapsed="false">
      <c r="A2697" s="2" t="str">
        <f aca="false">HYPERLINK("https://www.fabsurplus.com/sdi_catalog/salesItemDetails.do?id=84023")</f>
        <v>https://www.fabsurplus.com/sdi_catalog/salesItemDetails.do?id=84023</v>
      </c>
      <c r="B2697" s="2" t="s">
        <v>7634</v>
      </c>
      <c r="C2697" s="2" t="s">
        <v>7629</v>
      </c>
      <c r="D2697" s="2" t="s">
        <v>7635</v>
      </c>
      <c r="E2697" s="2" t="s">
        <v>7636</v>
      </c>
      <c r="F2697" s="2" t="s">
        <v>16</v>
      </c>
      <c r="G2697" s="2" t="s">
        <v>7632</v>
      </c>
      <c r="H2697" s="2" t="s">
        <v>35</v>
      </c>
      <c r="I2697" s="7" t="n">
        <v>35431</v>
      </c>
      <c r="J2697" s="2" t="s">
        <v>19</v>
      </c>
      <c r="K2697" s="2" t="s">
        <v>20</v>
      </c>
      <c r="L2697" s="6" t="s">
        <v>7637</v>
      </c>
    </row>
    <row r="2698" customFormat="false" ht="11.9" hidden="false" customHeight="true" outlineLevel="0" collapsed="false">
      <c r="A2698" s="2" t="str">
        <f aca="false">HYPERLINK("https://www.fabsurplus.com/sdi_catalog/salesItemDetails.do?id=84381")</f>
        <v>https://www.fabsurplus.com/sdi_catalog/salesItemDetails.do?id=84381</v>
      </c>
      <c r="B2698" s="2" t="s">
        <v>7638</v>
      </c>
      <c r="C2698" s="2" t="s">
        <v>7639</v>
      </c>
      <c r="D2698" s="2" t="s">
        <v>7640</v>
      </c>
      <c r="E2698" s="2" t="s">
        <v>7641</v>
      </c>
      <c r="F2698" s="2" t="s">
        <v>199</v>
      </c>
      <c r="G2698" s="2" t="s">
        <v>7642</v>
      </c>
      <c r="H2698" s="2" t="s">
        <v>18</v>
      </c>
      <c r="I2698" s="2"/>
      <c r="J2698" s="2" t="s">
        <v>19</v>
      </c>
      <c r="K2698" s="2" t="s">
        <v>20</v>
      </c>
      <c r="L2698" s="6" t="s">
        <v>7643</v>
      </c>
    </row>
    <row r="2699" customFormat="false" ht="11.9" hidden="false" customHeight="true" outlineLevel="0" collapsed="false">
      <c r="A2699" s="2" t="str">
        <f aca="false">HYPERLINK("https://www.fabsurplus.com/sdi_catalog/salesItemDetails.do?id=84383")</f>
        <v>https://www.fabsurplus.com/sdi_catalog/salesItemDetails.do?id=84383</v>
      </c>
      <c r="B2699" s="2" t="s">
        <v>7644</v>
      </c>
      <c r="C2699" s="2" t="s">
        <v>7639</v>
      </c>
      <c r="D2699" s="2" t="s">
        <v>7645</v>
      </c>
      <c r="E2699" s="2" t="s">
        <v>7646</v>
      </c>
      <c r="F2699" s="2" t="s">
        <v>77</v>
      </c>
      <c r="G2699" s="2" t="s">
        <v>7647</v>
      </c>
      <c r="H2699" s="2" t="s">
        <v>18</v>
      </c>
      <c r="I2699" s="2"/>
      <c r="J2699" s="2" t="s">
        <v>19</v>
      </c>
      <c r="K2699" s="2" t="s">
        <v>20</v>
      </c>
      <c r="L2699" s="6" t="s">
        <v>7648</v>
      </c>
    </row>
    <row r="2700" customFormat="false" ht="11.9" hidden="false" customHeight="true" outlineLevel="0" collapsed="false">
      <c r="A2700" s="2" t="str">
        <f aca="false">HYPERLINK("https://www.fabsurplus.com/sdi_catalog/salesItemDetails.do?id=84385")</f>
        <v>https://www.fabsurplus.com/sdi_catalog/salesItemDetails.do?id=84385</v>
      </c>
      <c r="B2700" s="2" t="s">
        <v>7649</v>
      </c>
      <c r="C2700" s="2" t="s">
        <v>7639</v>
      </c>
      <c r="D2700" s="2" t="s">
        <v>7650</v>
      </c>
      <c r="E2700" s="2" t="s">
        <v>7641</v>
      </c>
      <c r="F2700" s="2" t="s">
        <v>16</v>
      </c>
      <c r="G2700" s="2"/>
      <c r="H2700" s="2" t="s">
        <v>18</v>
      </c>
      <c r="I2700" s="2"/>
      <c r="J2700" s="2" t="s">
        <v>19</v>
      </c>
      <c r="K2700" s="2" t="s">
        <v>20</v>
      </c>
      <c r="L2700" s="6" t="s">
        <v>7651</v>
      </c>
    </row>
    <row r="2701" customFormat="false" ht="11.9" hidden="false" customHeight="true" outlineLevel="0" collapsed="false">
      <c r="A2701" s="3" t="str">
        <f aca="false">HYPERLINK("https://www.fabsurplus.com/sdi_catalog/salesItemDetails.do?id=84380")</f>
        <v>https://www.fabsurplus.com/sdi_catalog/salesItemDetails.do?id=84380</v>
      </c>
      <c r="B2701" s="3" t="s">
        <v>7652</v>
      </c>
      <c r="C2701" s="3" t="s">
        <v>7639</v>
      </c>
      <c r="D2701" s="3" t="s">
        <v>7653</v>
      </c>
      <c r="E2701" s="3" t="s">
        <v>7654</v>
      </c>
      <c r="F2701" s="3" t="s">
        <v>199</v>
      </c>
      <c r="G2701" s="3"/>
      <c r="H2701" s="3" t="s">
        <v>18</v>
      </c>
      <c r="I2701" s="3"/>
      <c r="J2701" s="3" t="s">
        <v>19</v>
      </c>
      <c r="K2701" s="3" t="s">
        <v>20</v>
      </c>
      <c r="L2701" s="5" t="s">
        <v>7655</v>
      </c>
    </row>
    <row r="2702" customFormat="false" ht="11.9" hidden="false" customHeight="true" outlineLevel="0" collapsed="false">
      <c r="A2702" s="3" t="str">
        <f aca="false">HYPERLINK("https://www.fabsurplus.com/sdi_catalog/salesItemDetails.do?id=84384")</f>
        <v>https://www.fabsurplus.com/sdi_catalog/salesItemDetails.do?id=84384</v>
      </c>
      <c r="B2702" s="3" t="s">
        <v>7656</v>
      </c>
      <c r="C2702" s="3" t="s">
        <v>7639</v>
      </c>
      <c r="D2702" s="3" t="s">
        <v>7657</v>
      </c>
      <c r="E2702" s="3" t="s">
        <v>7641</v>
      </c>
      <c r="F2702" s="3" t="s">
        <v>77</v>
      </c>
      <c r="G2702" s="3"/>
      <c r="H2702" s="3" t="s">
        <v>18</v>
      </c>
      <c r="I2702" s="3"/>
      <c r="J2702" s="3" t="s">
        <v>19</v>
      </c>
      <c r="K2702" s="3" t="s">
        <v>20</v>
      </c>
      <c r="L2702" s="5" t="s">
        <v>7658</v>
      </c>
    </row>
    <row r="2703" customFormat="false" ht="11.9" hidden="false" customHeight="true" outlineLevel="0" collapsed="false">
      <c r="A2703" s="3" t="str">
        <f aca="false">HYPERLINK("https://www.fabsurplus.com/sdi_catalog/salesItemDetails.do?id=84382")</f>
        <v>https://www.fabsurplus.com/sdi_catalog/salesItemDetails.do?id=84382</v>
      </c>
      <c r="B2703" s="3" t="s">
        <v>7659</v>
      </c>
      <c r="C2703" s="3" t="s">
        <v>7639</v>
      </c>
      <c r="D2703" s="3" t="s">
        <v>7660</v>
      </c>
      <c r="E2703" s="3" t="s">
        <v>7661</v>
      </c>
      <c r="F2703" s="3" t="s">
        <v>69</v>
      </c>
      <c r="G2703" s="3" t="s">
        <v>7647</v>
      </c>
      <c r="H2703" s="3" t="s">
        <v>18</v>
      </c>
      <c r="I2703" s="3"/>
      <c r="J2703" s="3" t="s">
        <v>19</v>
      </c>
      <c r="K2703" s="3" t="s">
        <v>20</v>
      </c>
      <c r="L2703" s="5" t="s">
        <v>7662</v>
      </c>
    </row>
    <row r="2704" customFormat="false" ht="11.9" hidden="false" customHeight="true" outlineLevel="0" collapsed="false">
      <c r="A2704" s="3" t="str">
        <f aca="false">HYPERLINK("https://www.fabsurplus.com/sdi_catalog/salesItemDetails.do?id=69782")</f>
        <v>https://www.fabsurplus.com/sdi_catalog/salesItemDetails.do?id=69782</v>
      </c>
      <c r="B2704" s="3" t="s">
        <v>7663</v>
      </c>
      <c r="C2704" s="3" t="s">
        <v>7664</v>
      </c>
      <c r="D2704" s="3" t="s">
        <v>7665</v>
      </c>
      <c r="E2704" s="3" t="s">
        <v>7666</v>
      </c>
      <c r="F2704" s="3" t="s">
        <v>16</v>
      </c>
      <c r="G2704" s="3"/>
      <c r="H2704" s="3" t="s">
        <v>27</v>
      </c>
      <c r="I2704" s="3"/>
      <c r="J2704" s="3" t="s">
        <v>19</v>
      </c>
      <c r="K2704" s="3" t="s">
        <v>20</v>
      </c>
      <c r="L2704" s="3" t="s">
        <v>7667</v>
      </c>
    </row>
    <row r="2705" customFormat="false" ht="11.9" hidden="false" customHeight="true" outlineLevel="0" collapsed="false">
      <c r="A2705" s="2" t="str">
        <f aca="false">HYPERLINK("https://www.fabsurplus.com/sdi_catalog/salesItemDetails.do?id=70302")</f>
        <v>https://www.fabsurplus.com/sdi_catalog/salesItemDetails.do?id=70302</v>
      </c>
      <c r="B2705" s="2" t="s">
        <v>7668</v>
      </c>
      <c r="C2705" s="2" t="s">
        <v>7669</v>
      </c>
      <c r="D2705" s="2" t="s">
        <v>7670</v>
      </c>
      <c r="E2705" s="2" t="s">
        <v>7671</v>
      </c>
      <c r="F2705" s="2" t="s">
        <v>16</v>
      </c>
      <c r="G2705" s="2" t="s">
        <v>41</v>
      </c>
      <c r="H2705" s="2" t="s">
        <v>1691</v>
      </c>
      <c r="I2705" s="2"/>
      <c r="J2705" s="2" t="s">
        <v>19</v>
      </c>
      <c r="K2705" s="2" t="s">
        <v>20</v>
      </c>
      <c r="L2705" s="6" t="s">
        <v>7672</v>
      </c>
    </row>
    <row r="2706" customFormat="false" ht="11.9" hidden="false" customHeight="true" outlineLevel="0" collapsed="false">
      <c r="A2706" s="3" t="str">
        <f aca="false">HYPERLINK("https://www.fabsurplus.com/sdi_catalog/salesItemDetails.do?id=87367")</f>
        <v>https://www.fabsurplus.com/sdi_catalog/salesItemDetails.do?id=87367</v>
      </c>
      <c r="B2706" s="3" t="s">
        <v>7673</v>
      </c>
      <c r="C2706" s="3" t="s">
        <v>7674</v>
      </c>
      <c r="D2706" s="3" t="s">
        <v>7675</v>
      </c>
      <c r="E2706" s="3" t="s">
        <v>7676</v>
      </c>
      <c r="F2706" s="3" t="s">
        <v>16</v>
      </c>
      <c r="G2706" s="3" t="s">
        <v>5190</v>
      </c>
      <c r="H2706" s="3" t="s">
        <v>35</v>
      </c>
      <c r="I2706" s="3"/>
      <c r="J2706" s="3" t="s">
        <v>139</v>
      </c>
      <c r="K2706" s="3" t="s">
        <v>20</v>
      </c>
      <c r="L2706" s="5" t="s">
        <v>7677</v>
      </c>
    </row>
    <row r="2707" customFormat="false" ht="11.9" hidden="false" customHeight="true" outlineLevel="0" collapsed="false">
      <c r="A2707" s="2" t="str">
        <f aca="false">HYPERLINK("https://www.fabsurplus.com/sdi_catalog/salesItemDetails.do?id=72155")</f>
        <v>https://www.fabsurplus.com/sdi_catalog/salesItemDetails.do?id=72155</v>
      </c>
      <c r="B2707" s="2" t="s">
        <v>7678</v>
      </c>
      <c r="C2707" s="2" t="s">
        <v>7679</v>
      </c>
      <c r="D2707" s="2" t="s">
        <v>7680</v>
      </c>
      <c r="E2707" s="2" t="s">
        <v>7681</v>
      </c>
      <c r="F2707" s="2" t="s">
        <v>16</v>
      </c>
      <c r="G2707" s="2" t="s">
        <v>26</v>
      </c>
      <c r="H2707" s="2" t="s">
        <v>18</v>
      </c>
      <c r="I2707" s="7" t="n">
        <v>37652.9583333333</v>
      </c>
      <c r="J2707" s="2" t="s">
        <v>19</v>
      </c>
      <c r="K2707" s="2" t="s">
        <v>20</v>
      </c>
      <c r="L2707" s="6" t="s">
        <v>7682</v>
      </c>
    </row>
    <row r="2708" customFormat="false" ht="11.9" hidden="false" customHeight="true" outlineLevel="0" collapsed="false">
      <c r="A2708" s="2" t="str">
        <f aca="false">HYPERLINK("https://www.fabsurplus.com/sdi_catalog/salesItemDetails.do?id=108986")</f>
        <v>https://www.fabsurplus.com/sdi_catalog/salesItemDetails.do?id=108986</v>
      </c>
      <c r="B2708" s="2" t="s">
        <v>7683</v>
      </c>
      <c r="C2708" s="2" t="s">
        <v>7684</v>
      </c>
      <c r="D2708" s="2" t="s">
        <v>7685</v>
      </c>
      <c r="E2708" s="2" t="s">
        <v>7686</v>
      </c>
      <c r="F2708" s="2" t="s">
        <v>16</v>
      </c>
      <c r="G2708" s="2" t="s">
        <v>26</v>
      </c>
      <c r="H2708" s="2" t="s">
        <v>35</v>
      </c>
      <c r="I2708" s="2"/>
      <c r="J2708" s="2" t="s">
        <v>19</v>
      </c>
      <c r="K2708" s="2" t="s">
        <v>20</v>
      </c>
      <c r="L2708" s="6" t="s">
        <v>7687</v>
      </c>
    </row>
    <row r="2709" customFormat="false" ht="11.9" hidden="false" customHeight="true" outlineLevel="0" collapsed="false">
      <c r="A2709" s="3" t="str">
        <f aca="false">HYPERLINK("https://www.fabsurplus.com/sdi_catalog/salesItemDetails.do?id=106941")</f>
        <v>https://www.fabsurplus.com/sdi_catalog/salesItemDetails.do?id=106941</v>
      </c>
      <c r="B2709" s="3" t="s">
        <v>7688</v>
      </c>
      <c r="C2709" s="3" t="s">
        <v>7684</v>
      </c>
      <c r="D2709" s="3" t="s">
        <v>7689</v>
      </c>
      <c r="E2709" s="3" t="s">
        <v>7690</v>
      </c>
      <c r="F2709" s="3" t="s">
        <v>16</v>
      </c>
      <c r="G2709" s="3" t="s">
        <v>26</v>
      </c>
      <c r="H2709" s="3" t="s">
        <v>27</v>
      </c>
      <c r="I2709" s="3"/>
      <c r="J2709" s="3" t="s">
        <v>19</v>
      </c>
      <c r="K2709" s="3" t="s">
        <v>20</v>
      </c>
      <c r="L2709" s="5" t="s">
        <v>7691</v>
      </c>
    </row>
    <row r="2710" customFormat="false" ht="11.9" hidden="false" customHeight="true" outlineLevel="0" collapsed="false">
      <c r="A2710" s="3" t="str">
        <f aca="false">HYPERLINK("https://www.fabsurplus.com/sdi_catalog/salesItemDetails.do?id=108983")</f>
        <v>https://www.fabsurplus.com/sdi_catalog/salesItemDetails.do?id=108983</v>
      </c>
      <c r="B2710" s="3" t="s">
        <v>7692</v>
      </c>
      <c r="C2710" s="3" t="s">
        <v>7684</v>
      </c>
      <c r="D2710" s="3" t="s">
        <v>7693</v>
      </c>
      <c r="E2710" s="3" t="s">
        <v>7694</v>
      </c>
      <c r="F2710" s="3" t="s">
        <v>16</v>
      </c>
      <c r="G2710" s="3" t="s">
        <v>26</v>
      </c>
      <c r="H2710" s="3" t="s">
        <v>27</v>
      </c>
      <c r="I2710" s="4" t="n">
        <v>35947</v>
      </c>
      <c r="J2710" s="3" t="s">
        <v>19</v>
      </c>
      <c r="K2710" s="3" t="s">
        <v>20</v>
      </c>
      <c r="L2710" s="5" t="s">
        <v>7695</v>
      </c>
    </row>
    <row r="2711" customFormat="false" ht="11.9" hidden="false" customHeight="true" outlineLevel="0" collapsed="false">
      <c r="A2711" s="2" t="str">
        <f aca="false">HYPERLINK("https://www.fabsurplus.com/sdi_catalog/salesItemDetails.do?id=108982")</f>
        <v>https://www.fabsurplus.com/sdi_catalog/salesItemDetails.do?id=108982</v>
      </c>
      <c r="B2711" s="2" t="s">
        <v>7696</v>
      </c>
      <c r="C2711" s="2" t="s">
        <v>7684</v>
      </c>
      <c r="D2711" s="2" t="s">
        <v>7697</v>
      </c>
      <c r="E2711" s="2" t="s">
        <v>7698</v>
      </c>
      <c r="F2711" s="2" t="s">
        <v>16</v>
      </c>
      <c r="G2711" s="2" t="s">
        <v>26</v>
      </c>
      <c r="H2711" s="2" t="s">
        <v>27</v>
      </c>
      <c r="I2711" s="7" t="n">
        <v>37043</v>
      </c>
      <c r="J2711" s="2" t="s">
        <v>19</v>
      </c>
      <c r="K2711" s="2" t="s">
        <v>20</v>
      </c>
      <c r="L2711" s="6" t="s">
        <v>7699</v>
      </c>
    </row>
    <row r="2712" customFormat="false" ht="11.9" hidden="false" customHeight="true" outlineLevel="0" collapsed="false">
      <c r="A2712" s="2" t="str">
        <f aca="false">HYPERLINK("https://www.fabsurplus.com/sdi_catalog/salesItemDetails.do?id=106942")</f>
        <v>https://www.fabsurplus.com/sdi_catalog/salesItemDetails.do?id=106942</v>
      </c>
      <c r="B2712" s="2" t="s">
        <v>7700</v>
      </c>
      <c r="C2712" s="2" t="s">
        <v>7684</v>
      </c>
      <c r="D2712" s="2" t="s">
        <v>7701</v>
      </c>
      <c r="E2712" s="2" t="s">
        <v>7702</v>
      </c>
      <c r="F2712" s="2" t="s">
        <v>16</v>
      </c>
      <c r="G2712" s="2" t="s">
        <v>26</v>
      </c>
      <c r="H2712" s="2" t="s">
        <v>27</v>
      </c>
      <c r="I2712" s="7" t="n">
        <v>37043</v>
      </c>
      <c r="J2712" s="2" t="s">
        <v>19</v>
      </c>
      <c r="K2712" s="2" t="s">
        <v>20</v>
      </c>
      <c r="L2712" s="6" t="s">
        <v>7691</v>
      </c>
    </row>
    <row r="2713" customFormat="false" ht="11.9" hidden="false" customHeight="true" outlineLevel="0" collapsed="false">
      <c r="A2713" s="2" t="str">
        <f aca="false">HYPERLINK("https://www.fabsurplus.com/sdi_catalog/salesItemDetails.do?id=108984")</f>
        <v>https://www.fabsurplus.com/sdi_catalog/salesItemDetails.do?id=108984</v>
      </c>
      <c r="B2713" s="2" t="s">
        <v>7703</v>
      </c>
      <c r="C2713" s="2" t="s">
        <v>7684</v>
      </c>
      <c r="D2713" s="2" t="s">
        <v>7704</v>
      </c>
      <c r="E2713" s="2" t="s">
        <v>7705</v>
      </c>
      <c r="F2713" s="2" t="s">
        <v>16</v>
      </c>
      <c r="G2713" s="2" t="s">
        <v>26</v>
      </c>
      <c r="H2713" s="2" t="s">
        <v>1691</v>
      </c>
      <c r="I2713" s="7" t="n">
        <v>37104</v>
      </c>
      <c r="J2713" s="2"/>
      <c r="K2713" s="2" t="s">
        <v>20</v>
      </c>
      <c r="L2713" s="6" t="s">
        <v>7706</v>
      </c>
    </row>
    <row r="2714" customFormat="false" ht="11.9" hidden="false" customHeight="true" outlineLevel="0" collapsed="false">
      <c r="A2714" s="3" t="str">
        <f aca="false">HYPERLINK("https://www.fabsurplus.com/sdi_catalog/salesItemDetails.do?id=106943")</f>
        <v>https://www.fabsurplus.com/sdi_catalog/salesItemDetails.do?id=106943</v>
      </c>
      <c r="B2714" s="3" t="s">
        <v>7707</v>
      </c>
      <c r="C2714" s="3" t="s">
        <v>7684</v>
      </c>
      <c r="D2714" s="3" t="s">
        <v>7708</v>
      </c>
      <c r="E2714" s="3" t="s">
        <v>7709</v>
      </c>
      <c r="F2714" s="3" t="s">
        <v>16</v>
      </c>
      <c r="G2714" s="3" t="s">
        <v>26</v>
      </c>
      <c r="H2714" s="3" t="s">
        <v>1691</v>
      </c>
      <c r="I2714" s="4" t="n">
        <v>37043</v>
      </c>
      <c r="J2714" s="3" t="s">
        <v>19</v>
      </c>
      <c r="K2714" s="3" t="s">
        <v>20</v>
      </c>
      <c r="L2714" s="5" t="s">
        <v>7710</v>
      </c>
    </row>
    <row r="2715" customFormat="false" ht="11.9" hidden="false" customHeight="true" outlineLevel="0" collapsed="false">
      <c r="A2715" s="3" t="str">
        <f aca="false">HYPERLINK("https://www.fabsurplus.com/sdi_catalog/salesItemDetails.do?id=108980")</f>
        <v>https://www.fabsurplus.com/sdi_catalog/salesItemDetails.do?id=108980</v>
      </c>
      <c r="B2715" s="3" t="s">
        <v>7711</v>
      </c>
      <c r="C2715" s="3" t="s">
        <v>7684</v>
      </c>
      <c r="D2715" s="3" t="s">
        <v>7712</v>
      </c>
      <c r="E2715" s="3" t="s">
        <v>7713</v>
      </c>
      <c r="F2715" s="3" t="s">
        <v>16</v>
      </c>
      <c r="G2715" s="3" t="s">
        <v>26</v>
      </c>
      <c r="H2715" s="3" t="s">
        <v>27</v>
      </c>
      <c r="I2715" s="3"/>
      <c r="J2715" s="3" t="s">
        <v>19</v>
      </c>
      <c r="K2715" s="3" t="s">
        <v>20</v>
      </c>
      <c r="L2715" s="5" t="s">
        <v>7714</v>
      </c>
    </row>
    <row r="2716" customFormat="false" ht="11.9" hidden="false" customHeight="true" outlineLevel="0" collapsed="false">
      <c r="A2716" s="2" t="str">
        <f aca="false">HYPERLINK("https://www.fabsurplus.com/sdi_catalog/salesItemDetails.do?id=108979")</f>
        <v>https://www.fabsurplus.com/sdi_catalog/salesItemDetails.do?id=108979</v>
      </c>
      <c r="B2716" s="2" t="s">
        <v>7715</v>
      </c>
      <c r="C2716" s="2" t="s">
        <v>7684</v>
      </c>
      <c r="D2716" s="2" t="s">
        <v>7716</v>
      </c>
      <c r="E2716" s="2" t="s">
        <v>7713</v>
      </c>
      <c r="F2716" s="2" t="s">
        <v>16</v>
      </c>
      <c r="G2716" s="2" t="s">
        <v>26</v>
      </c>
      <c r="H2716" s="2" t="s">
        <v>27</v>
      </c>
      <c r="I2716" s="2"/>
      <c r="J2716" s="2" t="s">
        <v>19</v>
      </c>
      <c r="K2716" s="2" t="s">
        <v>20</v>
      </c>
      <c r="L2716" s="6" t="s">
        <v>7717</v>
      </c>
    </row>
    <row r="2717" customFormat="false" ht="11.9" hidden="false" customHeight="true" outlineLevel="0" collapsed="false">
      <c r="A2717" s="3" t="str">
        <f aca="false">HYPERLINK("https://www.fabsurplus.com/sdi_catalog/salesItemDetails.do?id=108985")</f>
        <v>https://www.fabsurplus.com/sdi_catalog/salesItemDetails.do?id=108985</v>
      </c>
      <c r="B2717" s="3" t="s">
        <v>7718</v>
      </c>
      <c r="C2717" s="3" t="s">
        <v>7684</v>
      </c>
      <c r="D2717" s="3" t="s">
        <v>7719</v>
      </c>
      <c r="E2717" s="3" t="s">
        <v>7720</v>
      </c>
      <c r="F2717" s="3" t="s">
        <v>16</v>
      </c>
      <c r="G2717" s="3" t="s">
        <v>26</v>
      </c>
      <c r="H2717" s="3" t="s">
        <v>35</v>
      </c>
      <c r="I2717" s="4" t="n">
        <v>38139</v>
      </c>
      <c r="J2717" s="3" t="s">
        <v>19</v>
      </c>
      <c r="K2717" s="3" t="s">
        <v>20</v>
      </c>
      <c r="L2717" s="5" t="s">
        <v>7721</v>
      </c>
    </row>
    <row r="2718" customFormat="false" ht="11.9" hidden="false" customHeight="true" outlineLevel="0" collapsed="false">
      <c r="A2718" s="3" t="str">
        <f aca="false">HYPERLINK("https://www.fabsurplus.com/sdi_catalog/salesItemDetails.do?id=83909")</f>
        <v>https://www.fabsurplus.com/sdi_catalog/salesItemDetails.do?id=83909</v>
      </c>
      <c r="B2718" s="3" t="s">
        <v>7722</v>
      </c>
      <c r="C2718" s="3" t="s">
        <v>7723</v>
      </c>
      <c r="D2718" s="3" t="s">
        <v>7724</v>
      </c>
      <c r="E2718" s="3" t="s">
        <v>6683</v>
      </c>
      <c r="F2718" s="3" t="s">
        <v>889</v>
      </c>
      <c r="G2718" s="3"/>
      <c r="H2718" s="3" t="s">
        <v>883</v>
      </c>
      <c r="I2718" s="3"/>
      <c r="J2718" s="3" t="s">
        <v>19</v>
      </c>
      <c r="K2718" s="3" t="s">
        <v>20</v>
      </c>
      <c r="L2718" s="5" t="s">
        <v>7725</v>
      </c>
    </row>
    <row r="2719" customFormat="false" ht="11.9" hidden="false" customHeight="true" outlineLevel="0" collapsed="false">
      <c r="A2719" s="2" t="str">
        <f aca="false">HYPERLINK("https://www.fabsurplus.com/sdi_catalog/salesItemDetails.do?id=83910")</f>
        <v>https://www.fabsurplus.com/sdi_catalog/salesItemDetails.do?id=83910</v>
      </c>
      <c r="B2719" s="2" t="s">
        <v>7726</v>
      </c>
      <c r="C2719" s="2" t="s">
        <v>7723</v>
      </c>
      <c r="D2719" s="2" t="s">
        <v>7727</v>
      </c>
      <c r="E2719" s="2" t="s">
        <v>7728</v>
      </c>
      <c r="F2719" s="2" t="s">
        <v>104</v>
      </c>
      <c r="G2719" s="2"/>
      <c r="H2719" s="2" t="s">
        <v>883</v>
      </c>
      <c r="I2719" s="2"/>
      <c r="J2719" s="2" t="s">
        <v>19</v>
      </c>
      <c r="K2719" s="2" t="s">
        <v>20</v>
      </c>
      <c r="L2719" s="6" t="s">
        <v>7729</v>
      </c>
    </row>
    <row r="2720" customFormat="false" ht="11.9" hidden="false" customHeight="true" outlineLevel="0" collapsed="false">
      <c r="A2720" s="3" t="str">
        <f aca="false">HYPERLINK("https://www.fabsurplus.com/sdi_catalog/salesItemDetails.do?id=83919")</f>
        <v>https://www.fabsurplus.com/sdi_catalog/salesItemDetails.do?id=83919</v>
      </c>
      <c r="B2720" s="3" t="s">
        <v>7730</v>
      </c>
      <c r="C2720" s="3" t="s">
        <v>7723</v>
      </c>
      <c r="D2720" s="3" t="s">
        <v>7731</v>
      </c>
      <c r="E2720" s="3" t="s">
        <v>7728</v>
      </c>
      <c r="F2720" s="3" t="s">
        <v>101</v>
      </c>
      <c r="G2720" s="3"/>
      <c r="H2720" s="3" t="s">
        <v>883</v>
      </c>
      <c r="I2720" s="3"/>
      <c r="J2720" s="3" t="s">
        <v>19</v>
      </c>
      <c r="K2720" s="3" t="s">
        <v>20</v>
      </c>
      <c r="L2720" s="5" t="s">
        <v>7732</v>
      </c>
    </row>
    <row r="2721" customFormat="false" ht="11.9" hidden="false" customHeight="true" outlineLevel="0" collapsed="false">
      <c r="A2721" s="2" t="str">
        <f aca="false">HYPERLINK("https://www.fabsurplus.com/sdi_catalog/salesItemDetails.do?id=83915")</f>
        <v>https://www.fabsurplus.com/sdi_catalog/salesItemDetails.do?id=83915</v>
      </c>
      <c r="B2721" s="2" t="s">
        <v>7733</v>
      </c>
      <c r="C2721" s="2" t="s">
        <v>7723</v>
      </c>
      <c r="D2721" s="2" t="s">
        <v>7734</v>
      </c>
      <c r="E2721" s="2" t="s">
        <v>7735</v>
      </c>
      <c r="F2721" s="2" t="s">
        <v>77</v>
      </c>
      <c r="G2721" s="2" t="s">
        <v>7736</v>
      </c>
      <c r="H2721" s="2" t="s">
        <v>883</v>
      </c>
      <c r="I2721" s="2"/>
      <c r="J2721" s="2" t="s">
        <v>19</v>
      </c>
      <c r="K2721" s="2" t="s">
        <v>20</v>
      </c>
      <c r="L2721" s="6" t="s">
        <v>7737</v>
      </c>
    </row>
    <row r="2722" customFormat="false" ht="11.9" hidden="false" customHeight="true" outlineLevel="0" collapsed="false">
      <c r="A2722" s="3" t="str">
        <f aca="false">HYPERLINK("https://www.fabsurplus.com/sdi_catalog/salesItemDetails.do?id=83911")</f>
        <v>https://www.fabsurplus.com/sdi_catalog/salesItemDetails.do?id=83911</v>
      </c>
      <c r="B2722" s="3" t="s">
        <v>7738</v>
      </c>
      <c r="C2722" s="3" t="s">
        <v>7723</v>
      </c>
      <c r="D2722" s="3" t="s">
        <v>7739</v>
      </c>
      <c r="E2722" s="3" t="s">
        <v>7728</v>
      </c>
      <c r="F2722" s="3" t="s">
        <v>2293</v>
      </c>
      <c r="G2722" s="3"/>
      <c r="H2722" s="3" t="s">
        <v>883</v>
      </c>
      <c r="I2722" s="3"/>
      <c r="J2722" s="3" t="s">
        <v>19</v>
      </c>
      <c r="K2722" s="3" t="s">
        <v>20</v>
      </c>
      <c r="L2722" s="5" t="s">
        <v>7740</v>
      </c>
    </row>
    <row r="2723" customFormat="false" ht="11.9" hidden="false" customHeight="true" outlineLevel="0" collapsed="false">
      <c r="A2723" s="2" t="str">
        <f aca="false">HYPERLINK("https://www.fabsurplus.com/sdi_catalog/salesItemDetails.do?id=83912")</f>
        <v>https://www.fabsurplus.com/sdi_catalog/salesItemDetails.do?id=83912</v>
      </c>
      <c r="B2723" s="2" t="s">
        <v>7741</v>
      </c>
      <c r="C2723" s="2" t="s">
        <v>7723</v>
      </c>
      <c r="D2723" s="2" t="s">
        <v>7742</v>
      </c>
      <c r="E2723" s="2" t="s">
        <v>7728</v>
      </c>
      <c r="F2723" s="2" t="s">
        <v>889</v>
      </c>
      <c r="G2723" s="2"/>
      <c r="H2723" s="2" t="s">
        <v>883</v>
      </c>
      <c r="I2723" s="2"/>
      <c r="J2723" s="2" t="s">
        <v>19</v>
      </c>
      <c r="K2723" s="2" t="s">
        <v>20</v>
      </c>
      <c r="L2723" s="6" t="s">
        <v>7743</v>
      </c>
    </row>
    <row r="2724" customFormat="false" ht="11.9" hidden="false" customHeight="true" outlineLevel="0" collapsed="false">
      <c r="A2724" s="3" t="str">
        <f aca="false">HYPERLINK("https://www.fabsurplus.com/sdi_catalog/salesItemDetails.do?id=83913")</f>
        <v>https://www.fabsurplus.com/sdi_catalog/salesItemDetails.do?id=83913</v>
      </c>
      <c r="B2724" s="3" t="s">
        <v>7744</v>
      </c>
      <c r="C2724" s="3" t="s">
        <v>7723</v>
      </c>
      <c r="D2724" s="3" t="s">
        <v>7745</v>
      </c>
      <c r="E2724" s="3" t="s">
        <v>7728</v>
      </c>
      <c r="F2724" s="3" t="s">
        <v>5714</v>
      </c>
      <c r="G2724" s="3"/>
      <c r="H2724" s="3" t="s">
        <v>883</v>
      </c>
      <c r="I2724" s="3"/>
      <c r="J2724" s="3" t="s">
        <v>19</v>
      </c>
      <c r="K2724" s="3" t="s">
        <v>20</v>
      </c>
      <c r="L2724" s="5" t="s">
        <v>7746</v>
      </c>
    </row>
    <row r="2725" customFormat="false" ht="11.9" hidden="false" customHeight="true" outlineLevel="0" collapsed="false">
      <c r="A2725" s="2" t="str">
        <f aca="false">HYPERLINK("https://www.fabsurplus.com/sdi_catalog/salesItemDetails.do?id=79890")</f>
        <v>https://www.fabsurplus.com/sdi_catalog/salesItemDetails.do?id=79890</v>
      </c>
      <c r="B2725" s="2" t="s">
        <v>7747</v>
      </c>
      <c r="C2725" s="2" t="s">
        <v>7748</v>
      </c>
      <c r="D2725" s="2" t="s">
        <v>7749</v>
      </c>
      <c r="E2725" s="2" t="s">
        <v>7750</v>
      </c>
      <c r="F2725" s="2" t="s">
        <v>16</v>
      </c>
      <c r="G2725" s="2"/>
      <c r="H2725" s="2" t="s">
        <v>27</v>
      </c>
      <c r="I2725" s="2"/>
      <c r="J2725" s="2" t="s">
        <v>19</v>
      </c>
      <c r="K2725" s="2" t="s">
        <v>20</v>
      </c>
      <c r="L2725" s="6" t="s">
        <v>7751</v>
      </c>
    </row>
    <row r="2726" customFormat="false" ht="11.9" hidden="false" customHeight="true" outlineLevel="0" collapsed="false">
      <c r="A2726" s="2" t="str">
        <f aca="false">HYPERLINK("https://www.fabsurplus.com/sdi_catalog/salesItemDetails.do?id=110526")</f>
        <v>https://www.fabsurplus.com/sdi_catalog/salesItemDetails.do?id=110526</v>
      </c>
      <c r="B2726" s="2" t="s">
        <v>7752</v>
      </c>
      <c r="C2726" s="2" t="s">
        <v>7753</v>
      </c>
      <c r="D2726" s="2" t="s">
        <v>802</v>
      </c>
      <c r="E2726" s="2" t="s">
        <v>802</v>
      </c>
      <c r="F2726" s="2" t="s">
        <v>16</v>
      </c>
      <c r="G2726" s="2" t="s">
        <v>41</v>
      </c>
      <c r="H2726" s="2"/>
      <c r="I2726" s="2"/>
      <c r="J2726" s="2" t="s">
        <v>42</v>
      </c>
      <c r="K2726" s="2"/>
      <c r="L2726" s="2" t="s">
        <v>7754</v>
      </c>
    </row>
    <row r="2727" customFormat="false" ht="11.9" hidden="false" customHeight="true" outlineLevel="0" collapsed="false">
      <c r="A2727" s="3" t="str">
        <f aca="false">HYPERLINK("https://www.fabsurplus.com/sdi_catalog/salesItemDetails.do?id=110525")</f>
        <v>https://www.fabsurplus.com/sdi_catalog/salesItemDetails.do?id=110525</v>
      </c>
      <c r="B2727" s="3" t="s">
        <v>7755</v>
      </c>
      <c r="C2727" s="3" t="s">
        <v>7753</v>
      </c>
      <c r="D2727" s="3" t="s">
        <v>802</v>
      </c>
      <c r="E2727" s="3" t="s">
        <v>802</v>
      </c>
      <c r="F2727" s="3" t="s">
        <v>16</v>
      </c>
      <c r="G2727" s="3" t="s">
        <v>41</v>
      </c>
      <c r="H2727" s="3"/>
      <c r="I2727" s="3"/>
      <c r="J2727" s="3" t="s">
        <v>42</v>
      </c>
      <c r="K2727" s="3"/>
      <c r="L2727" s="3" t="s">
        <v>7754</v>
      </c>
    </row>
    <row r="2728" customFormat="false" ht="11.9" hidden="false" customHeight="true" outlineLevel="0" collapsed="false">
      <c r="A2728" s="2" t="str">
        <f aca="false">HYPERLINK("https://www.fabsurplus.com/sdi_catalog/salesItemDetails.do?id=110524")</f>
        <v>https://www.fabsurplus.com/sdi_catalog/salesItemDetails.do?id=110524</v>
      </c>
      <c r="B2728" s="2" t="s">
        <v>7756</v>
      </c>
      <c r="C2728" s="2" t="s">
        <v>7753</v>
      </c>
      <c r="D2728" s="2" t="s">
        <v>802</v>
      </c>
      <c r="E2728" s="2" t="s">
        <v>802</v>
      </c>
      <c r="F2728" s="2" t="s">
        <v>16</v>
      </c>
      <c r="G2728" s="2" t="s">
        <v>41</v>
      </c>
      <c r="H2728" s="2"/>
      <c r="I2728" s="2"/>
      <c r="J2728" s="2" t="s">
        <v>42</v>
      </c>
      <c r="K2728" s="2"/>
      <c r="L2728" s="2" t="s">
        <v>7754</v>
      </c>
    </row>
    <row r="2729" customFormat="false" ht="11.9" hidden="false" customHeight="true" outlineLevel="0" collapsed="false">
      <c r="A2729" s="3" t="str">
        <f aca="false">HYPERLINK("https://www.fabsurplus.com/sdi_catalog/salesItemDetails.do?id=110523")</f>
        <v>https://www.fabsurplus.com/sdi_catalog/salesItemDetails.do?id=110523</v>
      </c>
      <c r="B2729" s="3" t="s">
        <v>7757</v>
      </c>
      <c r="C2729" s="3" t="s">
        <v>7753</v>
      </c>
      <c r="D2729" s="3" t="s">
        <v>802</v>
      </c>
      <c r="E2729" s="3" t="s">
        <v>802</v>
      </c>
      <c r="F2729" s="3" t="s">
        <v>16</v>
      </c>
      <c r="G2729" s="3" t="s">
        <v>41</v>
      </c>
      <c r="H2729" s="3"/>
      <c r="I2729" s="3"/>
      <c r="J2729" s="3" t="s">
        <v>42</v>
      </c>
      <c r="K2729" s="3"/>
      <c r="L2729" s="3" t="s">
        <v>7754</v>
      </c>
    </row>
    <row r="2730" customFormat="false" ht="11.9" hidden="false" customHeight="true" outlineLevel="0" collapsed="false">
      <c r="A2730" s="2" t="str">
        <f aca="false">HYPERLINK("https://www.fabsurplus.com/sdi_catalog/salesItemDetails.do?id=110522")</f>
        <v>https://www.fabsurplus.com/sdi_catalog/salesItemDetails.do?id=110522</v>
      </c>
      <c r="B2730" s="2" t="s">
        <v>7758</v>
      </c>
      <c r="C2730" s="2" t="s">
        <v>7753</v>
      </c>
      <c r="D2730" s="2" t="s">
        <v>802</v>
      </c>
      <c r="E2730" s="2" t="s">
        <v>802</v>
      </c>
      <c r="F2730" s="2" t="s">
        <v>16</v>
      </c>
      <c r="G2730" s="2" t="s">
        <v>41</v>
      </c>
      <c r="H2730" s="2"/>
      <c r="I2730" s="2"/>
      <c r="J2730" s="2" t="s">
        <v>42</v>
      </c>
      <c r="K2730" s="2"/>
      <c r="L2730" s="2" t="s">
        <v>7754</v>
      </c>
    </row>
    <row r="2731" customFormat="false" ht="11.9" hidden="false" customHeight="true" outlineLevel="0" collapsed="false">
      <c r="A2731" s="3" t="str">
        <f aca="false">HYPERLINK("https://www.fabsurplus.com/sdi_catalog/salesItemDetails.do?id=115412")</f>
        <v>https://www.fabsurplus.com/sdi_catalog/salesItemDetails.do?id=115412</v>
      </c>
      <c r="B2731" s="3" t="s">
        <v>7759</v>
      </c>
      <c r="C2731" s="3" t="s">
        <v>7760</v>
      </c>
      <c r="D2731" s="3" t="s">
        <v>7761</v>
      </c>
      <c r="E2731" s="3" t="s">
        <v>5408</v>
      </c>
      <c r="F2731" s="3" t="s">
        <v>101</v>
      </c>
      <c r="G2731" s="3" t="s">
        <v>26</v>
      </c>
      <c r="H2731" s="3"/>
      <c r="I2731" s="3"/>
      <c r="J2731" s="3" t="s">
        <v>19</v>
      </c>
      <c r="K2731" s="3"/>
      <c r="L2731" s="3" t="s">
        <v>63</v>
      </c>
    </row>
    <row r="2732" customFormat="false" ht="11.9" hidden="false" customHeight="true" outlineLevel="0" collapsed="false">
      <c r="A2732" s="2" t="str">
        <f aca="false">HYPERLINK("https://www.fabsurplus.com/sdi_catalog/salesItemDetails.do?id=115409")</f>
        <v>https://www.fabsurplus.com/sdi_catalog/salesItemDetails.do?id=115409</v>
      </c>
      <c r="B2732" s="2" t="s">
        <v>7762</v>
      </c>
      <c r="C2732" s="2" t="s">
        <v>7760</v>
      </c>
      <c r="D2732" s="2" t="s">
        <v>7763</v>
      </c>
      <c r="E2732" s="2" t="s">
        <v>5408</v>
      </c>
      <c r="F2732" s="2" t="s">
        <v>104</v>
      </c>
      <c r="G2732" s="2" t="s">
        <v>26</v>
      </c>
      <c r="H2732" s="2"/>
      <c r="I2732" s="2"/>
      <c r="J2732" s="2" t="s">
        <v>19</v>
      </c>
      <c r="K2732" s="2"/>
      <c r="L2732" s="2" t="s">
        <v>63</v>
      </c>
    </row>
    <row r="2733" customFormat="false" ht="11.9" hidden="false" customHeight="true" outlineLevel="0" collapsed="false">
      <c r="A2733" s="3" t="str">
        <f aca="false">HYPERLINK("https://www.fabsurplus.com/sdi_catalog/salesItemDetails.do?id=115410")</f>
        <v>https://www.fabsurplus.com/sdi_catalog/salesItemDetails.do?id=115410</v>
      </c>
      <c r="B2733" s="3" t="s">
        <v>7764</v>
      </c>
      <c r="C2733" s="3" t="s">
        <v>7760</v>
      </c>
      <c r="D2733" s="3" t="s">
        <v>7765</v>
      </c>
      <c r="E2733" s="3" t="s">
        <v>5408</v>
      </c>
      <c r="F2733" s="3" t="s">
        <v>16</v>
      </c>
      <c r="G2733" s="3" t="s">
        <v>26</v>
      </c>
      <c r="H2733" s="3"/>
      <c r="I2733" s="3"/>
      <c r="J2733" s="3" t="s">
        <v>19</v>
      </c>
      <c r="K2733" s="3"/>
      <c r="L2733" s="3" t="s">
        <v>63</v>
      </c>
    </row>
    <row r="2734" customFormat="false" ht="11.9" hidden="false" customHeight="true" outlineLevel="0" collapsed="false">
      <c r="A2734" s="2" t="str">
        <f aca="false">HYPERLINK("https://www.fabsurplus.com/sdi_catalog/salesItemDetails.do?id=115411")</f>
        <v>https://www.fabsurplus.com/sdi_catalog/salesItemDetails.do?id=115411</v>
      </c>
      <c r="B2734" s="2" t="s">
        <v>7766</v>
      </c>
      <c r="C2734" s="2" t="s">
        <v>7760</v>
      </c>
      <c r="D2734" s="2" t="s">
        <v>7767</v>
      </c>
      <c r="E2734" s="2" t="s">
        <v>5408</v>
      </c>
      <c r="F2734" s="2" t="s">
        <v>16</v>
      </c>
      <c r="G2734" s="2" t="s">
        <v>26</v>
      </c>
      <c r="H2734" s="2"/>
      <c r="I2734" s="2"/>
      <c r="J2734" s="2" t="s">
        <v>19</v>
      </c>
      <c r="K2734" s="2"/>
      <c r="L2734" s="2" t="s">
        <v>63</v>
      </c>
    </row>
    <row r="2735" customFormat="false" ht="11.9" hidden="false" customHeight="true" outlineLevel="0" collapsed="false">
      <c r="A2735" s="3" t="str">
        <f aca="false">HYPERLINK("https://www.fabsurplus.com/sdi_catalog/salesItemDetails.do?id=83522")</f>
        <v>https://www.fabsurplus.com/sdi_catalog/salesItemDetails.do?id=83522</v>
      </c>
      <c r="B2735" s="3" t="s">
        <v>7768</v>
      </c>
      <c r="C2735" s="3" t="s">
        <v>7769</v>
      </c>
      <c r="D2735" s="3" t="s">
        <v>7770</v>
      </c>
      <c r="E2735" s="3" t="s">
        <v>7771</v>
      </c>
      <c r="F2735" s="3" t="s">
        <v>16</v>
      </c>
      <c r="G2735" s="3" t="s">
        <v>7772</v>
      </c>
      <c r="H2735" s="3" t="s">
        <v>27</v>
      </c>
      <c r="I2735" s="3"/>
      <c r="J2735" s="3"/>
      <c r="K2735" s="3" t="s">
        <v>20</v>
      </c>
      <c r="L2735" s="5" t="s">
        <v>7773</v>
      </c>
    </row>
    <row r="2736" customFormat="false" ht="11.9" hidden="false" customHeight="true" outlineLevel="0" collapsed="false">
      <c r="A2736" s="3" t="str">
        <f aca="false">HYPERLINK("https://www.fabsurplus.com/sdi_catalog/salesItemDetails.do?id=110531")</f>
        <v>https://www.fabsurplus.com/sdi_catalog/salesItemDetails.do?id=110531</v>
      </c>
      <c r="B2736" s="3" t="s">
        <v>7774</v>
      </c>
      <c r="C2736" s="3" t="s">
        <v>7769</v>
      </c>
      <c r="D2736" s="3" t="s">
        <v>7775</v>
      </c>
      <c r="E2736" s="3" t="s">
        <v>802</v>
      </c>
      <c r="F2736" s="3" t="s">
        <v>16</v>
      </c>
      <c r="G2736" s="3" t="s">
        <v>41</v>
      </c>
      <c r="H2736" s="3"/>
      <c r="I2736" s="3"/>
      <c r="J2736" s="3" t="s">
        <v>42</v>
      </c>
      <c r="K2736" s="3"/>
      <c r="L2736" s="3" t="s">
        <v>7776</v>
      </c>
    </row>
    <row r="2737" customFormat="false" ht="11.9" hidden="false" customHeight="true" outlineLevel="0" collapsed="false">
      <c r="A2737" s="2" t="str">
        <f aca="false">HYPERLINK("https://www.fabsurplus.com/sdi_catalog/salesItemDetails.do?id=110530")</f>
        <v>https://www.fabsurplus.com/sdi_catalog/salesItemDetails.do?id=110530</v>
      </c>
      <c r="B2737" s="2" t="s">
        <v>7777</v>
      </c>
      <c r="C2737" s="2" t="s">
        <v>7769</v>
      </c>
      <c r="D2737" s="2" t="s">
        <v>7775</v>
      </c>
      <c r="E2737" s="2" t="s">
        <v>802</v>
      </c>
      <c r="F2737" s="2" t="s">
        <v>16</v>
      </c>
      <c r="G2737" s="2" t="s">
        <v>41</v>
      </c>
      <c r="H2737" s="2"/>
      <c r="I2737" s="2"/>
      <c r="J2737" s="2" t="s">
        <v>42</v>
      </c>
      <c r="K2737" s="2"/>
      <c r="L2737" s="2" t="s">
        <v>7776</v>
      </c>
    </row>
    <row r="2738" customFormat="false" ht="11.9" hidden="false" customHeight="true" outlineLevel="0" collapsed="false">
      <c r="A2738" s="3" t="str">
        <f aca="false">HYPERLINK("https://www.fabsurplus.com/sdi_catalog/salesItemDetails.do?id=110529")</f>
        <v>https://www.fabsurplus.com/sdi_catalog/salesItemDetails.do?id=110529</v>
      </c>
      <c r="B2738" s="3" t="s">
        <v>7778</v>
      </c>
      <c r="C2738" s="3" t="s">
        <v>7769</v>
      </c>
      <c r="D2738" s="3" t="s">
        <v>7775</v>
      </c>
      <c r="E2738" s="3" t="s">
        <v>802</v>
      </c>
      <c r="F2738" s="3" t="s">
        <v>16</v>
      </c>
      <c r="G2738" s="3" t="s">
        <v>41</v>
      </c>
      <c r="H2738" s="3"/>
      <c r="I2738" s="3"/>
      <c r="J2738" s="3" t="s">
        <v>42</v>
      </c>
      <c r="K2738" s="3"/>
      <c r="L2738" s="3" t="s">
        <v>7776</v>
      </c>
    </row>
    <row r="2739" customFormat="false" ht="11.9" hidden="false" customHeight="true" outlineLevel="0" collapsed="false">
      <c r="A2739" s="2" t="str">
        <f aca="false">HYPERLINK("https://www.fabsurplus.com/sdi_catalog/salesItemDetails.do?id=110528")</f>
        <v>https://www.fabsurplus.com/sdi_catalog/salesItemDetails.do?id=110528</v>
      </c>
      <c r="B2739" s="2" t="s">
        <v>7779</v>
      </c>
      <c r="C2739" s="2" t="s">
        <v>7769</v>
      </c>
      <c r="D2739" s="2" t="s">
        <v>7775</v>
      </c>
      <c r="E2739" s="2" t="s">
        <v>802</v>
      </c>
      <c r="F2739" s="2" t="s">
        <v>16</v>
      </c>
      <c r="G2739" s="2" t="s">
        <v>41</v>
      </c>
      <c r="H2739" s="2"/>
      <c r="I2739" s="2"/>
      <c r="J2739" s="2" t="s">
        <v>42</v>
      </c>
      <c r="K2739" s="2"/>
      <c r="L2739" s="2" t="s">
        <v>7776</v>
      </c>
    </row>
    <row r="2740" customFormat="false" ht="11.9" hidden="false" customHeight="true" outlineLevel="0" collapsed="false">
      <c r="A2740" s="3" t="str">
        <f aca="false">HYPERLINK("https://www.fabsurplus.com/sdi_catalog/salesItemDetails.do?id=110527")</f>
        <v>https://www.fabsurplus.com/sdi_catalog/salesItemDetails.do?id=110527</v>
      </c>
      <c r="B2740" s="3" t="s">
        <v>7780</v>
      </c>
      <c r="C2740" s="3" t="s">
        <v>7769</v>
      </c>
      <c r="D2740" s="3" t="s">
        <v>7775</v>
      </c>
      <c r="E2740" s="3" t="s">
        <v>802</v>
      </c>
      <c r="F2740" s="3" t="s">
        <v>16</v>
      </c>
      <c r="G2740" s="3" t="s">
        <v>41</v>
      </c>
      <c r="H2740" s="3"/>
      <c r="I2740" s="3"/>
      <c r="J2740" s="3" t="s">
        <v>42</v>
      </c>
      <c r="K2740" s="3"/>
      <c r="L2740" s="3" t="s">
        <v>7776</v>
      </c>
    </row>
    <row r="2741" customFormat="false" ht="11.9" hidden="false" customHeight="true" outlineLevel="0" collapsed="false">
      <c r="A2741" s="2" t="str">
        <f aca="false">HYPERLINK("https://www.fabsurplus.com/sdi_catalog/salesItemDetails.do?id=84502")</f>
        <v>https://www.fabsurplus.com/sdi_catalog/salesItemDetails.do?id=84502</v>
      </c>
      <c r="B2741" s="2" t="s">
        <v>7781</v>
      </c>
      <c r="C2741" s="2" t="s">
        <v>7782</v>
      </c>
      <c r="D2741" s="2" t="s">
        <v>7783</v>
      </c>
      <c r="E2741" s="2" t="s">
        <v>7784</v>
      </c>
      <c r="F2741" s="2" t="s">
        <v>77</v>
      </c>
      <c r="G2741" s="2" t="s">
        <v>7785</v>
      </c>
      <c r="H2741" s="2" t="s">
        <v>18</v>
      </c>
      <c r="I2741" s="2"/>
      <c r="J2741" s="2" t="s">
        <v>19</v>
      </c>
      <c r="K2741" s="2" t="s">
        <v>20</v>
      </c>
      <c r="L2741" s="6" t="s">
        <v>7786</v>
      </c>
    </row>
    <row r="2742" customFormat="false" ht="11.9" hidden="false" customHeight="true" outlineLevel="0" collapsed="false">
      <c r="A2742" s="2" t="str">
        <f aca="false">HYPERLINK("https://www.fabsurplus.com/sdi_catalog/salesItemDetails.do?id=110547")</f>
        <v>https://www.fabsurplus.com/sdi_catalog/salesItemDetails.do?id=110547</v>
      </c>
      <c r="B2742" s="2" t="s">
        <v>7787</v>
      </c>
      <c r="C2742" s="2" t="s">
        <v>7788</v>
      </c>
      <c r="D2742" s="2" t="s">
        <v>7789</v>
      </c>
      <c r="E2742" s="2" t="s">
        <v>133</v>
      </c>
      <c r="F2742" s="2" t="s">
        <v>16</v>
      </c>
      <c r="G2742" s="2" t="s">
        <v>41</v>
      </c>
      <c r="H2742" s="2"/>
      <c r="I2742" s="2"/>
      <c r="J2742" s="2" t="s">
        <v>42</v>
      </c>
      <c r="K2742" s="2"/>
      <c r="L2742" s="2" t="s">
        <v>7790</v>
      </c>
    </row>
    <row r="2743" customFormat="false" ht="11.9" hidden="false" customHeight="true" outlineLevel="0" collapsed="false">
      <c r="A2743" s="2" t="str">
        <f aca="false">HYPERLINK("https://www.fabsurplus.com/sdi_catalog/salesItemDetails.do?id=110545")</f>
        <v>https://www.fabsurplus.com/sdi_catalog/salesItemDetails.do?id=110545</v>
      </c>
      <c r="B2743" s="2" t="s">
        <v>7791</v>
      </c>
      <c r="C2743" s="2" t="s">
        <v>7788</v>
      </c>
      <c r="D2743" s="2" t="s">
        <v>7789</v>
      </c>
      <c r="E2743" s="2" t="s">
        <v>133</v>
      </c>
      <c r="F2743" s="2" t="s">
        <v>16</v>
      </c>
      <c r="G2743" s="2" t="s">
        <v>41</v>
      </c>
      <c r="H2743" s="2"/>
      <c r="I2743" s="2"/>
      <c r="J2743" s="2" t="s">
        <v>42</v>
      </c>
      <c r="K2743" s="2"/>
      <c r="L2743" s="2" t="s">
        <v>7792</v>
      </c>
    </row>
    <row r="2744" customFormat="false" ht="11.9" hidden="false" customHeight="true" outlineLevel="0" collapsed="false">
      <c r="A2744" s="3" t="str">
        <f aca="false">HYPERLINK("https://www.fabsurplus.com/sdi_catalog/salesItemDetails.do?id=110544")</f>
        <v>https://www.fabsurplus.com/sdi_catalog/salesItemDetails.do?id=110544</v>
      </c>
      <c r="B2744" s="3" t="s">
        <v>7793</v>
      </c>
      <c r="C2744" s="3" t="s">
        <v>7788</v>
      </c>
      <c r="D2744" s="3" t="s">
        <v>7789</v>
      </c>
      <c r="E2744" s="3" t="s">
        <v>133</v>
      </c>
      <c r="F2744" s="3" t="s">
        <v>16</v>
      </c>
      <c r="G2744" s="3" t="s">
        <v>41</v>
      </c>
      <c r="H2744" s="3"/>
      <c r="I2744" s="3"/>
      <c r="J2744" s="3" t="s">
        <v>42</v>
      </c>
      <c r="K2744" s="3"/>
      <c r="L2744" s="3" t="s">
        <v>7792</v>
      </c>
    </row>
    <row r="2745" customFormat="false" ht="11.9" hidden="false" customHeight="true" outlineLevel="0" collapsed="false">
      <c r="A2745" s="2" t="str">
        <f aca="false">HYPERLINK("https://www.fabsurplus.com/sdi_catalog/salesItemDetails.do?id=110543")</f>
        <v>https://www.fabsurplus.com/sdi_catalog/salesItemDetails.do?id=110543</v>
      </c>
      <c r="B2745" s="2" t="s">
        <v>7794</v>
      </c>
      <c r="C2745" s="2" t="s">
        <v>7788</v>
      </c>
      <c r="D2745" s="2" t="s">
        <v>7789</v>
      </c>
      <c r="E2745" s="2" t="s">
        <v>133</v>
      </c>
      <c r="F2745" s="2" t="s">
        <v>16</v>
      </c>
      <c r="G2745" s="2" t="s">
        <v>41</v>
      </c>
      <c r="H2745" s="2"/>
      <c r="I2745" s="2"/>
      <c r="J2745" s="2" t="s">
        <v>42</v>
      </c>
      <c r="K2745" s="2"/>
      <c r="L2745" s="2" t="s">
        <v>7792</v>
      </c>
    </row>
    <row r="2746" customFormat="false" ht="11.9" hidden="false" customHeight="true" outlineLevel="0" collapsed="false">
      <c r="A2746" s="3" t="str">
        <f aca="false">HYPERLINK("https://www.fabsurplus.com/sdi_catalog/salesItemDetails.do?id=110542")</f>
        <v>https://www.fabsurplus.com/sdi_catalog/salesItemDetails.do?id=110542</v>
      </c>
      <c r="B2746" s="3" t="s">
        <v>7795</v>
      </c>
      <c r="C2746" s="3" t="s">
        <v>7788</v>
      </c>
      <c r="D2746" s="3" t="s">
        <v>7789</v>
      </c>
      <c r="E2746" s="3" t="s">
        <v>133</v>
      </c>
      <c r="F2746" s="3" t="s">
        <v>16</v>
      </c>
      <c r="G2746" s="3" t="s">
        <v>41</v>
      </c>
      <c r="H2746" s="3"/>
      <c r="I2746" s="3"/>
      <c r="J2746" s="3" t="s">
        <v>42</v>
      </c>
      <c r="K2746" s="3"/>
      <c r="L2746" s="3" t="s">
        <v>7792</v>
      </c>
    </row>
    <row r="2747" customFormat="false" ht="11.9" hidden="false" customHeight="true" outlineLevel="0" collapsed="false">
      <c r="A2747" s="2" t="str">
        <f aca="false">HYPERLINK("https://www.fabsurplus.com/sdi_catalog/salesItemDetails.do?id=110541")</f>
        <v>https://www.fabsurplus.com/sdi_catalog/salesItemDetails.do?id=110541</v>
      </c>
      <c r="B2747" s="2" t="s">
        <v>7796</v>
      </c>
      <c r="C2747" s="2" t="s">
        <v>7788</v>
      </c>
      <c r="D2747" s="2" t="s">
        <v>7789</v>
      </c>
      <c r="E2747" s="2" t="s">
        <v>133</v>
      </c>
      <c r="F2747" s="2" t="s">
        <v>16</v>
      </c>
      <c r="G2747" s="2" t="s">
        <v>41</v>
      </c>
      <c r="H2747" s="2"/>
      <c r="I2747" s="2"/>
      <c r="J2747" s="2" t="s">
        <v>42</v>
      </c>
      <c r="K2747" s="2"/>
      <c r="L2747" s="2" t="s">
        <v>7797</v>
      </c>
    </row>
    <row r="2748" customFormat="false" ht="11.9" hidden="false" customHeight="true" outlineLevel="0" collapsed="false">
      <c r="A2748" s="3" t="str">
        <f aca="false">HYPERLINK("https://www.fabsurplus.com/sdi_catalog/salesItemDetails.do?id=110540")</f>
        <v>https://www.fabsurplus.com/sdi_catalog/salesItemDetails.do?id=110540</v>
      </c>
      <c r="B2748" s="3" t="s">
        <v>7798</v>
      </c>
      <c r="C2748" s="3" t="s">
        <v>7788</v>
      </c>
      <c r="D2748" s="3" t="s">
        <v>7789</v>
      </c>
      <c r="E2748" s="3" t="s">
        <v>133</v>
      </c>
      <c r="F2748" s="3" t="s">
        <v>16</v>
      </c>
      <c r="G2748" s="3" t="s">
        <v>41</v>
      </c>
      <c r="H2748" s="3"/>
      <c r="I2748" s="3"/>
      <c r="J2748" s="3" t="s">
        <v>42</v>
      </c>
      <c r="K2748" s="3"/>
      <c r="L2748" s="3" t="s">
        <v>7799</v>
      </c>
    </row>
    <row r="2749" customFormat="false" ht="11.9" hidden="false" customHeight="true" outlineLevel="0" collapsed="false">
      <c r="A2749" s="2" t="str">
        <f aca="false">HYPERLINK("https://www.fabsurplus.com/sdi_catalog/salesItemDetails.do?id=110539")</f>
        <v>https://www.fabsurplus.com/sdi_catalog/salesItemDetails.do?id=110539</v>
      </c>
      <c r="B2749" s="2" t="s">
        <v>7800</v>
      </c>
      <c r="C2749" s="2" t="s">
        <v>7788</v>
      </c>
      <c r="D2749" s="2" t="s">
        <v>7789</v>
      </c>
      <c r="E2749" s="2" t="s">
        <v>133</v>
      </c>
      <c r="F2749" s="2" t="s">
        <v>16</v>
      </c>
      <c r="G2749" s="2" t="s">
        <v>41</v>
      </c>
      <c r="H2749" s="2"/>
      <c r="I2749" s="2"/>
      <c r="J2749" s="2" t="s">
        <v>42</v>
      </c>
      <c r="K2749" s="2"/>
      <c r="L2749" s="2" t="s">
        <v>7799</v>
      </c>
    </row>
    <row r="2750" customFormat="false" ht="11.9" hidden="false" customHeight="true" outlineLevel="0" collapsed="false">
      <c r="A2750" s="3" t="str">
        <f aca="false">HYPERLINK("https://www.fabsurplus.com/sdi_catalog/salesItemDetails.do?id=110538")</f>
        <v>https://www.fabsurplus.com/sdi_catalog/salesItemDetails.do?id=110538</v>
      </c>
      <c r="B2750" s="3" t="s">
        <v>7801</v>
      </c>
      <c r="C2750" s="3" t="s">
        <v>7788</v>
      </c>
      <c r="D2750" s="3" t="s">
        <v>7789</v>
      </c>
      <c r="E2750" s="3" t="s">
        <v>133</v>
      </c>
      <c r="F2750" s="3" t="s">
        <v>16</v>
      </c>
      <c r="G2750" s="3" t="s">
        <v>41</v>
      </c>
      <c r="H2750" s="3"/>
      <c r="I2750" s="3"/>
      <c r="J2750" s="3" t="s">
        <v>42</v>
      </c>
      <c r="K2750" s="3"/>
      <c r="L2750" s="3" t="s">
        <v>7799</v>
      </c>
    </row>
    <row r="2751" customFormat="false" ht="11.9" hidden="false" customHeight="true" outlineLevel="0" collapsed="false">
      <c r="A2751" s="3" t="str">
        <f aca="false">HYPERLINK("https://www.fabsurplus.com/sdi_catalog/salesItemDetails.do?id=110536")</f>
        <v>https://www.fabsurplus.com/sdi_catalog/salesItemDetails.do?id=110536</v>
      </c>
      <c r="B2751" s="3" t="s">
        <v>7802</v>
      </c>
      <c r="C2751" s="3" t="s">
        <v>7788</v>
      </c>
      <c r="D2751" s="3" t="s">
        <v>7789</v>
      </c>
      <c r="E2751" s="3" t="s">
        <v>133</v>
      </c>
      <c r="F2751" s="3" t="s">
        <v>16</v>
      </c>
      <c r="G2751" s="3" t="s">
        <v>41</v>
      </c>
      <c r="H2751" s="3"/>
      <c r="I2751" s="3"/>
      <c r="J2751" s="3" t="s">
        <v>42</v>
      </c>
      <c r="K2751" s="3"/>
      <c r="L2751" s="3" t="s">
        <v>7803</v>
      </c>
    </row>
    <row r="2752" customFormat="false" ht="11.9" hidden="false" customHeight="true" outlineLevel="0" collapsed="false">
      <c r="A2752" s="2" t="str">
        <f aca="false">HYPERLINK("https://www.fabsurplus.com/sdi_catalog/salesItemDetails.do?id=110535")</f>
        <v>https://www.fabsurplus.com/sdi_catalog/salesItemDetails.do?id=110535</v>
      </c>
      <c r="B2752" s="2" t="s">
        <v>7804</v>
      </c>
      <c r="C2752" s="2" t="s">
        <v>7788</v>
      </c>
      <c r="D2752" s="2" t="s">
        <v>7789</v>
      </c>
      <c r="E2752" s="2" t="s">
        <v>133</v>
      </c>
      <c r="F2752" s="2" t="s">
        <v>16</v>
      </c>
      <c r="G2752" s="2" t="s">
        <v>41</v>
      </c>
      <c r="H2752" s="2"/>
      <c r="I2752" s="2"/>
      <c r="J2752" s="2" t="s">
        <v>42</v>
      </c>
      <c r="K2752" s="2"/>
      <c r="L2752" s="2" t="s">
        <v>7803</v>
      </c>
    </row>
    <row r="2753" customFormat="false" ht="11.9" hidden="false" customHeight="true" outlineLevel="0" collapsed="false">
      <c r="A2753" s="2" t="str">
        <f aca="false">HYPERLINK("https://www.fabsurplus.com/sdi_catalog/salesItemDetails.do?id=110533")</f>
        <v>https://www.fabsurplus.com/sdi_catalog/salesItemDetails.do?id=110533</v>
      </c>
      <c r="B2753" s="2" t="s">
        <v>7805</v>
      </c>
      <c r="C2753" s="2" t="s">
        <v>7788</v>
      </c>
      <c r="D2753" s="2" t="s">
        <v>7789</v>
      </c>
      <c r="E2753" s="2" t="s">
        <v>133</v>
      </c>
      <c r="F2753" s="2" t="s">
        <v>16</v>
      </c>
      <c r="G2753" s="2" t="s">
        <v>41</v>
      </c>
      <c r="H2753" s="2"/>
      <c r="I2753" s="2"/>
      <c r="J2753" s="2" t="s">
        <v>42</v>
      </c>
      <c r="K2753" s="2"/>
      <c r="L2753" s="2" t="s">
        <v>7806</v>
      </c>
    </row>
    <row r="2754" customFormat="false" ht="11.9" hidden="false" customHeight="true" outlineLevel="0" collapsed="false">
      <c r="A2754" s="3" t="str">
        <f aca="false">HYPERLINK("https://www.fabsurplus.com/sdi_catalog/salesItemDetails.do?id=110532")</f>
        <v>https://www.fabsurplus.com/sdi_catalog/salesItemDetails.do?id=110532</v>
      </c>
      <c r="B2754" s="3" t="s">
        <v>7807</v>
      </c>
      <c r="C2754" s="3" t="s">
        <v>7788</v>
      </c>
      <c r="D2754" s="3" t="s">
        <v>7789</v>
      </c>
      <c r="E2754" s="3" t="s">
        <v>133</v>
      </c>
      <c r="F2754" s="3" t="s">
        <v>16</v>
      </c>
      <c r="G2754" s="3" t="s">
        <v>41</v>
      </c>
      <c r="H2754" s="3"/>
      <c r="I2754" s="3"/>
      <c r="J2754" s="3" t="s">
        <v>42</v>
      </c>
      <c r="K2754" s="3"/>
      <c r="L2754" s="3" t="s">
        <v>7808</v>
      </c>
    </row>
    <row r="2755" customFormat="false" ht="11.9" hidden="false" customHeight="true" outlineLevel="0" collapsed="false">
      <c r="A2755" s="3" t="str">
        <f aca="false">HYPERLINK("https://www.fabsurplus.com/sdi_catalog/salesItemDetails.do?id=110546")</f>
        <v>https://www.fabsurplus.com/sdi_catalog/salesItemDetails.do?id=110546</v>
      </c>
      <c r="B2755" s="3" t="s">
        <v>7809</v>
      </c>
      <c r="C2755" s="3" t="s">
        <v>7788</v>
      </c>
      <c r="D2755" s="3" t="s">
        <v>7810</v>
      </c>
      <c r="E2755" s="3" t="s">
        <v>133</v>
      </c>
      <c r="F2755" s="3" t="s">
        <v>16</v>
      </c>
      <c r="G2755" s="3" t="s">
        <v>41</v>
      </c>
      <c r="H2755" s="3"/>
      <c r="I2755" s="3"/>
      <c r="J2755" s="3" t="s">
        <v>42</v>
      </c>
      <c r="K2755" s="3"/>
      <c r="L2755" s="3" t="s">
        <v>7811</v>
      </c>
    </row>
    <row r="2756" customFormat="false" ht="11.9" hidden="false" customHeight="true" outlineLevel="0" collapsed="false">
      <c r="A2756" s="2" t="str">
        <f aca="false">HYPERLINK("https://www.fabsurplus.com/sdi_catalog/salesItemDetails.do?id=110537")</f>
        <v>https://www.fabsurplus.com/sdi_catalog/salesItemDetails.do?id=110537</v>
      </c>
      <c r="B2756" s="2" t="s">
        <v>7812</v>
      </c>
      <c r="C2756" s="2" t="s">
        <v>7788</v>
      </c>
      <c r="D2756" s="2" t="s">
        <v>7810</v>
      </c>
      <c r="E2756" s="2" t="s">
        <v>133</v>
      </c>
      <c r="F2756" s="2" t="s">
        <v>16</v>
      </c>
      <c r="G2756" s="2" t="s">
        <v>41</v>
      </c>
      <c r="H2756" s="2"/>
      <c r="I2756" s="2"/>
      <c r="J2756" s="2" t="s">
        <v>42</v>
      </c>
      <c r="K2756" s="2"/>
      <c r="L2756" s="2" t="s">
        <v>7813</v>
      </c>
    </row>
    <row r="2757" customFormat="false" ht="11.9" hidden="false" customHeight="true" outlineLevel="0" collapsed="false">
      <c r="A2757" s="3" t="str">
        <f aca="false">HYPERLINK("https://www.fabsurplus.com/sdi_catalog/salesItemDetails.do?id=110534")</f>
        <v>https://www.fabsurplus.com/sdi_catalog/salesItemDetails.do?id=110534</v>
      </c>
      <c r="B2757" s="3" t="s">
        <v>7814</v>
      </c>
      <c r="C2757" s="3" t="s">
        <v>7815</v>
      </c>
      <c r="D2757" s="3" t="s">
        <v>7789</v>
      </c>
      <c r="E2757" s="3" t="s">
        <v>133</v>
      </c>
      <c r="F2757" s="3" t="s">
        <v>16</v>
      </c>
      <c r="G2757" s="3" t="s">
        <v>41</v>
      </c>
      <c r="H2757" s="3"/>
      <c r="I2757" s="3"/>
      <c r="J2757" s="3" t="s">
        <v>42</v>
      </c>
      <c r="K2757" s="3"/>
      <c r="L2757" s="3" t="s">
        <v>7816</v>
      </c>
    </row>
    <row r="2758" customFormat="false" ht="11.9" hidden="false" customHeight="true" outlineLevel="0" collapsed="false">
      <c r="A2758" s="3" t="str">
        <f aca="false">HYPERLINK("https://www.fabsurplus.com/sdi_catalog/salesItemDetails.do?id=83832")</f>
        <v>https://www.fabsurplus.com/sdi_catalog/salesItemDetails.do?id=83832</v>
      </c>
      <c r="B2758" s="3" t="s">
        <v>7817</v>
      </c>
      <c r="C2758" s="3" t="s">
        <v>7818</v>
      </c>
      <c r="D2758" s="3" t="s">
        <v>7819</v>
      </c>
      <c r="E2758" s="3" t="s">
        <v>7820</v>
      </c>
      <c r="F2758" s="3" t="s">
        <v>16</v>
      </c>
      <c r="G2758" s="3" t="s">
        <v>41</v>
      </c>
      <c r="H2758" s="3" t="s">
        <v>1691</v>
      </c>
      <c r="I2758" s="3"/>
      <c r="J2758" s="3" t="s">
        <v>19</v>
      </c>
      <c r="K2758" s="3" t="s">
        <v>20</v>
      </c>
      <c r="L2758" s="3" t="s">
        <v>7821</v>
      </c>
    </row>
    <row r="2759" customFormat="false" ht="11.9" hidden="false" customHeight="true" outlineLevel="0" collapsed="false">
      <c r="A2759" s="2" t="str">
        <f aca="false">HYPERLINK("https://www.fabsurplus.com/sdi_catalog/salesItemDetails.do?id=86253")</f>
        <v>https://www.fabsurplus.com/sdi_catalog/salesItemDetails.do?id=86253</v>
      </c>
      <c r="B2759" s="2" t="s">
        <v>7822</v>
      </c>
      <c r="C2759" s="2" t="s">
        <v>7823</v>
      </c>
      <c r="D2759" s="2" t="s">
        <v>7824</v>
      </c>
      <c r="E2759" s="2" t="s">
        <v>7825</v>
      </c>
      <c r="F2759" s="2" t="s">
        <v>16</v>
      </c>
      <c r="G2759" s="2" t="s">
        <v>7826</v>
      </c>
      <c r="H2759" s="2" t="s">
        <v>35</v>
      </c>
      <c r="I2759" s="2"/>
      <c r="J2759" s="2" t="s">
        <v>19</v>
      </c>
      <c r="K2759" s="2" t="s">
        <v>20</v>
      </c>
      <c r="L2759" s="6" t="s">
        <v>7827</v>
      </c>
    </row>
    <row r="2760" customFormat="false" ht="11.9" hidden="false" customHeight="true" outlineLevel="0" collapsed="false">
      <c r="A2760" s="2" t="str">
        <f aca="false">HYPERLINK("https://www.fabsurplus.com/sdi_catalog/salesItemDetails.do?id=77089")</f>
        <v>https://www.fabsurplus.com/sdi_catalog/salesItemDetails.do?id=77089</v>
      </c>
      <c r="B2760" s="2" t="s">
        <v>7828</v>
      </c>
      <c r="C2760" s="2" t="s">
        <v>7823</v>
      </c>
      <c r="D2760" s="2" t="s">
        <v>7829</v>
      </c>
      <c r="E2760" s="2" t="s">
        <v>7830</v>
      </c>
      <c r="F2760" s="2" t="s">
        <v>16</v>
      </c>
      <c r="G2760" s="2" t="s">
        <v>26</v>
      </c>
      <c r="H2760" s="2" t="s">
        <v>299</v>
      </c>
      <c r="I2760" s="2"/>
      <c r="J2760" s="2" t="s">
        <v>19</v>
      </c>
      <c r="K2760" s="2" t="s">
        <v>20</v>
      </c>
      <c r="L2760" s="6" t="s">
        <v>7831</v>
      </c>
    </row>
    <row r="2761" customFormat="false" ht="11.9" hidden="false" customHeight="true" outlineLevel="0" collapsed="false">
      <c r="A2761" s="3" t="str">
        <f aca="false">HYPERLINK("https://www.fabsurplus.com/sdi_catalog/salesItemDetails.do?id=21135")</f>
        <v>https://www.fabsurplus.com/sdi_catalog/salesItemDetails.do?id=21135</v>
      </c>
      <c r="B2761" s="3" t="s">
        <v>7832</v>
      </c>
      <c r="C2761" s="3" t="s">
        <v>7823</v>
      </c>
      <c r="D2761" s="3" t="s">
        <v>7833</v>
      </c>
      <c r="E2761" s="3" t="s">
        <v>7834</v>
      </c>
      <c r="F2761" s="3" t="s">
        <v>16</v>
      </c>
      <c r="G2761" s="3" t="s">
        <v>41</v>
      </c>
      <c r="H2761" s="3" t="s">
        <v>27</v>
      </c>
      <c r="I2761" s="3"/>
      <c r="J2761" s="3" t="s">
        <v>19</v>
      </c>
      <c r="K2761" s="3" t="s">
        <v>20</v>
      </c>
      <c r="L2761" s="5" t="s">
        <v>7835</v>
      </c>
    </row>
    <row r="2762" customFormat="false" ht="11.9" hidden="false" customHeight="true" outlineLevel="0" collapsed="false">
      <c r="A2762" s="3" t="str">
        <f aca="false">HYPERLINK("https://www.fabsurplus.com/sdi_catalog/salesItemDetails.do?id=77208")</f>
        <v>https://www.fabsurplus.com/sdi_catalog/salesItemDetails.do?id=77208</v>
      </c>
      <c r="B2762" s="3" t="s">
        <v>7836</v>
      </c>
      <c r="C2762" s="3" t="s">
        <v>7837</v>
      </c>
      <c r="D2762" s="3" t="s">
        <v>7838</v>
      </c>
      <c r="E2762" s="3" t="s">
        <v>7839</v>
      </c>
      <c r="F2762" s="3" t="s">
        <v>69</v>
      </c>
      <c r="G2762" s="3" t="s">
        <v>7840</v>
      </c>
      <c r="H2762" s="3" t="s">
        <v>27</v>
      </c>
      <c r="I2762" s="4" t="n">
        <v>40330</v>
      </c>
      <c r="J2762" s="3" t="s">
        <v>19</v>
      </c>
      <c r="K2762" s="3" t="s">
        <v>20</v>
      </c>
      <c r="L2762" s="5" t="s">
        <v>7841</v>
      </c>
    </row>
    <row r="2763" customFormat="false" ht="11.9" hidden="false" customHeight="true" outlineLevel="0" collapsed="false">
      <c r="A2763" s="2" t="str">
        <f aca="false">HYPERLINK("https://www.fabsurplus.com/sdi_catalog/salesItemDetails.do?id=114260")</f>
        <v>https://www.fabsurplus.com/sdi_catalog/salesItemDetails.do?id=114260</v>
      </c>
      <c r="B2763" s="2" t="s">
        <v>7842</v>
      </c>
      <c r="C2763" s="2" t="s">
        <v>7843</v>
      </c>
      <c r="D2763" s="2" t="s">
        <v>7844</v>
      </c>
      <c r="E2763" s="2" t="s">
        <v>7845</v>
      </c>
      <c r="F2763" s="2" t="s">
        <v>77</v>
      </c>
      <c r="G2763" s="2" t="s">
        <v>41</v>
      </c>
      <c r="H2763" s="2" t="s">
        <v>35</v>
      </c>
      <c r="I2763" s="7" t="n">
        <v>38869</v>
      </c>
      <c r="J2763" s="2" t="s">
        <v>19</v>
      </c>
      <c r="K2763" s="2" t="s">
        <v>20</v>
      </c>
      <c r="L2763" s="6" t="s">
        <v>7846</v>
      </c>
    </row>
    <row r="2764" customFormat="false" ht="11.9" hidden="false" customHeight="true" outlineLevel="0" collapsed="false">
      <c r="A2764" s="2" t="str">
        <f aca="false">HYPERLINK("https://www.fabsurplus.com/sdi_catalog/salesItemDetails.do?id=83829")</f>
        <v>https://www.fabsurplus.com/sdi_catalog/salesItemDetails.do?id=83829</v>
      </c>
      <c r="B2764" s="2" t="s">
        <v>7847</v>
      </c>
      <c r="C2764" s="2" t="s">
        <v>7848</v>
      </c>
      <c r="D2764" s="2" t="s">
        <v>7849</v>
      </c>
      <c r="E2764" s="2" t="s">
        <v>7850</v>
      </c>
      <c r="F2764" s="2" t="s">
        <v>16</v>
      </c>
      <c r="G2764" s="2" t="s">
        <v>41</v>
      </c>
      <c r="H2764" s="2" t="s">
        <v>27</v>
      </c>
      <c r="I2764" s="2"/>
      <c r="J2764" s="2" t="s">
        <v>19</v>
      </c>
      <c r="K2764" s="2" t="s">
        <v>20</v>
      </c>
      <c r="L2764" s="6" t="s">
        <v>7851</v>
      </c>
    </row>
    <row r="2765" customFormat="false" ht="11.9" hidden="false" customHeight="true" outlineLevel="0" collapsed="false">
      <c r="A2765" s="3" t="str">
        <f aca="false">HYPERLINK("https://www.fabsurplus.com/sdi_catalog/salesItemDetails.do?id=83553")</f>
        <v>https://www.fabsurplus.com/sdi_catalog/salesItemDetails.do?id=83553</v>
      </c>
      <c r="B2765" s="3" t="s">
        <v>7852</v>
      </c>
      <c r="C2765" s="3" t="s">
        <v>7848</v>
      </c>
      <c r="D2765" s="3" t="s">
        <v>7853</v>
      </c>
      <c r="E2765" s="3" t="s">
        <v>7854</v>
      </c>
      <c r="F2765" s="3" t="s">
        <v>16</v>
      </c>
      <c r="G2765" s="3" t="s">
        <v>7853</v>
      </c>
      <c r="H2765" s="3" t="s">
        <v>35</v>
      </c>
      <c r="I2765" s="4" t="n">
        <v>31747</v>
      </c>
      <c r="J2765" s="3" t="s">
        <v>19</v>
      </c>
      <c r="K2765" s="3" t="s">
        <v>20</v>
      </c>
      <c r="L2765" s="3"/>
    </row>
    <row r="2766" customFormat="false" ht="11.9" hidden="false" customHeight="true" outlineLevel="0" collapsed="false">
      <c r="A2766" s="2" t="str">
        <f aca="false">HYPERLINK("https://www.fabsurplus.com/sdi_catalog/salesItemDetails.do?id=83576")</f>
        <v>https://www.fabsurplus.com/sdi_catalog/salesItemDetails.do?id=83576</v>
      </c>
      <c r="B2766" s="2" t="s">
        <v>7855</v>
      </c>
      <c r="C2766" s="2" t="s">
        <v>7856</v>
      </c>
      <c r="D2766" s="2" t="s">
        <v>7857</v>
      </c>
      <c r="E2766" s="2" t="s">
        <v>7858</v>
      </c>
      <c r="F2766" s="2" t="s">
        <v>16</v>
      </c>
      <c r="G2766" s="2" t="s">
        <v>7857</v>
      </c>
      <c r="H2766" s="2" t="s">
        <v>35</v>
      </c>
      <c r="I2766" s="7" t="n">
        <v>35004</v>
      </c>
      <c r="J2766" s="2" t="s">
        <v>19</v>
      </c>
      <c r="K2766" s="2" t="s">
        <v>20</v>
      </c>
      <c r="L2766" s="6" t="s">
        <v>7859</v>
      </c>
    </row>
    <row r="2767" customFormat="false" ht="11.9" hidden="false" customHeight="true" outlineLevel="0" collapsed="false">
      <c r="A2767" s="3" t="str">
        <f aca="false">HYPERLINK("https://www.fabsurplus.com/sdi_catalog/salesItemDetails.do?id=83575")</f>
        <v>https://www.fabsurplus.com/sdi_catalog/salesItemDetails.do?id=83575</v>
      </c>
      <c r="B2767" s="3" t="s">
        <v>7860</v>
      </c>
      <c r="C2767" s="3" t="s">
        <v>7856</v>
      </c>
      <c r="D2767" s="3" t="s">
        <v>7861</v>
      </c>
      <c r="E2767" s="3" t="s">
        <v>7858</v>
      </c>
      <c r="F2767" s="3" t="s">
        <v>16</v>
      </c>
      <c r="G2767" s="3" t="s">
        <v>7862</v>
      </c>
      <c r="H2767" s="3" t="s">
        <v>27</v>
      </c>
      <c r="I2767" s="4" t="n">
        <v>35156</v>
      </c>
      <c r="J2767" s="3" t="s">
        <v>19</v>
      </c>
      <c r="K2767" s="3"/>
      <c r="L2767" s="5" t="s">
        <v>7863</v>
      </c>
    </row>
    <row r="2768" customFormat="false" ht="11.9" hidden="false" customHeight="true" outlineLevel="0" collapsed="false">
      <c r="A2768" s="3" t="str">
        <f aca="false">HYPERLINK("https://www.fabsurplus.com/sdi_catalog/salesItemDetails.do?id=83566")</f>
        <v>https://www.fabsurplus.com/sdi_catalog/salesItemDetails.do?id=83566</v>
      </c>
      <c r="B2768" s="3" t="s">
        <v>7864</v>
      </c>
      <c r="C2768" s="3" t="s">
        <v>7865</v>
      </c>
      <c r="D2768" s="3" t="s">
        <v>7866</v>
      </c>
      <c r="E2768" s="3" t="s">
        <v>7867</v>
      </c>
      <c r="F2768" s="3" t="s">
        <v>77</v>
      </c>
      <c r="G2768" s="3" t="s">
        <v>26</v>
      </c>
      <c r="H2768" s="3" t="s">
        <v>27</v>
      </c>
      <c r="I2768" s="4" t="n">
        <v>35582</v>
      </c>
      <c r="J2768" s="3" t="s">
        <v>19</v>
      </c>
      <c r="K2768" s="3" t="s">
        <v>20</v>
      </c>
      <c r="L2768" s="5" t="s">
        <v>7868</v>
      </c>
    </row>
    <row r="2769" customFormat="false" ht="11.9" hidden="false" customHeight="true" outlineLevel="0" collapsed="false">
      <c r="A2769" s="3" t="str">
        <f aca="false">HYPERLINK("https://www.fabsurplus.com/sdi_catalog/salesItemDetails.do?id=82177")</f>
        <v>https://www.fabsurplus.com/sdi_catalog/salesItemDetails.do?id=82177</v>
      </c>
      <c r="B2769" s="3" t="s">
        <v>7869</v>
      </c>
      <c r="C2769" s="3" t="s">
        <v>7865</v>
      </c>
      <c r="D2769" s="3" t="s">
        <v>7870</v>
      </c>
      <c r="E2769" s="3" t="s">
        <v>7871</v>
      </c>
      <c r="F2769" s="3" t="s">
        <v>101</v>
      </c>
      <c r="G2769" s="3" t="s">
        <v>26</v>
      </c>
      <c r="H2769" s="3" t="s">
        <v>27</v>
      </c>
      <c r="I2769" s="4" t="n">
        <v>35582</v>
      </c>
      <c r="J2769" s="3" t="s">
        <v>19</v>
      </c>
      <c r="K2769" s="3" t="s">
        <v>20</v>
      </c>
      <c r="L2769" s="5" t="s">
        <v>7872</v>
      </c>
    </row>
    <row r="2770" customFormat="false" ht="11.9" hidden="false" customHeight="true" outlineLevel="0" collapsed="false">
      <c r="A2770" s="3" t="str">
        <f aca="false">HYPERLINK("https://www.fabsurplus.com/sdi_catalog/salesItemDetails.do?id=83497")</f>
        <v>https://www.fabsurplus.com/sdi_catalog/salesItemDetails.do?id=83497</v>
      </c>
      <c r="B2770" s="3" t="s">
        <v>7873</v>
      </c>
      <c r="C2770" s="3" t="s">
        <v>7865</v>
      </c>
      <c r="D2770" s="3" t="s">
        <v>7874</v>
      </c>
      <c r="E2770" s="3" t="s">
        <v>7875</v>
      </c>
      <c r="F2770" s="3" t="s">
        <v>16</v>
      </c>
      <c r="G2770" s="3" t="s">
        <v>26</v>
      </c>
      <c r="H2770" s="3" t="s">
        <v>27</v>
      </c>
      <c r="I2770" s="4" t="n">
        <v>35582</v>
      </c>
      <c r="J2770" s="3" t="s">
        <v>19</v>
      </c>
      <c r="K2770" s="3" t="s">
        <v>20</v>
      </c>
      <c r="L2770" s="5" t="s">
        <v>7876</v>
      </c>
    </row>
    <row r="2771" customFormat="false" ht="11.9" hidden="false" customHeight="true" outlineLevel="0" collapsed="false">
      <c r="A2771" s="2" t="str">
        <f aca="false">HYPERLINK("https://www.fabsurplus.com/sdi_catalog/salesItemDetails.do?id=82925")</f>
        <v>https://www.fabsurplus.com/sdi_catalog/salesItemDetails.do?id=82925</v>
      </c>
      <c r="B2771" s="2" t="s">
        <v>7877</v>
      </c>
      <c r="C2771" s="2" t="s">
        <v>7865</v>
      </c>
      <c r="D2771" s="2" t="s">
        <v>7878</v>
      </c>
      <c r="E2771" s="2" t="s">
        <v>7879</v>
      </c>
      <c r="F2771" s="2" t="s">
        <v>16</v>
      </c>
      <c r="G2771" s="2" t="s">
        <v>26</v>
      </c>
      <c r="H2771" s="2" t="s">
        <v>27</v>
      </c>
      <c r="I2771" s="7" t="n">
        <v>35704</v>
      </c>
      <c r="J2771" s="2" t="s">
        <v>19</v>
      </c>
      <c r="K2771" s="2" t="s">
        <v>20</v>
      </c>
      <c r="L2771" s="6" t="s">
        <v>7880</v>
      </c>
    </row>
    <row r="2772" customFormat="false" ht="11.9" hidden="false" customHeight="true" outlineLevel="0" collapsed="false">
      <c r="A2772" s="2" t="str">
        <f aca="false">HYPERLINK("https://www.fabsurplus.com/sdi_catalog/salesItemDetails.do?id=83561")</f>
        <v>https://www.fabsurplus.com/sdi_catalog/salesItemDetails.do?id=83561</v>
      </c>
      <c r="B2772" s="2" t="s">
        <v>7881</v>
      </c>
      <c r="C2772" s="2" t="s">
        <v>7865</v>
      </c>
      <c r="D2772" s="2" t="s">
        <v>7882</v>
      </c>
      <c r="E2772" s="2" t="s">
        <v>7883</v>
      </c>
      <c r="F2772" s="2" t="s">
        <v>16</v>
      </c>
      <c r="G2772" s="2" t="s">
        <v>26</v>
      </c>
      <c r="H2772" s="2" t="s">
        <v>27</v>
      </c>
      <c r="I2772" s="7" t="n">
        <v>35947</v>
      </c>
      <c r="J2772" s="2" t="s">
        <v>19</v>
      </c>
      <c r="K2772" s="2" t="s">
        <v>20</v>
      </c>
      <c r="L2772" s="6" t="s">
        <v>7884</v>
      </c>
    </row>
    <row r="2773" customFormat="false" ht="11.9" hidden="false" customHeight="true" outlineLevel="0" collapsed="false">
      <c r="A2773" s="2" t="str">
        <f aca="false">HYPERLINK("https://www.fabsurplus.com/sdi_catalog/salesItemDetails.do?id=80321")</f>
        <v>https://www.fabsurplus.com/sdi_catalog/salesItemDetails.do?id=80321</v>
      </c>
      <c r="B2773" s="2" t="s">
        <v>7885</v>
      </c>
      <c r="C2773" s="2" t="s">
        <v>7865</v>
      </c>
      <c r="D2773" s="2" t="s">
        <v>7886</v>
      </c>
      <c r="E2773" s="2" t="s">
        <v>7887</v>
      </c>
      <c r="F2773" s="2" t="s">
        <v>16</v>
      </c>
      <c r="G2773" s="2"/>
      <c r="H2773" s="2" t="s">
        <v>27</v>
      </c>
      <c r="I2773" s="2"/>
      <c r="J2773" s="2" t="s">
        <v>19</v>
      </c>
      <c r="K2773" s="2" t="s">
        <v>20</v>
      </c>
      <c r="L2773" s="6" t="s">
        <v>7888</v>
      </c>
    </row>
    <row r="2774" customFormat="false" ht="11.9" hidden="false" customHeight="true" outlineLevel="0" collapsed="false">
      <c r="A2774" s="2" t="str">
        <f aca="false">HYPERLINK("https://www.fabsurplus.com/sdi_catalog/salesItemDetails.do?id=84840")</f>
        <v>https://www.fabsurplus.com/sdi_catalog/salesItemDetails.do?id=84840</v>
      </c>
      <c r="B2774" s="2" t="s">
        <v>7889</v>
      </c>
      <c r="C2774" s="2" t="s">
        <v>7865</v>
      </c>
      <c r="D2774" s="2" t="s">
        <v>7890</v>
      </c>
      <c r="E2774" s="2" t="s">
        <v>7891</v>
      </c>
      <c r="F2774" s="2" t="s">
        <v>16</v>
      </c>
      <c r="G2774" s="2"/>
      <c r="H2774" s="2" t="s">
        <v>27</v>
      </c>
      <c r="I2774" s="2"/>
      <c r="J2774" s="2" t="s">
        <v>19</v>
      </c>
      <c r="K2774" s="2" t="s">
        <v>20</v>
      </c>
      <c r="L2774" s="6" t="s">
        <v>7892</v>
      </c>
    </row>
    <row r="2775" customFormat="false" ht="11.9" hidden="false" customHeight="true" outlineLevel="0" collapsed="false">
      <c r="A2775" s="3" t="str">
        <f aca="false">HYPERLINK("https://www.fabsurplus.com/sdi_catalog/salesItemDetails.do?id=80225")</f>
        <v>https://www.fabsurplus.com/sdi_catalog/salesItemDetails.do?id=80225</v>
      </c>
      <c r="B2775" s="3" t="s">
        <v>7893</v>
      </c>
      <c r="C2775" s="3" t="s">
        <v>7865</v>
      </c>
      <c r="D2775" s="3" t="s">
        <v>7894</v>
      </c>
      <c r="E2775" s="3" t="s">
        <v>7895</v>
      </c>
      <c r="F2775" s="3" t="s">
        <v>16</v>
      </c>
      <c r="G2775" s="3" t="s">
        <v>26</v>
      </c>
      <c r="H2775" s="3" t="s">
        <v>27</v>
      </c>
      <c r="I2775" s="3"/>
      <c r="J2775" s="3" t="s">
        <v>19</v>
      </c>
      <c r="K2775" s="3" t="s">
        <v>20</v>
      </c>
      <c r="L2775" s="5" t="s">
        <v>7896</v>
      </c>
    </row>
    <row r="2776" customFormat="false" ht="11.9" hidden="false" customHeight="true" outlineLevel="0" collapsed="false">
      <c r="A2776" s="3" t="str">
        <f aca="false">HYPERLINK("https://www.fabsurplus.com/sdi_catalog/salesItemDetails.do?id=80332")</f>
        <v>https://www.fabsurplus.com/sdi_catalog/salesItemDetails.do?id=80332</v>
      </c>
      <c r="B2776" s="3" t="s">
        <v>7897</v>
      </c>
      <c r="C2776" s="3" t="s">
        <v>7865</v>
      </c>
      <c r="D2776" s="3" t="s">
        <v>7898</v>
      </c>
      <c r="E2776" s="3" t="s">
        <v>7899</v>
      </c>
      <c r="F2776" s="3" t="s">
        <v>16</v>
      </c>
      <c r="G2776" s="3"/>
      <c r="H2776" s="3" t="s">
        <v>27</v>
      </c>
      <c r="I2776" s="3"/>
      <c r="J2776" s="3" t="s">
        <v>19</v>
      </c>
      <c r="K2776" s="3" t="s">
        <v>20</v>
      </c>
      <c r="L2776" s="5" t="s">
        <v>7900</v>
      </c>
    </row>
    <row r="2777" customFormat="false" ht="11.9" hidden="false" customHeight="true" outlineLevel="0" collapsed="false">
      <c r="A2777" s="3" t="str">
        <f aca="false">HYPERLINK("https://www.fabsurplus.com/sdi_catalog/salesItemDetails.do?id=108987")</f>
        <v>https://www.fabsurplus.com/sdi_catalog/salesItemDetails.do?id=108987</v>
      </c>
      <c r="B2777" s="3" t="s">
        <v>7901</v>
      </c>
      <c r="C2777" s="3" t="s">
        <v>7902</v>
      </c>
      <c r="D2777" s="3" t="s">
        <v>7903</v>
      </c>
      <c r="E2777" s="3" t="s">
        <v>7904</v>
      </c>
      <c r="F2777" s="3" t="s">
        <v>16</v>
      </c>
      <c r="G2777" s="3" t="s">
        <v>26</v>
      </c>
      <c r="H2777" s="3" t="s">
        <v>35</v>
      </c>
      <c r="I2777" s="3"/>
      <c r="J2777" s="3"/>
      <c r="K2777" s="3" t="s">
        <v>20</v>
      </c>
      <c r="L2777" s="5" t="s">
        <v>7905</v>
      </c>
    </row>
    <row r="2778" customFormat="false" ht="11.9" hidden="false" customHeight="true" outlineLevel="0" collapsed="false">
      <c r="A2778" s="3" t="str">
        <f aca="false">HYPERLINK("https://www.fabsurplus.com/sdi_catalog/salesItemDetails.do?id=80221")</f>
        <v>https://www.fabsurplus.com/sdi_catalog/salesItemDetails.do?id=80221</v>
      </c>
      <c r="B2778" s="3" t="s">
        <v>7906</v>
      </c>
      <c r="C2778" s="3" t="s">
        <v>7865</v>
      </c>
      <c r="D2778" s="3" t="s">
        <v>7907</v>
      </c>
      <c r="E2778" s="3" t="s">
        <v>7908</v>
      </c>
      <c r="F2778" s="3" t="s">
        <v>16</v>
      </c>
      <c r="G2778" s="3" t="s">
        <v>26</v>
      </c>
      <c r="H2778" s="3" t="s">
        <v>35</v>
      </c>
      <c r="I2778" s="3"/>
      <c r="J2778" s="3" t="s">
        <v>19</v>
      </c>
      <c r="K2778" s="3" t="s">
        <v>20</v>
      </c>
      <c r="L2778" s="5" t="s">
        <v>7896</v>
      </c>
    </row>
    <row r="2779" customFormat="false" ht="11.9" hidden="false" customHeight="true" outlineLevel="0" collapsed="false">
      <c r="A2779" s="3" t="str">
        <f aca="false">HYPERLINK("https://www.fabsurplus.com/sdi_catalog/salesItemDetails.do?id=80322")</f>
        <v>https://www.fabsurplus.com/sdi_catalog/salesItemDetails.do?id=80322</v>
      </c>
      <c r="B2779" s="3" t="s">
        <v>7909</v>
      </c>
      <c r="C2779" s="3" t="s">
        <v>7865</v>
      </c>
      <c r="D2779" s="3" t="s">
        <v>7910</v>
      </c>
      <c r="E2779" s="3" t="s">
        <v>7911</v>
      </c>
      <c r="F2779" s="3" t="s">
        <v>16</v>
      </c>
      <c r="G2779" s="3"/>
      <c r="H2779" s="3" t="s">
        <v>27</v>
      </c>
      <c r="I2779" s="3"/>
      <c r="J2779" s="3" t="s">
        <v>19</v>
      </c>
      <c r="K2779" s="3" t="s">
        <v>20</v>
      </c>
      <c r="L2779" s="5" t="s">
        <v>7912</v>
      </c>
    </row>
    <row r="2780" customFormat="false" ht="11.9" hidden="false" customHeight="true" outlineLevel="0" collapsed="false">
      <c r="A2780" s="3" t="str">
        <f aca="false">HYPERLINK("https://www.fabsurplus.com/sdi_catalog/salesItemDetails.do?id=80219")</f>
        <v>https://www.fabsurplus.com/sdi_catalog/salesItemDetails.do?id=80219</v>
      </c>
      <c r="B2780" s="3" t="s">
        <v>7913</v>
      </c>
      <c r="C2780" s="3" t="s">
        <v>7865</v>
      </c>
      <c r="D2780" s="3" t="s">
        <v>7914</v>
      </c>
      <c r="E2780" s="3" t="s">
        <v>7915</v>
      </c>
      <c r="F2780" s="3" t="s">
        <v>77</v>
      </c>
      <c r="G2780" s="3" t="s">
        <v>26</v>
      </c>
      <c r="H2780" s="3" t="s">
        <v>35</v>
      </c>
      <c r="I2780" s="3"/>
      <c r="J2780" s="3" t="s">
        <v>19</v>
      </c>
      <c r="K2780" s="3" t="s">
        <v>20</v>
      </c>
      <c r="L2780" s="5" t="s">
        <v>7896</v>
      </c>
    </row>
    <row r="2781" customFormat="false" ht="11.9" hidden="false" customHeight="true" outlineLevel="0" collapsed="false">
      <c r="A2781" s="2" t="str">
        <f aca="false">HYPERLINK("https://www.fabsurplus.com/sdi_catalog/salesItemDetails.do?id=80218")</f>
        <v>https://www.fabsurplus.com/sdi_catalog/salesItemDetails.do?id=80218</v>
      </c>
      <c r="B2781" s="2" t="s">
        <v>7916</v>
      </c>
      <c r="C2781" s="2" t="s">
        <v>7865</v>
      </c>
      <c r="D2781" s="2" t="s">
        <v>7917</v>
      </c>
      <c r="E2781" s="2" t="s">
        <v>7918</v>
      </c>
      <c r="F2781" s="2" t="s">
        <v>16</v>
      </c>
      <c r="G2781" s="2" t="s">
        <v>26</v>
      </c>
      <c r="H2781" s="2" t="s">
        <v>35</v>
      </c>
      <c r="I2781" s="2"/>
      <c r="J2781" s="2" t="s">
        <v>19</v>
      </c>
      <c r="K2781" s="2" t="s">
        <v>20</v>
      </c>
      <c r="L2781" s="6" t="s">
        <v>7896</v>
      </c>
    </row>
    <row r="2782" customFormat="false" ht="11.9" hidden="false" customHeight="true" outlineLevel="0" collapsed="false">
      <c r="A2782" s="3" t="str">
        <f aca="false">HYPERLINK("https://www.fabsurplus.com/sdi_catalog/salesItemDetails.do?id=80217")</f>
        <v>https://www.fabsurplus.com/sdi_catalog/salesItemDetails.do?id=80217</v>
      </c>
      <c r="B2782" s="3" t="s">
        <v>7919</v>
      </c>
      <c r="C2782" s="3" t="s">
        <v>7865</v>
      </c>
      <c r="D2782" s="3" t="s">
        <v>7920</v>
      </c>
      <c r="E2782" s="3" t="s">
        <v>7921</v>
      </c>
      <c r="F2782" s="3" t="s">
        <v>16</v>
      </c>
      <c r="G2782" s="3" t="s">
        <v>26</v>
      </c>
      <c r="H2782" s="3" t="s">
        <v>35</v>
      </c>
      <c r="I2782" s="3"/>
      <c r="J2782" s="3" t="s">
        <v>19</v>
      </c>
      <c r="K2782" s="3" t="s">
        <v>20</v>
      </c>
      <c r="L2782" s="5" t="s">
        <v>7896</v>
      </c>
    </row>
    <row r="2783" customFormat="false" ht="11.9" hidden="false" customHeight="true" outlineLevel="0" collapsed="false">
      <c r="A2783" s="2" t="str">
        <f aca="false">HYPERLINK("https://www.fabsurplus.com/sdi_catalog/salesItemDetails.do?id=80331")</f>
        <v>https://www.fabsurplus.com/sdi_catalog/salesItemDetails.do?id=80331</v>
      </c>
      <c r="B2783" s="2" t="s">
        <v>7922</v>
      </c>
      <c r="C2783" s="2" t="s">
        <v>7865</v>
      </c>
      <c r="D2783" s="2" t="s">
        <v>7923</v>
      </c>
      <c r="E2783" s="2" t="s">
        <v>7924</v>
      </c>
      <c r="F2783" s="2" t="s">
        <v>16</v>
      </c>
      <c r="G2783" s="2" t="s">
        <v>26</v>
      </c>
      <c r="H2783" s="2" t="s">
        <v>27</v>
      </c>
      <c r="I2783" s="2"/>
      <c r="J2783" s="2" t="s">
        <v>19</v>
      </c>
      <c r="K2783" s="2" t="s">
        <v>20</v>
      </c>
      <c r="L2783" s="6" t="s">
        <v>7896</v>
      </c>
    </row>
    <row r="2784" customFormat="false" ht="11.9" hidden="false" customHeight="true" outlineLevel="0" collapsed="false">
      <c r="A2784" s="2" t="str">
        <f aca="false">HYPERLINK("https://www.fabsurplus.com/sdi_catalog/salesItemDetails.do?id=80327")</f>
        <v>https://www.fabsurplus.com/sdi_catalog/salesItemDetails.do?id=80327</v>
      </c>
      <c r="B2784" s="2" t="s">
        <v>7925</v>
      </c>
      <c r="C2784" s="2" t="s">
        <v>7865</v>
      </c>
      <c r="D2784" s="2" t="s">
        <v>7926</v>
      </c>
      <c r="E2784" s="2" t="s">
        <v>7927</v>
      </c>
      <c r="F2784" s="2" t="s">
        <v>16</v>
      </c>
      <c r="G2784" s="2" t="s">
        <v>26</v>
      </c>
      <c r="H2784" s="2" t="s">
        <v>27</v>
      </c>
      <c r="I2784" s="2"/>
      <c r="J2784" s="2" t="s">
        <v>19</v>
      </c>
      <c r="K2784" s="2" t="s">
        <v>20</v>
      </c>
      <c r="L2784" s="6" t="s">
        <v>7928</v>
      </c>
    </row>
    <row r="2785" customFormat="false" ht="11.9" hidden="false" customHeight="true" outlineLevel="0" collapsed="false">
      <c r="A2785" s="3" t="str">
        <f aca="false">HYPERLINK("https://www.fabsurplus.com/sdi_catalog/salesItemDetails.do?id=80328")</f>
        <v>https://www.fabsurplus.com/sdi_catalog/salesItemDetails.do?id=80328</v>
      </c>
      <c r="B2785" s="3" t="s">
        <v>7929</v>
      </c>
      <c r="C2785" s="3" t="s">
        <v>7865</v>
      </c>
      <c r="D2785" s="3" t="s">
        <v>7930</v>
      </c>
      <c r="E2785" s="3" t="s">
        <v>7931</v>
      </c>
      <c r="F2785" s="3" t="s">
        <v>16</v>
      </c>
      <c r="G2785" s="3"/>
      <c r="H2785" s="3" t="s">
        <v>27</v>
      </c>
      <c r="I2785" s="3"/>
      <c r="J2785" s="3" t="s">
        <v>19</v>
      </c>
      <c r="K2785" s="3" t="s">
        <v>20</v>
      </c>
      <c r="L2785" s="5" t="s">
        <v>7932</v>
      </c>
    </row>
    <row r="2786" customFormat="false" ht="11.9" hidden="false" customHeight="true" outlineLevel="0" collapsed="false">
      <c r="A2786" s="3" t="str">
        <f aca="false">HYPERLINK("https://www.fabsurplus.com/sdi_catalog/salesItemDetails.do?id=108992")</f>
        <v>https://www.fabsurplus.com/sdi_catalog/salesItemDetails.do?id=108992</v>
      </c>
      <c r="B2786" s="3" t="s">
        <v>7933</v>
      </c>
      <c r="C2786" s="3" t="s">
        <v>7902</v>
      </c>
      <c r="D2786" s="3" t="s">
        <v>7934</v>
      </c>
      <c r="E2786" s="3" t="s">
        <v>7904</v>
      </c>
      <c r="F2786" s="3" t="s">
        <v>16</v>
      </c>
      <c r="G2786" s="3" t="s">
        <v>26</v>
      </c>
      <c r="H2786" s="3" t="s">
        <v>35</v>
      </c>
      <c r="I2786" s="3"/>
      <c r="J2786" s="3"/>
      <c r="K2786" s="3" t="s">
        <v>20</v>
      </c>
      <c r="L2786" s="5" t="s">
        <v>7935</v>
      </c>
    </row>
    <row r="2787" customFormat="false" ht="11.9" hidden="false" customHeight="true" outlineLevel="0" collapsed="false">
      <c r="A2787" s="2" t="str">
        <f aca="false">HYPERLINK("https://www.fabsurplus.com/sdi_catalog/salesItemDetails.do?id=108988")</f>
        <v>https://www.fabsurplus.com/sdi_catalog/salesItemDetails.do?id=108988</v>
      </c>
      <c r="B2787" s="2" t="s">
        <v>7936</v>
      </c>
      <c r="C2787" s="2" t="s">
        <v>7902</v>
      </c>
      <c r="D2787" s="2" t="s">
        <v>7937</v>
      </c>
      <c r="E2787" s="2" t="s">
        <v>7904</v>
      </c>
      <c r="F2787" s="2" t="s">
        <v>16</v>
      </c>
      <c r="G2787" s="2" t="s">
        <v>26</v>
      </c>
      <c r="H2787" s="2" t="s">
        <v>35</v>
      </c>
      <c r="I2787" s="2"/>
      <c r="J2787" s="2"/>
      <c r="K2787" s="2" t="s">
        <v>20</v>
      </c>
      <c r="L2787" s="6" t="s">
        <v>7938</v>
      </c>
    </row>
    <row r="2788" customFormat="false" ht="11.9" hidden="false" customHeight="true" outlineLevel="0" collapsed="false">
      <c r="A2788" s="3" t="str">
        <f aca="false">HYPERLINK("https://www.fabsurplus.com/sdi_catalog/salesItemDetails.do?id=80227")</f>
        <v>https://www.fabsurplus.com/sdi_catalog/salesItemDetails.do?id=80227</v>
      </c>
      <c r="B2788" s="3" t="s">
        <v>7939</v>
      </c>
      <c r="C2788" s="3" t="s">
        <v>7865</v>
      </c>
      <c r="D2788" s="3" t="s">
        <v>7940</v>
      </c>
      <c r="E2788" s="3" t="s">
        <v>7941</v>
      </c>
      <c r="F2788" s="3" t="s">
        <v>16</v>
      </c>
      <c r="G2788" s="3"/>
      <c r="H2788" s="3"/>
      <c r="I2788" s="3"/>
      <c r="J2788" s="3" t="s">
        <v>19</v>
      </c>
      <c r="K2788" s="3"/>
      <c r="L2788" s="3"/>
    </row>
    <row r="2789" customFormat="false" ht="11.9" hidden="false" customHeight="true" outlineLevel="0" collapsed="false">
      <c r="A2789" s="2" t="str">
        <f aca="false">HYPERLINK("https://www.fabsurplus.com/sdi_catalog/salesItemDetails.do?id=80329")</f>
        <v>https://www.fabsurplus.com/sdi_catalog/salesItemDetails.do?id=80329</v>
      </c>
      <c r="B2789" s="2" t="s">
        <v>7942</v>
      </c>
      <c r="C2789" s="2" t="s">
        <v>7865</v>
      </c>
      <c r="D2789" s="2" t="s">
        <v>7943</v>
      </c>
      <c r="E2789" s="2" t="s">
        <v>7944</v>
      </c>
      <c r="F2789" s="2" t="s">
        <v>16</v>
      </c>
      <c r="G2789" s="2" t="s">
        <v>26</v>
      </c>
      <c r="H2789" s="2" t="s">
        <v>27</v>
      </c>
      <c r="I2789" s="2"/>
      <c r="J2789" s="2" t="s">
        <v>19</v>
      </c>
      <c r="K2789" s="2" t="s">
        <v>20</v>
      </c>
      <c r="L2789" s="6" t="s">
        <v>7896</v>
      </c>
    </row>
    <row r="2790" customFormat="false" ht="11.9" hidden="false" customHeight="true" outlineLevel="0" collapsed="false">
      <c r="A2790" s="3" t="str">
        <f aca="false">HYPERLINK("https://www.fabsurplus.com/sdi_catalog/salesItemDetails.do?id=108990")</f>
        <v>https://www.fabsurplus.com/sdi_catalog/salesItemDetails.do?id=108990</v>
      </c>
      <c r="B2790" s="3" t="s">
        <v>7945</v>
      </c>
      <c r="C2790" s="3" t="s">
        <v>7902</v>
      </c>
      <c r="D2790" s="3" t="s">
        <v>7946</v>
      </c>
      <c r="E2790" s="3" t="s">
        <v>7904</v>
      </c>
      <c r="F2790" s="3" t="s">
        <v>16</v>
      </c>
      <c r="G2790" s="3" t="s">
        <v>26</v>
      </c>
      <c r="H2790" s="3" t="s">
        <v>35</v>
      </c>
      <c r="I2790" s="4" t="n">
        <v>35582</v>
      </c>
      <c r="J2790" s="3"/>
      <c r="K2790" s="3" t="s">
        <v>20</v>
      </c>
      <c r="L2790" s="5" t="s">
        <v>7947</v>
      </c>
    </row>
    <row r="2791" customFormat="false" ht="11.9" hidden="false" customHeight="true" outlineLevel="0" collapsed="false">
      <c r="A2791" s="2" t="str">
        <f aca="false">HYPERLINK("https://www.fabsurplus.com/sdi_catalog/salesItemDetails.do?id=80325")</f>
        <v>https://www.fabsurplus.com/sdi_catalog/salesItemDetails.do?id=80325</v>
      </c>
      <c r="B2791" s="2" t="s">
        <v>7948</v>
      </c>
      <c r="C2791" s="2" t="s">
        <v>7865</v>
      </c>
      <c r="D2791" s="2" t="s">
        <v>7949</v>
      </c>
      <c r="E2791" s="2" t="s">
        <v>7950</v>
      </c>
      <c r="F2791" s="2" t="s">
        <v>77</v>
      </c>
      <c r="G2791" s="2"/>
      <c r="H2791" s="2" t="s">
        <v>27</v>
      </c>
      <c r="I2791" s="2"/>
      <c r="J2791" s="2" t="s">
        <v>19</v>
      </c>
      <c r="K2791" s="2" t="s">
        <v>20</v>
      </c>
      <c r="L2791" s="6" t="s">
        <v>7896</v>
      </c>
    </row>
    <row r="2792" customFormat="false" ht="11.9" hidden="false" customHeight="true" outlineLevel="0" collapsed="false">
      <c r="A2792" s="3" t="str">
        <f aca="false">HYPERLINK("https://www.fabsurplus.com/sdi_catalog/salesItemDetails.do?id=80324")</f>
        <v>https://www.fabsurplus.com/sdi_catalog/salesItemDetails.do?id=80324</v>
      </c>
      <c r="B2792" s="3" t="s">
        <v>7951</v>
      </c>
      <c r="C2792" s="3" t="s">
        <v>7865</v>
      </c>
      <c r="D2792" s="3" t="s">
        <v>7952</v>
      </c>
      <c r="E2792" s="3" t="s">
        <v>7953</v>
      </c>
      <c r="F2792" s="3" t="s">
        <v>16</v>
      </c>
      <c r="G2792" s="3" t="s">
        <v>26</v>
      </c>
      <c r="H2792" s="3" t="s">
        <v>27</v>
      </c>
      <c r="I2792" s="3"/>
      <c r="J2792" s="3" t="s">
        <v>19</v>
      </c>
      <c r="K2792" s="3" t="s">
        <v>20</v>
      </c>
      <c r="L2792" s="5" t="s">
        <v>7954</v>
      </c>
    </row>
    <row r="2793" customFormat="false" ht="11.9" hidden="false" customHeight="true" outlineLevel="0" collapsed="false">
      <c r="A2793" s="3" t="str">
        <f aca="false">HYPERLINK("https://www.fabsurplus.com/sdi_catalog/salesItemDetails.do?id=80326")</f>
        <v>https://www.fabsurplus.com/sdi_catalog/salesItemDetails.do?id=80326</v>
      </c>
      <c r="B2793" s="3" t="s">
        <v>7955</v>
      </c>
      <c r="C2793" s="3" t="s">
        <v>7865</v>
      </c>
      <c r="D2793" s="3" t="s">
        <v>7956</v>
      </c>
      <c r="E2793" s="3" t="s">
        <v>7957</v>
      </c>
      <c r="F2793" s="3" t="s">
        <v>77</v>
      </c>
      <c r="G2793" s="3"/>
      <c r="H2793" s="3"/>
      <c r="I2793" s="3"/>
      <c r="J2793" s="3" t="s">
        <v>19</v>
      </c>
      <c r="K2793" s="3"/>
      <c r="L2793" s="3"/>
    </row>
    <row r="2794" customFormat="false" ht="11.9" hidden="false" customHeight="true" outlineLevel="0" collapsed="false">
      <c r="A2794" s="2" t="str">
        <f aca="false">HYPERLINK("https://www.fabsurplus.com/sdi_catalog/salesItemDetails.do?id=108994")</f>
        <v>https://www.fabsurplus.com/sdi_catalog/salesItemDetails.do?id=108994</v>
      </c>
      <c r="B2794" s="2" t="s">
        <v>7958</v>
      </c>
      <c r="C2794" s="2" t="s">
        <v>7902</v>
      </c>
      <c r="D2794" s="2" t="s">
        <v>7959</v>
      </c>
      <c r="E2794" s="2" t="s">
        <v>7904</v>
      </c>
      <c r="F2794" s="2" t="s">
        <v>16</v>
      </c>
      <c r="G2794" s="2" t="s">
        <v>26</v>
      </c>
      <c r="H2794" s="2" t="s">
        <v>35</v>
      </c>
      <c r="I2794" s="2"/>
      <c r="J2794" s="2"/>
      <c r="K2794" s="2" t="s">
        <v>20</v>
      </c>
      <c r="L2794" s="6" t="s">
        <v>7960</v>
      </c>
    </row>
    <row r="2795" customFormat="false" ht="11.9" hidden="false" customHeight="true" outlineLevel="0" collapsed="false">
      <c r="A2795" s="2" t="str">
        <f aca="false">HYPERLINK("https://www.fabsurplus.com/sdi_catalog/salesItemDetails.do?id=80224")</f>
        <v>https://www.fabsurplus.com/sdi_catalog/salesItemDetails.do?id=80224</v>
      </c>
      <c r="B2795" s="2" t="s">
        <v>7961</v>
      </c>
      <c r="C2795" s="2" t="s">
        <v>7865</v>
      </c>
      <c r="D2795" s="2" t="s">
        <v>7962</v>
      </c>
      <c r="E2795" s="2" t="s">
        <v>7957</v>
      </c>
      <c r="F2795" s="2" t="s">
        <v>77</v>
      </c>
      <c r="G2795" s="2" t="s">
        <v>26</v>
      </c>
      <c r="H2795" s="2" t="s">
        <v>35</v>
      </c>
      <c r="I2795" s="2"/>
      <c r="J2795" s="2" t="s">
        <v>19</v>
      </c>
      <c r="K2795" s="2" t="s">
        <v>20</v>
      </c>
      <c r="L2795" s="6" t="s">
        <v>7896</v>
      </c>
    </row>
    <row r="2796" customFormat="false" ht="11.9" hidden="false" customHeight="true" outlineLevel="0" collapsed="false">
      <c r="A2796" s="3" t="str">
        <f aca="false">HYPERLINK("https://www.fabsurplus.com/sdi_catalog/salesItemDetails.do?id=80223")</f>
        <v>https://www.fabsurplus.com/sdi_catalog/salesItemDetails.do?id=80223</v>
      </c>
      <c r="B2796" s="3" t="s">
        <v>7963</v>
      </c>
      <c r="C2796" s="3" t="s">
        <v>7865</v>
      </c>
      <c r="D2796" s="3" t="s">
        <v>7964</v>
      </c>
      <c r="E2796" s="3" t="s">
        <v>7965</v>
      </c>
      <c r="F2796" s="3" t="s">
        <v>77</v>
      </c>
      <c r="G2796" s="3" t="s">
        <v>26</v>
      </c>
      <c r="H2796" s="3" t="s">
        <v>35</v>
      </c>
      <c r="I2796" s="3"/>
      <c r="J2796" s="3" t="s">
        <v>19</v>
      </c>
      <c r="K2796" s="3" t="s">
        <v>20</v>
      </c>
      <c r="L2796" s="5" t="s">
        <v>7896</v>
      </c>
    </row>
    <row r="2797" customFormat="false" ht="11.9" hidden="false" customHeight="true" outlineLevel="0" collapsed="false">
      <c r="A2797" s="2" t="str">
        <f aca="false">HYPERLINK("https://www.fabsurplus.com/sdi_catalog/salesItemDetails.do?id=80323")</f>
        <v>https://www.fabsurplus.com/sdi_catalog/salesItemDetails.do?id=80323</v>
      </c>
      <c r="B2797" s="2" t="s">
        <v>7966</v>
      </c>
      <c r="C2797" s="2" t="s">
        <v>7865</v>
      </c>
      <c r="D2797" s="2" t="s">
        <v>7967</v>
      </c>
      <c r="E2797" s="2" t="s">
        <v>7968</v>
      </c>
      <c r="F2797" s="2" t="s">
        <v>16</v>
      </c>
      <c r="G2797" s="2" t="s">
        <v>26</v>
      </c>
      <c r="H2797" s="2" t="s">
        <v>27</v>
      </c>
      <c r="I2797" s="2"/>
      <c r="J2797" s="2" t="s">
        <v>19</v>
      </c>
      <c r="K2797" s="2" t="s">
        <v>20</v>
      </c>
      <c r="L2797" s="6" t="s">
        <v>7954</v>
      </c>
    </row>
    <row r="2798" customFormat="false" ht="11.9" hidden="false" customHeight="true" outlineLevel="0" collapsed="false">
      <c r="A2798" s="3" t="str">
        <f aca="false">HYPERLINK("https://www.fabsurplus.com/sdi_catalog/salesItemDetails.do?id=78168")</f>
        <v>https://www.fabsurplus.com/sdi_catalog/salesItemDetails.do?id=78168</v>
      </c>
      <c r="B2798" s="3" t="s">
        <v>7969</v>
      </c>
      <c r="C2798" s="3" t="s">
        <v>7865</v>
      </c>
      <c r="D2798" s="3" t="s">
        <v>7970</v>
      </c>
      <c r="E2798" s="3" t="s">
        <v>7971</v>
      </c>
      <c r="F2798" s="3" t="s">
        <v>16</v>
      </c>
      <c r="G2798" s="3" t="s">
        <v>26</v>
      </c>
      <c r="H2798" s="3" t="s">
        <v>35</v>
      </c>
      <c r="I2798" s="4" t="n">
        <v>36678</v>
      </c>
      <c r="J2798" s="3" t="s">
        <v>19</v>
      </c>
      <c r="K2798" s="3" t="s">
        <v>20</v>
      </c>
      <c r="L2798" s="5" t="s">
        <v>7972</v>
      </c>
    </row>
    <row r="2799" customFormat="false" ht="11.9" hidden="false" customHeight="true" outlineLevel="0" collapsed="false">
      <c r="A2799" s="3" t="str">
        <f aca="false">HYPERLINK("https://www.fabsurplus.com/sdi_catalog/salesItemDetails.do?id=80215")</f>
        <v>https://www.fabsurplus.com/sdi_catalog/salesItemDetails.do?id=80215</v>
      </c>
      <c r="B2799" s="3" t="s">
        <v>7973</v>
      </c>
      <c r="C2799" s="3" t="s">
        <v>7865</v>
      </c>
      <c r="D2799" s="3" t="s">
        <v>7974</v>
      </c>
      <c r="E2799" s="3" t="s">
        <v>7975</v>
      </c>
      <c r="F2799" s="3" t="s">
        <v>77</v>
      </c>
      <c r="G2799" s="3" t="s">
        <v>26</v>
      </c>
      <c r="H2799" s="3" t="s">
        <v>35</v>
      </c>
      <c r="I2799" s="3"/>
      <c r="J2799" s="3" t="s">
        <v>19</v>
      </c>
      <c r="K2799" s="3" t="s">
        <v>20</v>
      </c>
      <c r="L2799" s="5" t="s">
        <v>7976</v>
      </c>
    </row>
    <row r="2800" customFormat="false" ht="11.9" hidden="false" customHeight="true" outlineLevel="0" collapsed="false">
      <c r="A2800" s="3" t="str">
        <f aca="false">HYPERLINK("https://www.fabsurplus.com/sdi_catalog/salesItemDetails.do?id=80330")</f>
        <v>https://www.fabsurplus.com/sdi_catalog/salesItemDetails.do?id=80330</v>
      </c>
      <c r="B2800" s="3" t="s">
        <v>7977</v>
      </c>
      <c r="C2800" s="3" t="s">
        <v>7865</v>
      </c>
      <c r="D2800" s="3" t="s">
        <v>7978</v>
      </c>
      <c r="E2800" s="3" t="s">
        <v>7979</v>
      </c>
      <c r="F2800" s="3" t="s">
        <v>16</v>
      </c>
      <c r="G2800" s="3"/>
      <c r="H2800" s="3" t="s">
        <v>27</v>
      </c>
      <c r="I2800" s="3"/>
      <c r="J2800" s="3" t="s">
        <v>19</v>
      </c>
      <c r="K2800" s="3" t="s">
        <v>20</v>
      </c>
      <c r="L2800" s="5" t="s">
        <v>7980</v>
      </c>
    </row>
    <row r="2801" customFormat="false" ht="11.9" hidden="false" customHeight="true" outlineLevel="0" collapsed="false">
      <c r="A2801" s="2" t="str">
        <f aca="false">HYPERLINK("https://www.fabsurplus.com/sdi_catalog/salesItemDetails.do?id=108991")</f>
        <v>https://www.fabsurplus.com/sdi_catalog/salesItemDetails.do?id=108991</v>
      </c>
      <c r="B2801" s="2" t="s">
        <v>7981</v>
      </c>
      <c r="C2801" s="2" t="s">
        <v>7902</v>
      </c>
      <c r="D2801" s="2" t="s">
        <v>7982</v>
      </c>
      <c r="E2801" s="2" t="s">
        <v>7904</v>
      </c>
      <c r="F2801" s="2" t="s">
        <v>16</v>
      </c>
      <c r="G2801" s="2" t="s">
        <v>26</v>
      </c>
      <c r="H2801" s="2" t="s">
        <v>35</v>
      </c>
      <c r="I2801" s="2"/>
      <c r="J2801" s="2"/>
      <c r="K2801" s="2" t="s">
        <v>20</v>
      </c>
      <c r="L2801" s="6" t="s">
        <v>7983</v>
      </c>
    </row>
    <row r="2802" customFormat="false" ht="11.9" hidden="false" customHeight="true" outlineLevel="0" collapsed="false">
      <c r="A2802" s="2" t="str">
        <f aca="false">HYPERLINK("https://www.fabsurplus.com/sdi_catalog/salesItemDetails.do?id=80226")</f>
        <v>https://www.fabsurplus.com/sdi_catalog/salesItemDetails.do?id=80226</v>
      </c>
      <c r="B2802" s="2" t="s">
        <v>7984</v>
      </c>
      <c r="C2802" s="2" t="s">
        <v>7865</v>
      </c>
      <c r="D2802" s="2" t="s">
        <v>7985</v>
      </c>
      <c r="E2802" s="2" t="s">
        <v>7986</v>
      </c>
      <c r="F2802" s="2" t="s">
        <v>16</v>
      </c>
      <c r="G2802" s="2" t="s">
        <v>26</v>
      </c>
      <c r="H2802" s="2" t="s">
        <v>35</v>
      </c>
      <c r="I2802" s="2"/>
      <c r="J2802" s="2" t="s">
        <v>19</v>
      </c>
      <c r="K2802" s="2" t="s">
        <v>20</v>
      </c>
      <c r="L2802" s="6" t="s">
        <v>7896</v>
      </c>
    </row>
    <row r="2803" customFormat="false" ht="11.9" hidden="false" customHeight="true" outlineLevel="0" collapsed="false">
      <c r="A2803" s="2" t="str">
        <f aca="false">HYPERLINK("https://www.fabsurplus.com/sdi_catalog/salesItemDetails.do?id=80220")</f>
        <v>https://www.fabsurplus.com/sdi_catalog/salesItemDetails.do?id=80220</v>
      </c>
      <c r="B2803" s="2" t="s">
        <v>7987</v>
      </c>
      <c r="C2803" s="2" t="s">
        <v>7865</v>
      </c>
      <c r="D2803" s="2" t="s">
        <v>7988</v>
      </c>
      <c r="E2803" s="2" t="s">
        <v>7989</v>
      </c>
      <c r="F2803" s="2" t="s">
        <v>16</v>
      </c>
      <c r="G2803" s="2" t="s">
        <v>26</v>
      </c>
      <c r="H2803" s="2" t="s">
        <v>27</v>
      </c>
      <c r="I2803" s="2"/>
      <c r="J2803" s="2" t="s">
        <v>19</v>
      </c>
      <c r="K2803" s="2" t="s">
        <v>20</v>
      </c>
      <c r="L2803" s="6" t="s">
        <v>7990</v>
      </c>
    </row>
    <row r="2804" customFormat="false" ht="11.9" hidden="false" customHeight="true" outlineLevel="0" collapsed="false">
      <c r="A2804" s="2" t="str">
        <f aca="false">HYPERLINK("https://www.fabsurplus.com/sdi_catalog/salesItemDetails.do?id=80222")</f>
        <v>https://www.fabsurplus.com/sdi_catalog/salesItemDetails.do?id=80222</v>
      </c>
      <c r="B2804" s="2" t="s">
        <v>7991</v>
      </c>
      <c r="C2804" s="2" t="s">
        <v>7865</v>
      </c>
      <c r="D2804" s="2" t="s">
        <v>7992</v>
      </c>
      <c r="E2804" s="2" t="s">
        <v>7993</v>
      </c>
      <c r="F2804" s="2" t="s">
        <v>16</v>
      </c>
      <c r="G2804" s="2"/>
      <c r="H2804" s="2" t="s">
        <v>35</v>
      </c>
      <c r="I2804" s="2"/>
      <c r="J2804" s="2" t="s">
        <v>19</v>
      </c>
      <c r="K2804" s="2" t="s">
        <v>20</v>
      </c>
      <c r="L2804" s="6" t="s">
        <v>7896</v>
      </c>
    </row>
    <row r="2805" customFormat="false" ht="11.9" hidden="false" customHeight="true" outlineLevel="0" collapsed="false">
      <c r="A2805" s="2" t="str">
        <f aca="false">HYPERLINK("https://www.fabsurplus.com/sdi_catalog/salesItemDetails.do?id=80216")</f>
        <v>https://www.fabsurplus.com/sdi_catalog/salesItemDetails.do?id=80216</v>
      </c>
      <c r="B2805" s="2" t="s">
        <v>7994</v>
      </c>
      <c r="C2805" s="2" t="s">
        <v>7865</v>
      </c>
      <c r="D2805" s="2" t="s">
        <v>7995</v>
      </c>
      <c r="E2805" s="2" t="s">
        <v>7996</v>
      </c>
      <c r="F2805" s="2" t="s">
        <v>16</v>
      </c>
      <c r="G2805" s="2" t="s">
        <v>26</v>
      </c>
      <c r="H2805" s="2" t="s">
        <v>35</v>
      </c>
      <c r="I2805" s="2"/>
      <c r="J2805" s="2" t="s">
        <v>19</v>
      </c>
      <c r="K2805" s="2" t="s">
        <v>20</v>
      </c>
      <c r="L2805" s="6" t="s">
        <v>7896</v>
      </c>
    </row>
    <row r="2806" customFormat="false" ht="11.9" hidden="false" customHeight="true" outlineLevel="0" collapsed="false">
      <c r="A2806" s="2" t="str">
        <f aca="false">HYPERLINK("https://www.fabsurplus.com/sdi_catalog/salesItemDetails.do?id=82231")</f>
        <v>https://www.fabsurplus.com/sdi_catalog/salesItemDetails.do?id=82231</v>
      </c>
      <c r="B2806" s="2" t="s">
        <v>7997</v>
      </c>
      <c r="C2806" s="2" t="s">
        <v>7865</v>
      </c>
      <c r="D2806" s="2" t="s">
        <v>7998</v>
      </c>
      <c r="E2806" s="2" t="s">
        <v>7999</v>
      </c>
      <c r="F2806" s="2" t="s">
        <v>16</v>
      </c>
      <c r="G2806" s="2"/>
      <c r="H2806" s="2" t="s">
        <v>35</v>
      </c>
      <c r="I2806" s="7" t="n">
        <v>35612</v>
      </c>
      <c r="J2806" s="2" t="s">
        <v>19</v>
      </c>
      <c r="K2806" s="2" t="s">
        <v>20</v>
      </c>
      <c r="L2806" s="6" t="s">
        <v>8000</v>
      </c>
    </row>
    <row r="2807" customFormat="false" ht="11.9" hidden="false" customHeight="true" outlineLevel="0" collapsed="false">
      <c r="A2807" s="3" t="str">
        <f aca="false">HYPERLINK("https://www.fabsurplus.com/sdi_catalog/salesItemDetails.do?id=82232")</f>
        <v>https://www.fabsurplus.com/sdi_catalog/salesItemDetails.do?id=82232</v>
      </c>
      <c r="B2807" s="3" t="s">
        <v>8001</v>
      </c>
      <c r="C2807" s="3" t="s">
        <v>7865</v>
      </c>
      <c r="D2807" s="3" t="s">
        <v>8002</v>
      </c>
      <c r="E2807" s="3" t="s">
        <v>7999</v>
      </c>
      <c r="F2807" s="3" t="s">
        <v>16</v>
      </c>
      <c r="G2807" s="3"/>
      <c r="H2807" s="3" t="s">
        <v>35</v>
      </c>
      <c r="I2807" s="4" t="n">
        <v>35612</v>
      </c>
      <c r="J2807" s="3" t="s">
        <v>19</v>
      </c>
      <c r="K2807" s="3" t="s">
        <v>20</v>
      </c>
      <c r="L2807" s="5" t="s">
        <v>8000</v>
      </c>
    </row>
    <row r="2808" customFormat="false" ht="11.9" hidden="false" customHeight="true" outlineLevel="0" collapsed="false">
      <c r="A2808" s="2" t="str">
        <f aca="false">HYPERLINK("https://www.fabsurplus.com/sdi_catalog/salesItemDetails.do?id=81836")</f>
        <v>https://www.fabsurplus.com/sdi_catalog/salesItemDetails.do?id=81836</v>
      </c>
      <c r="B2808" s="2" t="s">
        <v>8003</v>
      </c>
      <c r="C2808" s="2" t="s">
        <v>7865</v>
      </c>
      <c r="D2808" s="2" t="s">
        <v>8004</v>
      </c>
      <c r="E2808" s="2" t="s">
        <v>8005</v>
      </c>
      <c r="F2808" s="2" t="s">
        <v>16</v>
      </c>
      <c r="G2808" s="2"/>
      <c r="H2808" s="2" t="s">
        <v>35</v>
      </c>
      <c r="I2808" s="7" t="n">
        <v>35521</v>
      </c>
      <c r="J2808" s="2" t="s">
        <v>19</v>
      </c>
      <c r="K2808" s="2" t="s">
        <v>20</v>
      </c>
      <c r="L2808" s="6" t="s">
        <v>8006</v>
      </c>
    </row>
    <row r="2809" customFormat="false" ht="11.9" hidden="false" customHeight="true" outlineLevel="0" collapsed="false">
      <c r="A2809" s="2" t="str">
        <f aca="false">HYPERLINK("https://www.fabsurplus.com/sdi_catalog/salesItemDetails.do?id=78361")</f>
        <v>https://www.fabsurplus.com/sdi_catalog/salesItemDetails.do?id=78361</v>
      </c>
      <c r="B2809" s="2" t="s">
        <v>8007</v>
      </c>
      <c r="C2809" s="2" t="s">
        <v>7865</v>
      </c>
      <c r="D2809" s="2" t="s">
        <v>8008</v>
      </c>
      <c r="E2809" s="2" t="s">
        <v>8009</v>
      </c>
      <c r="F2809" s="2" t="s">
        <v>16</v>
      </c>
      <c r="G2809" s="2" t="s">
        <v>7632</v>
      </c>
      <c r="H2809" s="2" t="s">
        <v>299</v>
      </c>
      <c r="I2809" s="7" t="n">
        <v>35431</v>
      </c>
      <c r="J2809" s="2" t="s">
        <v>19</v>
      </c>
      <c r="K2809" s="2" t="s">
        <v>20</v>
      </c>
      <c r="L2809" s="6" t="s">
        <v>8010</v>
      </c>
    </row>
    <row r="2810" customFormat="false" ht="11.9" hidden="false" customHeight="true" outlineLevel="0" collapsed="false">
      <c r="A2810" s="3" t="str">
        <f aca="false">HYPERLINK("https://www.fabsurplus.com/sdi_catalog/salesItemDetails.do?id=80266")</f>
        <v>https://www.fabsurplus.com/sdi_catalog/salesItemDetails.do?id=80266</v>
      </c>
      <c r="B2810" s="3" t="s">
        <v>8011</v>
      </c>
      <c r="C2810" s="3" t="s">
        <v>8012</v>
      </c>
      <c r="D2810" s="3" t="s">
        <v>8013</v>
      </c>
      <c r="E2810" s="3" t="s">
        <v>8014</v>
      </c>
      <c r="F2810" s="3" t="s">
        <v>69</v>
      </c>
      <c r="G2810" s="3"/>
      <c r="H2810" s="3" t="s">
        <v>18</v>
      </c>
      <c r="I2810" s="3"/>
      <c r="J2810" s="3" t="s">
        <v>19</v>
      </c>
      <c r="K2810" s="3" t="s">
        <v>20</v>
      </c>
      <c r="L2810" s="3" t="s">
        <v>8015</v>
      </c>
    </row>
    <row r="2811" customFormat="false" ht="11.9" hidden="false" customHeight="true" outlineLevel="0" collapsed="false">
      <c r="A2811" s="2" t="str">
        <f aca="false">HYPERLINK("https://www.fabsurplus.com/sdi_catalog/salesItemDetails.do?id=70299")</f>
        <v>https://www.fabsurplus.com/sdi_catalog/salesItemDetails.do?id=70299</v>
      </c>
      <c r="B2811" s="2" t="s">
        <v>8016</v>
      </c>
      <c r="C2811" s="2" t="s">
        <v>8017</v>
      </c>
      <c r="D2811" s="2" t="s">
        <v>8018</v>
      </c>
      <c r="E2811" s="2" t="s">
        <v>8019</v>
      </c>
      <c r="F2811" s="2" t="s">
        <v>69</v>
      </c>
      <c r="G2811" s="2" t="s">
        <v>41</v>
      </c>
      <c r="H2811" s="2" t="s">
        <v>18</v>
      </c>
      <c r="I2811" s="2"/>
      <c r="J2811" s="2" t="s">
        <v>19</v>
      </c>
      <c r="K2811" s="2" t="s">
        <v>20</v>
      </c>
      <c r="L2811" s="6" t="s">
        <v>8020</v>
      </c>
    </row>
    <row r="2812" customFormat="false" ht="11.9" hidden="false" customHeight="true" outlineLevel="0" collapsed="false">
      <c r="A2812" s="2" t="str">
        <f aca="false">HYPERLINK("https://www.fabsurplus.com/sdi_catalog/salesItemDetails.do?id=110549")</f>
        <v>https://www.fabsurplus.com/sdi_catalog/salesItemDetails.do?id=110549</v>
      </c>
      <c r="B2812" s="2" t="s">
        <v>8021</v>
      </c>
      <c r="C2812" s="2" t="s">
        <v>8022</v>
      </c>
      <c r="D2812" s="2" t="s">
        <v>8023</v>
      </c>
      <c r="E2812" s="2" t="s">
        <v>137</v>
      </c>
      <c r="F2812" s="2" t="s">
        <v>16</v>
      </c>
      <c r="G2812" s="2" t="s">
        <v>41</v>
      </c>
      <c r="H2812" s="2" t="s">
        <v>35</v>
      </c>
      <c r="I2812" s="2"/>
      <c r="J2812" s="2" t="s">
        <v>19</v>
      </c>
      <c r="K2812" s="2" t="s">
        <v>20</v>
      </c>
      <c r="L2812" s="2" t="s">
        <v>8024</v>
      </c>
    </row>
    <row r="2813" customFormat="false" ht="11.9" hidden="false" customHeight="true" outlineLevel="0" collapsed="false">
      <c r="A2813" s="2" t="str">
        <f aca="false">HYPERLINK("https://www.fabsurplus.com/sdi_catalog/salesItemDetails.do?id=84243")</f>
        <v>https://www.fabsurplus.com/sdi_catalog/salesItemDetails.do?id=84243</v>
      </c>
      <c r="B2813" s="2" t="s">
        <v>8025</v>
      </c>
      <c r="C2813" s="2" t="s">
        <v>8026</v>
      </c>
      <c r="D2813" s="2" t="s">
        <v>8027</v>
      </c>
      <c r="E2813" s="2" t="s">
        <v>8028</v>
      </c>
      <c r="F2813" s="2" t="s">
        <v>16</v>
      </c>
      <c r="G2813" s="2"/>
      <c r="H2813" s="2" t="s">
        <v>27</v>
      </c>
      <c r="I2813" s="2"/>
      <c r="J2813" s="2" t="s">
        <v>19</v>
      </c>
      <c r="K2813" s="2" t="s">
        <v>20</v>
      </c>
      <c r="L2813" s="6" t="s">
        <v>8029</v>
      </c>
    </row>
    <row r="2814" customFormat="false" ht="11.9" hidden="false" customHeight="true" outlineLevel="0" collapsed="false">
      <c r="A2814" s="2" t="str">
        <f aca="false">HYPERLINK("https://www.fabsurplus.com/sdi_catalog/salesItemDetails.do?id=84252")</f>
        <v>https://www.fabsurplus.com/sdi_catalog/salesItemDetails.do?id=84252</v>
      </c>
      <c r="B2814" s="2" t="s">
        <v>8030</v>
      </c>
      <c r="C2814" s="2" t="s">
        <v>8026</v>
      </c>
      <c r="D2814" s="2" t="s">
        <v>8031</v>
      </c>
      <c r="E2814" s="2" t="s">
        <v>8032</v>
      </c>
      <c r="F2814" s="2" t="s">
        <v>16</v>
      </c>
      <c r="G2814" s="2" t="s">
        <v>26</v>
      </c>
      <c r="H2814" s="2" t="s">
        <v>1691</v>
      </c>
      <c r="I2814" s="2"/>
      <c r="J2814" s="2" t="s">
        <v>19</v>
      </c>
      <c r="K2814" s="2" t="s">
        <v>20</v>
      </c>
      <c r="L2814" s="6" t="s">
        <v>8033</v>
      </c>
    </row>
    <row r="2815" customFormat="false" ht="11.9" hidden="false" customHeight="true" outlineLevel="0" collapsed="false">
      <c r="A2815" s="3" t="str">
        <f aca="false">HYPERLINK("https://www.fabsurplus.com/sdi_catalog/salesItemDetails.do?id=84251")</f>
        <v>https://www.fabsurplus.com/sdi_catalog/salesItemDetails.do?id=84251</v>
      </c>
      <c r="B2815" s="3" t="s">
        <v>8034</v>
      </c>
      <c r="C2815" s="3" t="s">
        <v>8026</v>
      </c>
      <c r="D2815" s="3" t="s">
        <v>8035</v>
      </c>
      <c r="E2815" s="3" t="s">
        <v>8036</v>
      </c>
      <c r="F2815" s="3" t="s">
        <v>16</v>
      </c>
      <c r="G2815" s="3" t="s">
        <v>26</v>
      </c>
      <c r="H2815" s="3" t="s">
        <v>1691</v>
      </c>
      <c r="I2815" s="3"/>
      <c r="J2815" s="3" t="s">
        <v>19</v>
      </c>
      <c r="K2815" s="3" t="s">
        <v>20</v>
      </c>
      <c r="L2815" s="5" t="s">
        <v>8037</v>
      </c>
    </row>
    <row r="2816" customFormat="false" ht="11.9" hidden="false" customHeight="true" outlineLevel="0" collapsed="false">
      <c r="A2816" s="3" t="str">
        <f aca="false">HYPERLINK("https://www.fabsurplus.com/sdi_catalog/salesItemDetails.do?id=84247")</f>
        <v>https://www.fabsurplus.com/sdi_catalog/salesItemDetails.do?id=84247</v>
      </c>
      <c r="B2816" s="3" t="s">
        <v>8038</v>
      </c>
      <c r="C2816" s="3" t="s">
        <v>8026</v>
      </c>
      <c r="D2816" s="3" t="s">
        <v>8039</v>
      </c>
      <c r="E2816" s="3" t="s">
        <v>8036</v>
      </c>
      <c r="F2816" s="3" t="s">
        <v>77</v>
      </c>
      <c r="G2816" s="3" t="s">
        <v>26</v>
      </c>
      <c r="H2816" s="3" t="s">
        <v>1691</v>
      </c>
      <c r="I2816" s="3"/>
      <c r="J2816" s="3" t="s">
        <v>19</v>
      </c>
      <c r="K2816" s="3" t="s">
        <v>20</v>
      </c>
      <c r="L2816" s="5" t="s">
        <v>8040</v>
      </c>
    </row>
    <row r="2817" customFormat="false" ht="11.9" hidden="false" customHeight="true" outlineLevel="0" collapsed="false">
      <c r="A2817" s="3" t="str">
        <f aca="false">HYPERLINK("https://www.fabsurplus.com/sdi_catalog/salesItemDetails.do?id=84249")</f>
        <v>https://www.fabsurplus.com/sdi_catalog/salesItemDetails.do?id=84249</v>
      </c>
      <c r="B2817" s="3" t="s">
        <v>8041</v>
      </c>
      <c r="C2817" s="3" t="s">
        <v>8026</v>
      </c>
      <c r="D2817" s="3" t="s">
        <v>8042</v>
      </c>
      <c r="E2817" s="3" t="s">
        <v>8036</v>
      </c>
      <c r="F2817" s="3" t="s">
        <v>16</v>
      </c>
      <c r="G2817" s="3" t="s">
        <v>26</v>
      </c>
      <c r="H2817" s="3" t="s">
        <v>1691</v>
      </c>
      <c r="I2817" s="3"/>
      <c r="J2817" s="3" t="s">
        <v>19</v>
      </c>
      <c r="K2817" s="3" t="s">
        <v>20</v>
      </c>
      <c r="L2817" s="5" t="s">
        <v>8043</v>
      </c>
    </row>
    <row r="2818" customFormat="false" ht="11.9" hidden="false" customHeight="true" outlineLevel="0" collapsed="false">
      <c r="A2818" s="2" t="str">
        <f aca="false">HYPERLINK("https://www.fabsurplus.com/sdi_catalog/salesItemDetails.do?id=84248")</f>
        <v>https://www.fabsurplus.com/sdi_catalog/salesItemDetails.do?id=84248</v>
      </c>
      <c r="B2818" s="2" t="s">
        <v>8044</v>
      </c>
      <c r="C2818" s="2" t="s">
        <v>8026</v>
      </c>
      <c r="D2818" s="2" t="s">
        <v>8045</v>
      </c>
      <c r="E2818" s="2" t="s">
        <v>8036</v>
      </c>
      <c r="F2818" s="2" t="s">
        <v>16</v>
      </c>
      <c r="G2818" s="2" t="s">
        <v>26</v>
      </c>
      <c r="H2818" s="2" t="s">
        <v>27</v>
      </c>
      <c r="I2818" s="2"/>
      <c r="J2818" s="2" t="s">
        <v>19</v>
      </c>
      <c r="K2818" s="2" t="s">
        <v>20</v>
      </c>
      <c r="L2818" s="6" t="s">
        <v>8046</v>
      </c>
    </row>
    <row r="2819" customFormat="false" ht="11.9" hidden="false" customHeight="true" outlineLevel="0" collapsed="false">
      <c r="A2819" s="2" t="str">
        <f aca="false">HYPERLINK("https://www.fabsurplus.com/sdi_catalog/salesItemDetails.do?id=84257")</f>
        <v>https://www.fabsurplus.com/sdi_catalog/salesItemDetails.do?id=84257</v>
      </c>
      <c r="B2819" s="2" t="s">
        <v>8047</v>
      </c>
      <c r="C2819" s="2" t="s">
        <v>8026</v>
      </c>
      <c r="D2819" s="2" t="s">
        <v>8048</v>
      </c>
      <c r="E2819" s="2" t="s">
        <v>8049</v>
      </c>
      <c r="F2819" s="2" t="s">
        <v>16</v>
      </c>
      <c r="G2819" s="2"/>
      <c r="H2819" s="2" t="s">
        <v>27</v>
      </c>
      <c r="I2819" s="2"/>
      <c r="J2819" s="2" t="s">
        <v>19</v>
      </c>
      <c r="K2819" s="2" t="s">
        <v>20</v>
      </c>
      <c r="L2819" s="6" t="s">
        <v>8050</v>
      </c>
    </row>
    <row r="2820" customFormat="false" ht="11.9" hidden="false" customHeight="true" outlineLevel="0" collapsed="false">
      <c r="A2820" s="3" t="str">
        <f aca="false">HYPERLINK("https://www.fabsurplus.com/sdi_catalog/salesItemDetails.do?id=70303")</f>
        <v>https://www.fabsurplus.com/sdi_catalog/salesItemDetails.do?id=70303</v>
      </c>
      <c r="B2820" s="3" t="s">
        <v>8051</v>
      </c>
      <c r="C2820" s="3" t="s">
        <v>8026</v>
      </c>
      <c r="D2820" s="3" t="s">
        <v>8052</v>
      </c>
      <c r="E2820" s="3" t="s">
        <v>8053</v>
      </c>
      <c r="F2820" s="3" t="s">
        <v>77</v>
      </c>
      <c r="G2820" s="3" t="s">
        <v>41</v>
      </c>
      <c r="H2820" s="3" t="s">
        <v>18</v>
      </c>
      <c r="I2820" s="3"/>
      <c r="J2820" s="3" t="s">
        <v>19</v>
      </c>
      <c r="K2820" s="3" t="s">
        <v>20</v>
      </c>
      <c r="L2820" s="5" t="s">
        <v>8054</v>
      </c>
    </row>
    <row r="2821" customFormat="false" ht="11.9" hidden="false" customHeight="true" outlineLevel="0" collapsed="false">
      <c r="A2821" s="3" t="str">
        <f aca="false">HYPERLINK("https://www.fabsurplus.com/sdi_catalog/salesItemDetails.do?id=84245")</f>
        <v>https://www.fabsurplus.com/sdi_catalog/salesItemDetails.do?id=84245</v>
      </c>
      <c r="B2821" s="3" t="s">
        <v>8055</v>
      </c>
      <c r="C2821" s="3" t="s">
        <v>8026</v>
      </c>
      <c r="D2821" s="3" t="s">
        <v>8056</v>
      </c>
      <c r="E2821" s="3" t="s">
        <v>8036</v>
      </c>
      <c r="F2821" s="3" t="s">
        <v>69</v>
      </c>
      <c r="G2821" s="3" t="s">
        <v>26</v>
      </c>
      <c r="H2821" s="3" t="s">
        <v>1691</v>
      </c>
      <c r="I2821" s="3"/>
      <c r="J2821" s="3" t="s">
        <v>19</v>
      </c>
      <c r="K2821" s="3" t="s">
        <v>20</v>
      </c>
      <c r="L2821" s="5" t="s">
        <v>8057</v>
      </c>
    </row>
    <row r="2822" customFormat="false" ht="11.9" hidden="false" customHeight="true" outlineLevel="0" collapsed="false">
      <c r="A2822" s="3" t="str">
        <f aca="false">HYPERLINK("https://www.fabsurplus.com/sdi_catalog/salesItemDetails.do?id=84253")</f>
        <v>https://www.fabsurplus.com/sdi_catalog/salesItemDetails.do?id=84253</v>
      </c>
      <c r="B2822" s="3" t="s">
        <v>8058</v>
      </c>
      <c r="C2822" s="3" t="s">
        <v>8026</v>
      </c>
      <c r="D2822" s="3" t="s">
        <v>8059</v>
      </c>
      <c r="E2822" s="3" t="s">
        <v>8060</v>
      </c>
      <c r="F2822" s="3" t="s">
        <v>16</v>
      </c>
      <c r="G2822" s="3" t="s">
        <v>26</v>
      </c>
      <c r="H2822" s="3" t="s">
        <v>1691</v>
      </c>
      <c r="I2822" s="3"/>
      <c r="J2822" s="3" t="s">
        <v>19</v>
      </c>
      <c r="K2822" s="3" t="s">
        <v>20</v>
      </c>
      <c r="L2822" s="5" t="s">
        <v>8061</v>
      </c>
    </row>
    <row r="2823" customFormat="false" ht="11.9" hidden="false" customHeight="true" outlineLevel="0" collapsed="false">
      <c r="A2823" s="2" t="str">
        <f aca="false">HYPERLINK("https://www.fabsurplus.com/sdi_catalog/salesItemDetails.do?id=84246")</f>
        <v>https://www.fabsurplus.com/sdi_catalog/salesItemDetails.do?id=84246</v>
      </c>
      <c r="B2823" s="2" t="s">
        <v>8062</v>
      </c>
      <c r="C2823" s="2" t="s">
        <v>8026</v>
      </c>
      <c r="D2823" s="2" t="s">
        <v>8063</v>
      </c>
      <c r="E2823" s="2" t="s">
        <v>8064</v>
      </c>
      <c r="F2823" s="2" t="s">
        <v>16</v>
      </c>
      <c r="G2823" s="2" t="s">
        <v>26</v>
      </c>
      <c r="H2823" s="2" t="s">
        <v>1691</v>
      </c>
      <c r="I2823" s="2"/>
      <c r="J2823" s="2" t="s">
        <v>19</v>
      </c>
      <c r="K2823" s="2" t="s">
        <v>20</v>
      </c>
      <c r="L2823" s="6" t="s">
        <v>8065</v>
      </c>
    </row>
    <row r="2824" customFormat="false" ht="11.9" hidden="false" customHeight="true" outlineLevel="0" collapsed="false">
      <c r="A2824" s="2" t="str">
        <f aca="false">HYPERLINK("https://www.fabsurplus.com/sdi_catalog/salesItemDetails.do?id=84250")</f>
        <v>https://www.fabsurplus.com/sdi_catalog/salesItemDetails.do?id=84250</v>
      </c>
      <c r="B2824" s="2" t="s">
        <v>8066</v>
      </c>
      <c r="C2824" s="2" t="s">
        <v>8026</v>
      </c>
      <c r="D2824" s="2" t="s">
        <v>8067</v>
      </c>
      <c r="E2824" s="2" t="s">
        <v>8036</v>
      </c>
      <c r="F2824" s="2" t="s">
        <v>16</v>
      </c>
      <c r="G2824" s="2" t="s">
        <v>26</v>
      </c>
      <c r="H2824" s="2" t="s">
        <v>1691</v>
      </c>
      <c r="I2824" s="2"/>
      <c r="J2824" s="2" t="s">
        <v>19</v>
      </c>
      <c r="K2824" s="2" t="s">
        <v>20</v>
      </c>
      <c r="L2824" s="6" t="s">
        <v>8068</v>
      </c>
    </row>
    <row r="2825" customFormat="false" ht="11.9" hidden="false" customHeight="true" outlineLevel="0" collapsed="false">
      <c r="A2825" s="3" t="str">
        <f aca="false">HYPERLINK("https://www.fabsurplus.com/sdi_catalog/salesItemDetails.do?id=83879")</f>
        <v>https://www.fabsurplus.com/sdi_catalog/salesItemDetails.do?id=83879</v>
      </c>
      <c r="B2825" s="3" t="s">
        <v>8069</v>
      </c>
      <c r="C2825" s="3" t="s">
        <v>8070</v>
      </c>
      <c r="D2825" s="3" t="s">
        <v>8071</v>
      </c>
      <c r="E2825" s="3" t="s">
        <v>8072</v>
      </c>
      <c r="F2825" s="3" t="s">
        <v>77</v>
      </c>
      <c r="G2825" s="3"/>
      <c r="H2825" s="3" t="s">
        <v>18</v>
      </c>
      <c r="I2825" s="3"/>
      <c r="J2825" s="3" t="s">
        <v>19</v>
      </c>
      <c r="K2825" s="3" t="s">
        <v>20</v>
      </c>
      <c r="L2825" s="5" t="s">
        <v>8073</v>
      </c>
    </row>
    <row r="2826" customFormat="false" ht="11.9" hidden="false" customHeight="true" outlineLevel="0" collapsed="false">
      <c r="A2826" s="3" t="str">
        <f aca="false">HYPERLINK("https://www.fabsurplus.com/sdi_catalog/salesItemDetails.do?id=83877")</f>
        <v>https://www.fabsurplus.com/sdi_catalog/salesItemDetails.do?id=83877</v>
      </c>
      <c r="B2826" s="3" t="s">
        <v>8074</v>
      </c>
      <c r="C2826" s="3" t="s">
        <v>8070</v>
      </c>
      <c r="D2826" s="3" t="s">
        <v>8075</v>
      </c>
      <c r="E2826" s="3" t="s">
        <v>8076</v>
      </c>
      <c r="F2826" s="3" t="s">
        <v>104</v>
      </c>
      <c r="G2826" s="3"/>
      <c r="H2826" s="3" t="s">
        <v>18</v>
      </c>
      <c r="I2826" s="3"/>
      <c r="J2826" s="3" t="s">
        <v>19</v>
      </c>
      <c r="K2826" s="3" t="s">
        <v>20</v>
      </c>
      <c r="L2826" s="5" t="s">
        <v>8077</v>
      </c>
    </row>
    <row r="2827" customFormat="false" ht="11.9" hidden="false" customHeight="true" outlineLevel="0" collapsed="false">
      <c r="A2827" s="2" t="str">
        <f aca="false">HYPERLINK("https://www.fabsurplus.com/sdi_catalog/salesItemDetails.do?id=83878")</f>
        <v>https://www.fabsurplus.com/sdi_catalog/salesItemDetails.do?id=83878</v>
      </c>
      <c r="B2827" s="2" t="s">
        <v>8078</v>
      </c>
      <c r="C2827" s="2" t="s">
        <v>8070</v>
      </c>
      <c r="D2827" s="2" t="s">
        <v>8079</v>
      </c>
      <c r="E2827" s="2" t="s">
        <v>8080</v>
      </c>
      <c r="F2827" s="2" t="s">
        <v>77</v>
      </c>
      <c r="G2827" s="2"/>
      <c r="H2827" s="2" t="s">
        <v>18</v>
      </c>
      <c r="I2827" s="2"/>
      <c r="J2827" s="2" t="s">
        <v>19</v>
      </c>
      <c r="K2827" s="2" t="s">
        <v>20</v>
      </c>
      <c r="L2827" s="6" t="s">
        <v>8081</v>
      </c>
    </row>
    <row r="2828" customFormat="false" ht="11.9" hidden="false" customHeight="true" outlineLevel="0" collapsed="false">
      <c r="A2828" s="3" t="str">
        <f aca="false">HYPERLINK("https://www.fabsurplus.com/sdi_catalog/salesItemDetails.do?id=83828")</f>
        <v>https://www.fabsurplus.com/sdi_catalog/salesItemDetails.do?id=83828</v>
      </c>
      <c r="B2828" s="3" t="s">
        <v>8082</v>
      </c>
      <c r="C2828" s="3" t="s">
        <v>8083</v>
      </c>
      <c r="D2828" s="3" t="s">
        <v>8084</v>
      </c>
      <c r="E2828" s="3" t="s">
        <v>8085</v>
      </c>
      <c r="F2828" s="3" t="s">
        <v>77</v>
      </c>
      <c r="G2828" s="3"/>
      <c r="H2828" s="3" t="s">
        <v>27</v>
      </c>
      <c r="I2828" s="3"/>
      <c r="J2828" s="3" t="s">
        <v>19</v>
      </c>
      <c r="K2828" s="3" t="s">
        <v>20</v>
      </c>
      <c r="L2828" s="5" t="s">
        <v>8086</v>
      </c>
    </row>
    <row r="2829" customFormat="false" ht="11.9" hidden="false" customHeight="true" outlineLevel="0" collapsed="false">
      <c r="A2829" s="2" t="str">
        <f aca="false">HYPERLINK("https://www.fabsurplus.com/sdi_catalog/salesItemDetails.do?id=83827")</f>
        <v>https://www.fabsurplus.com/sdi_catalog/salesItemDetails.do?id=83827</v>
      </c>
      <c r="B2829" s="2" t="s">
        <v>8087</v>
      </c>
      <c r="C2829" s="2" t="s">
        <v>8083</v>
      </c>
      <c r="D2829" s="2" t="s">
        <v>8088</v>
      </c>
      <c r="E2829" s="2" t="s">
        <v>8085</v>
      </c>
      <c r="F2829" s="2" t="s">
        <v>16</v>
      </c>
      <c r="G2829" s="2" t="s">
        <v>17</v>
      </c>
      <c r="H2829" s="2" t="s">
        <v>27</v>
      </c>
      <c r="I2829" s="2"/>
      <c r="J2829" s="2" t="s">
        <v>19</v>
      </c>
      <c r="K2829" s="2" t="s">
        <v>20</v>
      </c>
      <c r="L2829" s="6" t="s">
        <v>8089</v>
      </c>
    </row>
    <row r="2830" customFormat="false" ht="11.9" hidden="false" customHeight="true" outlineLevel="0" collapsed="false">
      <c r="A2830" s="3" t="str">
        <f aca="false">HYPERLINK("https://www.fabsurplus.com/sdi_catalog/salesItemDetails.do?id=83833")</f>
        <v>https://www.fabsurplus.com/sdi_catalog/salesItemDetails.do?id=83833</v>
      </c>
      <c r="B2830" s="3" t="s">
        <v>8090</v>
      </c>
      <c r="C2830" s="3" t="s">
        <v>8091</v>
      </c>
      <c r="D2830" s="3" t="s">
        <v>8092</v>
      </c>
      <c r="E2830" s="3" t="s">
        <v>8093</v>
      </c>
      <c r="F2830" s="3" t="s">
        <v>16</v>
      </c>
      <c r="G2830" s="3" t="s">
        <v>41</v>
      </c>
      <c r="H2830" s="3" t="s">
        <v>18</v>
      </c>
      <c r="I2830" s="3"/>
      <c r="J2830" s="3" t="s">
        <v>19</v>
      </c>
      <c r="K2830" s="3" t="s">
        <v>20</v>
      </c>
      <c r="L2830" s="3" t="s">
        <v>8094</v>
      </c>
    </row>
    <row r="2831" customFormat="false" ht="11.9" hidden="false" customHeight="true" outlineLevel="0" collapsed="false">
      <c r="A2831" s="2" t="str">
        <f aca="false">HYPERLINK("https://www.fabsurplus.com/sdi_catalog/salesItemDetails.do?id=83831")</f>
        <v>https://www.fabsurplus.com/sdi_catalog/salesItemDetails.do?id=83831</v>
      </c>
      <c r="B2831" s="2" t="s">
        <v>8095</v>
      </c>
      <c r="C2831" s="2" t="s">
        <v>8091</v>
      </c>
      <c r="D2831" s="2" t="s">
        <v>8096</v>
      </c>
      <c r="E2831" s="2" t="s">
        <v>8097</v>
      </c>
      <c r="F2831" s="2" t="s">
        <v>16</v>
      </c>
      <c r="G2831" s="2" t="s">
        <v>41</v>
      </c>
      <c r="H2831" s="2" t="s">
        <v>18</v>
      </c>
      <c r="I2831" s="2"/>
      <c r="J2831" s="2" t="s">
        <v>19</v>
      </c>
      <c r="K2831" s="2" t="s">
        <v>20</v>
      </c>
      <c r="L2831" s="6" t="s">
        <v>8098</v>
      </c>
    </row>
    <row r="2832" customFormat="false" ht="11.9" hidden="false" customHeight="true" outlineLevel="0" collapsed="false">
      <c r="A2832" s="2" t="str">
        <f aca="false">HYPERLINK("https://www.fabsurplus.com/sdi_catalog/salesItemDetails.do?id=83641")</f>
        <v>https://www.fabsurplus.com/sdi_catalog/salesItemDetails.do?id=83641</v>
      </c>
      <c r="B2832" s="2" t="s">
        <v>8099</v>
      </c>
      <c r="C2832" s="2" t="s">
        <v>8100</v>
      </c>
      <c r="D2832" s="2" t="s">
        <v>8101</v>
      </c>
      <c r="E2832" s="2" t="s">
        <v>8102</v>
      </c>
      <c r="F2832" s="2" t="s">
        <v>16</v>
      </c>
      <c r="G2832" s="2" t="s">
        <v>41</v>
      </c>
      <c r="H2832" s="2" t="s">
        <v>18</v>
      </c>
      <c r="I2832" s="2"/>
      <c r="J2832" s="2" t="s">
        <v>19</v>
      </c>
      <c r="K2832" s="2" t="s">
        <v>20</v>
      </c>
      <c r="L2832" s="6" t="s">
        <v>8103</v>
      </c>
    </row>
    <row r="2833" customFormat="false" ht="11.9" hidden="false" customHeight="true" outlineLevel="0" collapsed="false">
      <c r="A2833" s="3" t="str">
        <f aca="false">HYPERLINK("https://www.fabsurplus.com/sdi_catalog/salesItemDetails.do?id=83640")</f>
        <v>https://www.fabsurplus.com/sdi_catalog/salesItemDetails.do?id=83640</v>
      </c>
      <c r="B2833" s="3" t="s">
        <v>8104</v>
      </c>
      <c r="C2833" s="3" t="s">
        <v>8105</v>
      </c>
      <c r="D2833" s="3" t="s">
        <v>8106</v>
      </c>
      <c r="E2833" s="3" t="s">
        <v>8107</v>
      </c>
      <c r="F2833" s="3" t="s">
        <v>16</v>
      </c>
      <c r="G2833" s="3" t="s">
        <v>8108</v>
      </c>
      <c r="H2833" s="3" t="s">
        <v>18</v>
      </c>
      <c r="I2833" s="3"/>
      <c r="J2833" s="3" t="s">
        <v>19</v>
      </c>
      <c r="K2833" s="3" t="s">
        <v>20</v>
      </c>
      <c r="L2833" s="5" t="s">
        <v>8109</v>
      </c>
    </row>
    <row r="2834" customFormat="false" ht="11.9" hidden="false" customHeight="true" outlineLevel="0" collapsed="false">
      <c r="A2834" s="2" t="str">
        <f aca="false">HYPERLINK("https://www.fabsurplus.com/sdi_catalog/salesItemDetails.do?id=77088")</f>
        <v>https://www.fabsurplus.com/sdi_catalog/salesItemDetails.do?id=77088</v>
      </c>
      <c r="B2834" s="2" t="s">
        <v>8110</v>
      </c>
      <c r="C2834" s="2" t="s">
        <v>8111</v>
      </c>
      <c r="D2834" s="2" t="s">
        <v>8112</v>
      </c>
      <c r="E2834" s="2" t="s">
        <v>8113</v>
      </c>
      <c r="F2834" s="2" t="s">
        <v>16</v>
      </c>
      <c r="G2834" s="2"/>
      <c r="H2834" s="2"/>
      <c r="I2834" s="2"/>
      <c r="J2834" s="2" t="s">
        <v>19</v>
      </c>
      <c r="K2834" s="2"/>
      <c r="L2834" s="2" t="s">
        <v>8114</v>
      </c>
    </row>
    <row r="2835" customFormat="false" ht="11.9" hidden="false" customHeight="true" outlineLevel="0" collapsed="false">
      <c r="A2835" s="2" t="str">
        <f aca="false">HYPERLINK("https://www.fabsurplus.com/sdi_catalog/salesItemDetails.do?id=115303")</f>
        <v>https://www.fabsurplus.com/sdi_catalog/salesItemDetails.do?id=115303</v>
      </c>
      <c r="B2835" s="2" t="s">
        <v>8115</v>
      </c>
      <c r="C2835" s="2" t="s">
        <v>8116</v>
      </c>
      <c r="D2835" s="2" t="s">
        <v>8117</v>
      </c>
      <c r="E2835" s="2" t="s">
        <v>8118</v>
      </c>
      <c r="F2835" s="2" t="s">
        <v>235</v>
      </c>
      <c r="G2835" s="2" t="s">
        <v>26</v>
      </c>
      <c r="H2835" s="2"/>
      <c r="I2835" s="2"/>
      <c r="J2835" s="2" t="s">
        <v>19</v>
      </c>
      <c r="K2835" s="2"/>
      <c r="L2835" s="2" t="s">
        <v>63</v>
      </c>
    </row>
    <row r="2836" customFormat="false" ht="11.9" hidden="false" customHeight="true" outlineLevel="0" collapsed="false">
      <c r="A2836" s="2" t="str">
        <f aca="false">HYPERLINK("https://www.fabsurplus.com/sdi_catalog/salesItemDetails.do?id=110561")</f>
        <v>https://www.fabsurplus.com/sdi_catalog/salesItemDetails.do?id=110561</v>
      </c>
      <c r="B2836" s="2" t="s">
        <v>8119</v>
      </c>
      <c r="C2836" s="2" t="s">
        <v>8120</v>
      </c>
      <c r="D2836" s="2" t="s">
        <v>8121</v>
      </c>
      <c r="E2836" s="2" t="s">
        <v>133</v>
      </c>
      <c r="F2836" s="2" t="s">
        <v>16</v>
      </c>
      <c r="G2836" s="2" t="s">
        <v>41</v>
      </c>
      <c r="H2836" s="2"/>
      <c r="I2836" s="2"/>
      <c r="J2836" s="2" t="s">
        <v>42</v>
      </c>
      <c r="K2836" s="2"/>
      <c r="L2836" s="6" t="s">
        <v>8122</v>
      </c>
    </row>
    <row r="2837" customFormat="false" ht="11.9" hidden="false" customHeight="true" outlineLevel="0" collapsed="false">
      <c r="A2837" s="3" t="str">
        <f aca="false">HYPERLINK("https://www.fabsurplus.com/sdi_catalog/salesItemDetails.do?id=110560")</f>
        <v>https://www.fabsurplus.com/sdi_catalog/salesItemDetails.do?id=110560</v>
      </c>
      <c r="B2837" s="3" t="s">
        <v>8123</v>
      </c>
      <c r="C2837" s="3" t="s">
        <v>8120</v>
      </c>
      <c r="D2837" s="3" t="s">
        <v>8121</v>
      </c>
      <c r="E2837" s="3" t="s">
        <v>133</v>
      </c>
      <c r="F2837" s="3" t="s">
        <v>16</v>
      </c>
      <c r="G2837" s="3" t="s">
        <v>41</v>
      </c>
      <c r="H2837" s="3"/>
      <c r="I2837" s="3"/>
      <c r="J2837" s="3" t="s">
        <v>42</v>
      </c>
      <c r="K2837" s="3"/>
      <c r="L2837" s="5" t="s">
        <v>8122</v>
      </c>
    </row>
    <row r="2838" customFormat="false" ht="11.9" hidden="false" customHeight="true" outlineLevel="0" collapsed="false">
      <c r="A2838" s="2" t="str">
        <f aca="false">HYPERLINK("https://www.fabsurplus.com/sdi_catalog/salesItemDetails.do?id=110559")</f>
        <v>https://www.fabsurplus.com/sdi_catalog/salesItemDetails.do?id=110559</v>
      </c>
      <c r="B2838" s="2" t="s">
        <v>8124</v>
      </c>
      <c r="C2838" s="2" t="s">
        <v>8120</v>
      </c>
      <c r="D2838" s="2" t="s">
        <v>8121</v>
      </c>
      <c r="E2838" s="2" t="s">
        <v>133</v>
      </c>
      <c r="F2838" s="2" t="s">
        <v>16</v>
      </c>
      <c r="G2838" s="2" t="s">
        <v>41</v>
      </c>
      <c r="H2838" s="2"/>
      <c r="I2838" s="2"/>
      <c r="J2838" s="2" t="s">
        <v>42</v>
      </c>
      <c r="K2838" s="2"/>
      <c r="L2838" s="6" t="s">
        <v>8122</v>
      </c>
    </row>
    <row r="2839" customFormat="false" ht="11.9" hidden="false" customHeight="true" outlineLevel="0" collapsed="false">
      <c r="A2839" s="3" t="str">
        <f aca="false">HYPERLINK("https://www.fabsurplus.com/sdi_catalog/salesItemDetails.do?id=110558")</f>
        <v>https://www.fabsurplus.com/sdi_catalog/salesItemDetails.do?id=110558</v>
      </c>
      <c r="B2839" s="3" t="s">
        <v>8125</v>
      </c>
      <c r="C2839" s="3" t="s">
        <v>8120</v>
      </c>
      <c r="D2839" s="3" t="s">
        <v>8121</v>
      </c>
      <c r="E2839" s="3" t="s">
        <v>133</v>
      </c>
      <c r="F2839" s="3" t="s">
        <v>16</v>
      </c>
      <c r="G2839" s="3" t="s">
        <v>41</v>
      </c>
      <c r="H2839" s="3"/>
      <c r="I2839" s="3"/>
      <c r="J2839" s="3" t="s">
        <v>42</v>
      </c>
      <c r="K2839" s="3"/>
      <c r="L2839" s="5" t="s">
        <v>8122</v>
      </c>
    </row>
    <row r="2840" customFormat="false" ht="11.9" hidden="false" customHeight="true" outlineLevel="0" collapsed="false">
      <c r="A2840" s="2" t="str">
        <f aca="false">HYPERLINK("https://www.fabsurplus.com/sdi_catalog/salesItemDetails.do?id=110557")</f>
        <v>https://www.fabsurplus.com/sdi_catalog/salesItemDetails.do?id=110557</v>
      </c>
      <c r="B2840" s="2" t="s">
        <v>8126</v>
      </c>
      <c r="C2840" s="2" t="s">
        <v>8120</v>
      </c>
      <c r="D2840" s="2" t="s">
        <v>8121</v>
      </c>
      <c r="E2840" s="2" t="s">
        <v>133</v>
      </c>
      <c r="F2840" s="2" t="s">
        <v>16</v>
      </c>
      <c r="G2840" s="2" t="s">
        <v>41</v>
      </c>
      <c r="H2840" s="2"/>
      <c r="I2840" s="2"/>
      <c r="J2840" s="2" t="s">
        <v>42</v>
      </c>
      <c r="K2840" s="2"/>
      <c r="L2840" s="6" t="s">
        <v>8122</v>
      </c>
    </row>
    <row r="2841" customFormat="false" ht="11.9" hidden="false" customHeight="true" outlineLevel="0" collapsed="false">
      <c r="A2841" s="3" t="str">
        <f aca="false">HYPERLINK("https://www.fabsurplus.com/sdi_catalog/salesItemDetails.do?id=110556")</f>
        <v>https://www.fabsurplus.com/sdi_catalog/salesItemDetails.do?id=110556</v>
      </c>
      <c r="B2841" s="3" t="s">
        <v>8127</v>
      </c>
      <c r="C2841" s="3" t="s">
        <v>8120</v>
      </c>
      <c r="D2841" s="3" t="s">
        <v>8121</v>
      </c>
      <c r="E2841" s="3" t="s">
        <v>133</v>
      </c>
      <c r="F2841" s="3" t="s">
        <v>16</v>
      </c>
      <c r="G2841" s="3" t="s">
        <v>41</v>
      </c>
      <c r="H2841" s="3"/>
      <c r="I2841" s="3"/>
      <c r="J2841" s="3" t="s">
        <v>42</v>
      </c>
      <c r="K2841" s="3"/>
      <c r="L2841" s="5" t="s">
        <v>8122</v>
      </c>
    </row>
    <row r="2842" customFormat="false" ht="11.9" hidden="false" customHeight="true" outlineLevel="0" collapsed="false">
      <c r="A2842" s="3" t="str">
        <f aca="false">HYPERLINK("https://www.fabsurplus.com/sdi_catalog/salesItemDetails.do?id=110562")</f>
        <v>https://www.fabsurplus.com/sdi_catalog/salesItemDetails.do?id=110562</v>
      </c>
      <c r="B2842" s="3" t="s">
        <v>8128</v>
      </c>
      <c r="C2842" s="3" t="s">
        <v>8120</v>
      </c>
      <c r="D2842" s="3" t="s">
        <v>8129</v>
      </c>
      <c r="E2842" s="3" t="s">
        <v>133</v>
      </c>
      <c r="F2842" s="3" t="s">
        <v>16</v>
      </c>
      <c r="G2842" s="3" t="s">
        <v>41</v>
      </c>
      <c r="H2842" s="3"/>
      <c r="I2842" s="3"/>
      <c r="J2842" s="3" t="s">
        <v>42</v>
      </c>
      <c r="K2842" s="3"/>
      <c r="L2842" s="5" t="s">
        <v>8130</v>
      </c>
    </row>
    <row r="2843" customFormat="false" ht="11.9" hidden="false" customHeight="true" outlineLevel="0" collapsed="false">
      <c r="A2843" s="2" t="str">
        <f aca="false">HYPERLINK("https://www.fabsurplus.com/sdi_catalog/salesItemDetails.do?id=110563")</f>
        <v>https://www.fabsurplus.com/sdi_catalog/salesItemDetails.do?id=110563</v>
      </c>
      <c r="B2843" s="2" t="s">
        <v>8131</v>
      </c>
      <c r="C2843" s="2" t="s">
        <v>8120</v>
      </c>
      <c r="D2843" s="2" t="s">
        <v>8132</v>
      </c>
      <c r="E2843" s="2" t="s">
        <v>133</v>
      </c>
      <c r="F2843" s="2" t="s">
        <v>16</v>
      </c>
      <c r="G2843" s="2" t="s">
        <v>41</v>
      </c>
      <c r="H2843" s="2"/>
      <c r="I2843" s="2"/>
      <c r="J2843" s="2" t="s">
        <v>42</v>
      </c>
      <c r="K2843" s="2"/>
      <c r="L2843" s="2" t="s">
        <v>8133</v>
      </c>
    </row>
    <row r="2844" customFormat="false" ht="11.9" hidden="false" customHeight="true" outlineLevel="0" collapsed="false">
      <c r="A2844" s="3" t="str">
        <f aca="false">HYPERLINK("https://www.fabsurplus.com/sdi_catalog/salesItemDetails.do?id=110564")</f>
        <v>https://www.fabsurplus.com/sdi_catalog/salesItemDetails.do?id=110564</v>
      </c>
      <c r="B2844" s="3" t="s">
        <v>8134</v>
      </c>
      <c r="C2844" s="3" t="s">
        <v>8120</v>
      </c>
      <c r="D2844" s="3" t="s">
        <v>8135</v>
      </c>
      <c r="E2844" s="3" t="s">
        <v>133</v>
      </c>
      <c r="F2844" s="3" t="s">
        <v>16</v>
      </c>
      <c r="G2844" s="3" t="s">
        <v>41</v>
      </c>
      <c r="H2844" s="3"/>
      <c r="I2844" s="3"/>
      <c r="J2844" s="3" t="s">
        <v>42</v>
      </c>
      <c r="K2844" s="3"/>
      <c r="L2844" s="3" t="s">
        <v>349</v>
      </c>
    </row>
    <row r="2845" customFormat="false" ht="11.9" hidden="false" customHeight="true" outlineLevel="0" collapsed="false">
      <c r="A2845" s="3" t="str">
        <f aca="false">HYPERLINK("https://www.fabsurplus.com/sdi_catalog/salesItemDetails.do?id=110566")</f>
        <v>https://www.fabsurplus.com/sdi_catalog/salesItemDetails.do?id=110566</v>
      </c>
      <c r="B2845" s="3" t="s">
        <v>8136</v>
      </c>
      <c r="C2845" s="3" t="s">
        <v>8120</v>
      </c>
      <c r="D2845" s="3" t="s">
        <v>8137</v>
      </c>
      <c r="E2845" s="3" t="s">
        <v>133</v>
      </c>
      <c r="F2845" s="3" t="s">
        <v>16</v>
      </c>
      <c r="G2845" s="3" t="s">
        <v>41</v>
      </c>
      <c r="H2845" s="3"/>
      <c r="I2845" s="3"/>
      <c r="J2845" s="3" t="s">
        <v>42</v>
      </c>
      <c r="K2845" s="3"/>
      <c r="L2845" s="3" t="s">
        <v>8138</v>
      </c>
    </row>
    <row r="2846" customFormat="false" ht="11.9" hidden="false" customHeight="true" outlineLevel="0" collapsed="false">
      <c r="A2846" s="2" t="str">
        <f aca="false">HYPERLINK("https://www.fabsurplus.com/sdi_catalog/salesItemDetails.do?id=110565")</f>
        <v>https://www.fabsurplus.com/sdi_catalog/salesItemDetails.do?id=110565</v>
      </c>
      <c r="B2846" s="2" t="s">
        <v>8139</v>
      </c>
      <c r="C2846" s="2" t="s">
        <v>8120</v>
      </c>
      <c r="D2846" s="2" t="s">
        <v>8137</v>
      </c>
      <c r="E2846" s="2" t="s">
        <v>133</v>
      </c>
      <c r="F2846" s="2" t="s">
        <v>16</v>
      </c>
      <c r="G2846" s="2" t="s">
        <v>41</v>
      </c>
      <c r="H2846" s="2"/>
      <c r="I2846" s="2"/>
      <c r="J2846" s="2" t="s">
        <v>42</v>
      </c>
      <c r="K2846" s="2"/>
      <c r="L2846" s="2" t="s">
        <v>8138</v>
      </c>
    </row>
    <row r="2847" customFormat="false" ht="11.9" hidden="false" customHeight="true" outlineLevel="0" collapsed="false">
      <c r="A2847" s="2" t="str">
        <f aca="false">HYPERLINK("https://www.fabsurplus.com/sdi_catalog/salesItemDetails.do?id=110567")</f>
        <v>https://www.fabsurplus.com/sdi_catalog/salesItemDetails.do?id=110567</v>
      </c>
      <c r="B2847" s="2" t="s">
        <v>8140</v>
      </c>
      <c r="C2847" s="2" t="s">
        <v>8120</v>
      </c>
      <c r="D2847" s="2" t="s">
        <v>8141</v>
      </c>
      <c r="E2847" s="2" t="s">
        <v>133</v>
      </c>
      <c r="F2847" s="2" t="s">
        <v>16</v>
      </c>
      <c r="G2847" s="2" t="s">
        <v>41</v>
      </c>
      <c r="H2847" s="2"/>
      <c r="I2847" s="2"/>
      <c r="J2847" s="2" t="s">
        <v>42</v>
      </c>
      <c r="K2847" s="2"/>
      <c r="L2847" s="2" t="s">
        <v>8142</v>
      </c>
    </row>
    <row r="2848" customFormat="false" ht="11.9" hidden="false" customHeight="true" outlineLevel="0" collapsed="false">
      <c r="A2848" s="2" t="str">
        <f aca="false">HYPERLINK("https://www.fabsurplus.com/sdi_catalog/salesItemDetails.do?id=110550")</f>
        <v>https://www.fabsurplus.com/sdi_catalog/salesItemDetails.do?id=110550</v>
      </c>
      <c r="B2848" s="2" t="s">
        <v>8143</v>
      </c>
      <c r="C2848" s="2" t="s">
        <v>8120</v>
      </c>
      <c r="D2848" s="2" t="s">
        <v>8144</v>
      </c>
      <c r="E2848" s="2" t="s">
        <v>133</v>
      </c>
      <c r="F2848" s="2" t="s">
        <v>16</v>
      </c>
      <c r="G2848" s="2" t="s">
        <v>41</v>
      </c>
      <c r="H2848" s="2"/>
      <c r="I2848" s="2"/>
      <c r="J2848" s="2" t="s">
        <v>42</v>
      </c>
      <c r="K2848" s="2"/>
      <c r="L2848" s="2" t="s">
        <v>349</v>
      </c>
    </row>
    <row r="2849" customFormat="false" ht="11.9" hidden="false" customHeight="true" outlineLevel="0" collapsed="false">
      <c r="A2849" s="2" t="str">
        <f aca="false">HYPERLINK("https://www.fabsurplus.com/sdi_catalog/salesItemDetails.do?id=110552")</f>
        <v>https://www.fabsurplus.com/sdi_catalog/salesItemDetails.do?id=110552</v>
      </c>
      <c r="B2849" s="2" t="s">
        <v>8145</v>
      </c>
      <c r="C2849" s="2" t="s">
        <v>8120</v>
      </c>
      <c r="D2849" s="2" t="s">
        <v>8146</v>
      </c>
      <c r="E2849" s="2" t="s">
        <v>133</v>
      </c>
      <c r="F2849" s="2" t="s">
        <v>16</v>
      </c>
      <c r="G2849" s="2" t="s">
        <v>41</v>
      </c>
      <c r="H2849" s="2"/>
      <c r="I2849" s="2"/>
      <c r="J2849" s="2" t="s">
        <v>42</v>
      </c>
      <c r="K2849" s="2"/>
      <c r="L2849" s="2" t="s">
        <v>8147</v>
      </c>
    </row>
    <row r="2850" customFormat="false" ht="11.9" hidden="false" customHeight="true" outlineLevel="0" collapsed="false">
      <c r="A2850" s="2" t="str">
        <f aca="false">HYPERLINK("https://www.fabsurplus.com/sdi_catalog/salesItemDetails.do?id=110551")</f>
        <v>https://www.fabsurplus.com/sdi_catalog/salesItemDetails.do?id=110551</v>
      </c>
      <c r="B2850" s="2" t="s">
        <v>8148</v>
      </c>
      <c r="C2850" s="2" t="s">
        <v>8120</v>
      </c>
      <c r="D2850" s="2" t="s">
        <v>8146</v>
      </c>
      <c r="E2850" s="2" t="s">
        <v>133</v>
      </c>
      <c r="F2850" s="2" t="s">
        <v>16</v>
      </c>
      <c r="G2850" s="2" t="s">
        <v>41</v>
      </c>
      <c r="H2850" s="2"/>
      <c r="I2850" s="2"/>
      <c r="J2850" s="2" t="s">
        <v>42</v>
      </c>
      <c r="K2850" s="2"/>
      <c r="L2850" s="2" t="s">
        <v>8147</v>
      </c>
    </row>
    <row r="2851" customFormat="false" ht="11.9" hidden="false" customHeight="true" outlineLevel="0" collapsed="false">
      <c r="A2851" s="2" t="str">
        <f aca="false">HYPERLINK("https://www.fabsurplus.com/sdi_catalog/salesItemDetails.do?id=110554")</f>
        <v>https://www.fabsurplus.com/sdi_catalog/salesItemDetails.do?id=110554</v>
      </c>
      <c r="B2851" s="2" t="s">
        <v>8149</v>
      </c>
      <c r="C2851" s="2" t="s">
        <v>8120</v>
      </c>
      <c r="D2851" s="2" t="s">
        <v>8150</v>
      </c>
      <c r="E2851" s="2" t="s">
        <v>133</v>
      </c>
      <c r="F2851" s="2" t="s">
        <v>16</v>
      </c>
      <c r="G2851" s="2" t="s">
        <v>41</v>
      </c>
      <c r="H2851" s="2"/>
      <c r="I2851" s="2"/>
      <c r="J2851" s="2" t="s">
        <v>42</v>
      </c>
      <c r="K2851" s="2"/>
      <c r="L2851" s="6" t="s">
        <v>8151</v>
      </c>
    </row>
    <row r="2852" customFormat="false" ht="11.9" hidden="false" customHeight="true" outlineLevel="0" collapsed="false">
      <c r="A2852" s="2" t="str">
        <f aca="false">HYPERLINK("https://www.fabsurplus.com/sdi_catalog/salesItemDetails.do?id=110553")</f>
        <v>https://www.fabsurplus.com/sdi_catalog/salesItemDetails.do?id=110553</v>
      </c>
      <c r="B2852" s="2" t="s">
        <v>8152</v>
      </c>
      <c r="C2852" s="2" t="s">
        <v>8120</v>
      </c>
      <c r="D2852" s="2" t="s">
        <v>8150</v>
      </c>
      <c r="E2852" s="2" t="s">
        <v>133</v>
      </c>
      <c r="F2852" s="2" t="s">
        <v>16</v>
      </c>
      <c r="G2852" s="2" t="s">
        <v>41</v>
      </c>
      <c r="H2852" s="2"/>
      <c r="I2852" s="2"/>
      <c r="J2852" s="2" t="s">
        <v>42</v>
      </c>
      <c r="K2852" s="2"/>
      <c r="L2852" s="6" t="s">
        <v>8151</v>
      </c>
    </row>
    <row r="2853" customFormat="false" ht="11.9" hidden="false" customHeight="true" outlineLevel="0" collapsed="false">
      <c r="A2853" s="2" t="str">
        <f aca="false">HYPERLINK("https://www.fabsurplus.com/sdi_catalog/salesItemDetails.do?id=110555")</f>
        <v>https://www.fabsurplus.com/sdi_catalog/salesItemDetails.do?id=110555</v>
      </c>
      <c r="B2853" s="2" t="s">
        <v>8153</v>
      </c>
      <c r="C2853" s="2" t="s">
        <v>8120</v>
      </c>
      <c r="D2853" s="2" t="s">
        <v>8154</v>
      </c>
      <c r="E2853" s="2" t="s">
        <v>133</v>
      </c>
      <c r="F2853" s="2" t="s">
        <v>16</v>
      </c>
      <c r="G2853" s="2" t="s">
        <v>41</v>
      </c>
      <c r="H2853" s="2"/>
      <c r="I2853" s="2"/>
      <c r="J2853" s="2" t="s">
        <v>42</v>
      </c>
      <c r="K2853" s="2"/>
      <c r="L2853" s="2" t="s">
        <v>8155</v>
      </c>
    </row>
    <row r="2854" customFormat="false" ht="11.9" hidden="false" customHeight="true" outlineLevel="0" collapsed="false">
      <c r="A2854" s="3" t="str">
        <f aca="false">HYPERLINK("https://www.fabsurplus.com/sdi_catalog/salesItemDetails.do?id=110568")</f>
        <v>https://www.fabsurplus.com/sdi_catalog/salesItemDetails.do?id=110568</v>
      </c>
      <c r="B2854" s="3" t="s">
        <v>8156</v>
      </c>
      <c r="C2854" s="3" t="s">
        <v>8120</v>
      </c>
      <c r="D2854" s="3" t="s">
        <v>8157</v>
      </c>
      <c r="E2854" s="3" t="s">
        <v>133</v>
      </c>
      <c r="F2854" s="3" t="s">
        <v>16</v>
      </c>
      <c r="G2854" s="3" t="s">
        <v>41</v>
      </c>
      <c r="H2854" s="3"/>
      <c r="I2854" s="3"/>
      <c r="J2854" s="3" t="s">
        <v>42</v>
      </c>
      <c r="K2854" s="3"/>
      <c r="L2854" s="3" t="s">
        <v>8158</v>
      </c>
    </row>
    <row r="2855" customFormat="false" ht="11.9" hidden="false" customHeight="true" outlineLevel="0" collapsed="false">
      <c r="A2855" s="2" t="str">
        <f aca="false">HYPERLINK("https://www.fabsurplus.com/sdi_catalog/salesItemDetails.do?id=110569")</f>
        <v>https://www.fabsurplus.com/sdi_catalog/salesItemDetails.do?id=110569</v>
      </c>
      <c r="B2855" s="2" t="s">
        <v>8159</v>
      </c>
      <c r="C2855" s="2" t="s">
        <v>8120</v>
      </c>
      <c r="D2855" s="2" t="s">
        <v>8160</v>
      </c>
      <c r="E2855" s="2" t="s">
        <v>133</v>
      </c>
      <c r="F2855" s="2" t="s">
        <v>16</v>
      </c>
      <c r="G2855" s="2" t="s">
        <v>41</v>
      </c>
      <c r="H2855" s="2"/>
      <c r="I2855" s="2"/>
      <c r="J2855" s="2" t="s">
        <v>42</v>
      </c>
      <c r="K2855" s="2"/>
      <c r="L2855" s="2" t="s">
        <v>8161</v>
      </c>
    </row>
    <row r="2856" customFormat="false" ht="11.9" hidden="false" customHeight="true" outlineLevel="0" collapsed="false">
      <c r="A2856" s="3" t="str">
        <f aca="false">HYPERLINK("https://www.fabsurplus.com/sdi_catalog/salesItemDetails.do?id=110570")</f>
        <v>https://www.fabsurplus.com/sdi_catalog/salesItemDetails.do?id=110570</v>
      </c>
      <c r="B2856" s="3" t="s">
        <v>8162</v>
      </c>
      <c r="C2856" s="3" t="s">
        <v>8120</v>
      </c>
      <c r="D2856" s="3" t="s">
        <v>8163</v>
      </c>
      <c r="E2856" s="3" t="s">
        <v>40</v>
      </c>
      <c r="F2856" s="3" t="s">
        <v>16</v>
      </c>
      <c r="G2856" s="3" t="s">
        <v>41</v>
      </c>
      <c r="H2856" s="3"/>
      <c r="I2856" s="3"/>
      <c r="J2856" s="3" t="s">
        <v>42</v>
      </c>
      <c r="K2856" s="3"/>
      <c r="L2856" s="5" t="s">
        <v>8164</v>
      </c>
    </row>
    <row r="2857" customFormat="false" ht="11.9" hidden="false" customHeight="true" outlineLevel="0" collapsed="false">
      <c r="A2857" s="3" t="str">
        <f aca="false">HYPERLINK("https://www.fabsurplus.com/sdi_catalog/salesItemDetails.do?id=110576")</f>
        <v>https://www.fabsurplus.com/sdi_catalog/salesItemDetails.do?id=110576</v>
      </c>
      <c r="B2857" s="3" t="s">
        <v>8165</v>
      </c>
      <c r="C2857" s="3" t="s">
        <v>8120</v>
      </c>
      <c r="D2857" s="3" t="s">
        <v>8166</v>
      </c>
      <c r="E2857" s="3" t="s">
        <v>40</v>
      </c>
      <c r="F2857" s="3" t="s">
        <v>16</v>
      </c>
      <c r="G2857" s="3" t="s">
        <v>41</v>
      </c>
      <c r="H2857" s="3"/>
      <c r="I2857" s="3"/>
      <c r="J2857" s="3" t="s">
        <v>42</v>
      </c>
      <c r="K2857" s="3"/>
      <c r="L2857" s="5" t="s">
        <v>8167</v>
      </c>
    </row>
    <row r="2858" customFormat="false" ht="11.9" hidden="false" customHeight="true" outlineLevel="0" collapsed="false">
      <c r="A2858" s="2" t="str">
        <f aca="false">HYPERLINK("https://www.fabsurplus.com/sdi_catalog/salesItemDetails.do?id=110575")</f>
        <v>https://www.fabsurplus.com/sdi_catalog/salesItemDetails.do?id=110575</v>
      </c>
      <c r="B2858" s="2" t="s">
        <v>8168</v>
      </c>
      <c r="C2858" s="2" t="s">
        <v>8120</v>
      </c>
      <c r="D2858" s="2" t="s">
        <v>8166</v>
      </c>
      <c r="E2858" s="2" t="s">
        <v>40</v>
      </c>
      <c r="F2858" s="2" t="s">
        <v>16</v>
      </c>
      <c r="G2858" s="2" t="s">
        <v>41</v>
      </c>
      <c r="H2858" s="2"/>
      <c r="I2858" s="2"/>
      <c r="J2858" s="2" t="s">
        <v>42</v>
      </c>
      <c r="K2858" s="2"/>
      <c r="L2858" s="6" t="s">
        <v>8167</v>
      </c>
    </row>
    <row r="2859" customFormat="false" ht="11.9" hidden="false" customHeight="true" outlineLevel="0" collapsed="false">
      <c r="A2859" s="3" t="str">
        <f aca="false">HYPERLINK("https://www.fabsurplus.com/sdi_catalog/salesItemDetails.do?id=110574")</f>
        <v>https://www.fabsurplus.com/sdi_catalog/salesItemDetails.do?id=110574</v>
      </c>
      <c r="B2859" s="3" t="s">
        <v>8169</v>
      </c>
      <c r="C2859" s="3" t="s">
        <v>8120</v>
      </c>
      <c r="D2859" s="3" t="s">
        <v>8166</v>
      </c>
      <c r="E2859" s="3" t="s">
        <v>40</v>
      </c>
      <c r="F2859" s="3" t="s">
        <v>16</v>
      </c>
      <c r="G2859" s="3" t="s">
        <v>41</v>
      </c>
      <c r="H2859" s="3"/>
      <c r="I2859" s="3"/>
      <c r="J2859" s="3" t="s">
        <v>42</v>
      </c>
      <c r="K2859" s="3"/>
      <c r="L2859" s="5" t="s">
        <v>8167</v>
      </c>
    </row>
    <row r="2860" customFormat="false" ht="11.9" hidden="false" customHeight="true" outlineLevel="0" collapsed="false">
      <c r="A2860" s="2" t="str">
        <f aca="false">HYPERLINK("https://www.fabsurplus.com/sdi_catalog/salesItemDetails.do?id=110573")</f>
        <v>https://www.fabsurplus.com/sdi_catalog/salesItemDetails.do?id=110573</v>
      </c>
      <c r="B2860" s="2" t="s">
        <v>8170</v>
      </c>
      <c r="C2860" s="2" t="s">
        <v>8120</v>
      </c>
      <c r="D2860" s="2" t="s">
        <v>8166</v>
      </c>
      <c r="E2860" s="2" t="s">
        <v>40</v>
      </c>
      <c r="F2860" s="2" t="s">
        <v>16</v>
      </c>
      <c r="G2860" s="2" t="s">
        <v>41</v>
      </c>
      <c r="H2860" s="2"/>
      <c r="I2860" s="2"/>
      <c r="J2860" s="2" t="s">
        <v>42</v>
      </c>
      <c r="K2860" s="2"/>
      <c r="L2860" s="6" t="s">
        <v>8167</v>
      </c>
    </row>
    <row r="2861" customFormat="false" ht="11.9" hidden="false" customHeight="true" outlineLevel="0" collapsed="false">
      <c r="A2861" s="3" t="str">
        <f aca="false">HYPERLINK("https://www.fabsurplus.com/sdi_catalog/salesItemDetails.do?id=110572")</f>
        <v>https://www.fabsurplus.com/sdi_catalog/salesItemDetails.do?id=110572</v>
      </c>
      <c r="B2861" s="3" t="s">
        <v>8171</v>
      </c>
      <c r="C2861" s="3" t="s">
        <v>8120</v>
      </c>
      <c r="D2861" s="3" t="s">
        <v>8166</v>
      </c>
      <c r="E2861" s="3" t="s">
        <v>40</v>
      </c>
      <c r="F2861" s="3" t="s">
        <v>16</v>
      </c>
      <c r="G2861" s="3" t="s">
        <v>41</v>
      </c>
      <c r="H2861" s="3"/>
      <c r="I2861" s="3"/>
      <c r="J2861" s="3" t="s">
        <v>42</v>
      </c>
      <c r="K2861" s="3"/>
      <c r="L2861" s="5" t="s">
        <v>8167</v>
      </c>
    </row>
    <row r="2862" customFormat="false" ht="11.9" hidden="false" customHeight="true" outlineLevel="0" collapsed="false">
      <c r="A2862" s="2" t="str">
        <f aca="false">HYPERLINK("https://www.fabsurplus.com/sdi_catalog/salesItemDetails.do?id=110571")</f>
        <v>https://www.fabsurplus.com/sdi_catalog/salesItemDetails.do?id=110571</v>
      </c>
      <c r="B2862" s="2" t="s">
        <v>8172</v>
      </c>
      <c r="C2862" s="2" t="s">
        <v>8120</v>
      </c>
      <c r="D2862" s="2" t="s">
        <v>8166</v>
      </c>
      <c r="E2862" s="2" t="s">
        <v>40</v>
      </c>
      <c r="F2862" s="2" t="s">
        <v>16</v>
      </c>
      <c r="G2862" s="2" t="s">
        <v>41</v>
      </c>
      <c r="H2862" s="2"/>
      <c r="I2862" s="2"/>
      <c r="J2862" s="2" t="s">
        <v>42</v>
      </c>
      <c r="K2862" s="2"/>
      <c r="L2862" s="6" t="s">
        <v>8167</v>
      </c>
    </row>
    <row r="2863" customFormat="false" ht="11.9" hidden="false" customHeight="true" outlineLevel="0" collapsed="false">
      <c r="A2863" s="2" t="str">
        <f aca="false">HYPERLINK("https://www.fabsurplus.com/sdi_catalog/salesItemDetails.do?id=110577")</f>
        <v>https://www.fabsurplus.com/sdi_catalog/salesItemDetails.do?id=110577</v>
      </c>
      <c r="B2863" s="2" t="s">
        <v>8173</v>
      </c>
      <c r="C2863" s="2" t="s">
        <v>8120</v>
      </c>
      <c r="D2863" s="2" t="s">
        <v>8174</v>
      </c>
      <c r="E2863" s="2" t="s">
        <v>133</v>
      </c>
      <c r="F2863" s="2" t="s">
        <v>16</v>
      </c>
      <c r="G2863" s="2" t="s">
        <v>41</v>
      </c>
      <c r="H2863" s="2"/>
      <c r="I2863" s="2"/>
      <c r="J2863" s="2" t="s">
        <v>42</v>
      </c>
      <c r="K2863" s="2"/>
      <c r="L2863" s="6" t="s">
        <v>8175</v>
      </c>
    </row>
    <row r="2864" customFormat="false" ht="11.9" hidden="false" customHeight="true" outlineLevel="0" collapsed="false">
      <c r="A2864" s="3" t="str">
        <f aca="false">HYPERLINK("https://www.fabsurplus.com/sdi_catalog/salesItemDetails.do?id=110578")</f>
        <v>https://www.fabsurplus.com/sdi_catalog/salesItemDetails.do?id=110578</v>
      </c>
      <c r="B2864" s="3" t="s">
        <v>8176</v>
      </c>
      <c r="C2864" s="3" t="s">
        <v>8177</v>
      </c>
      <c r="D2864" s="3" t="s">
        <v>8178</v>
      </c>
      <c r="E2864" s="3" t="s">
        <v>133</v>
      </c>
      <c r="F2864" s="3" t="s">
        <v>16</v>
      </c>
      <c r="G2864" s="3" t="s">
        <v>41</v>
      </c>
      <c r="H2864" s="3"/>
      <c r="I2864" s="3"/>
      <c r="J2864" s="3" t="s">
        <v>42</v>
      </c>
      <c r="K2864" s="3"/>
      <c r="L2864" s="3" t="s">
        <v>8179</v>
      </c>
    </row>
    <row r="2865" customFormat="false" ht="11.9" hidden="false" customHeight="true" outlineLevel="0" collapsed="false">
      <c r="A2865" s="3" t="str">
        <f aca="false">HYPERLINK("https://www.fabsurplus.com/sdi_catalog/salesItemDetails.do?id=110580")</f>
        <v>https://www.fabsurplus.com/sdi_catalog/salesItemDetails.do?id=110580</v>
      </c>
      <c r="B2865" s="3" t="s">
        <v>8180</v>
      </c>
      <c r="C2865" s="3" t="s">
        <v>8177</v>
      </c>
      <c r="D2865" s="3" t="s">
        <v>8146</v>
      </c>
      <c r="E2865" s="3" t="s">
        <v>133</v>
      </c>
      <c r="F2865" s="3" t="s">
        <v>16</v>
      </c>
      <c r="G2865" s="3" t="s">
        <v>41</v>
      </c>
      <c r="H2865" s="3"/>
      <c r="I2865" s="3"/>
      <c r="J2865" s="3" t="s">
        <v>42</v>
      </c>
      <c r="K2865" s="3"/>
      <c r="L2865" s="3" t="s">
        <v>8147</v>
      </c>
    </row>
    <row r="2866" customFormat="false" ht="11.9" hidden="false" customHeight="true" outlineLevel="0" collapsed="false">
      <c r="A2866" s="2" t="str">
        <f aca="false">HYPERLINK("https://www.fabsurplus.com/sdi_catalog/salesItemDetails.do?id=110579")</f>
        <v>https://www.fabsurplus.com/sdi_catalog/salesItemDetails.do?id=110579</v>
      </c>
      <c r="B2866" s="2" t="s">
        <v>8181</v>
      </c>
      <c r="C2866" s="2" t="s">
        <v>8177</v>
      </c>
      <c r="D2866" s="2" t="s">
        <v>8146</v>
      </c>
      <c r="E2866" s="2" t="s">
        <v>133</v>
      </c>
      <c r="F2866" s="2" t="s">
        <v>16</v>
      </c>
      <c r="G2866" s="2" t="s">
        <v>41</v>
      </c>
      <c r="H2866" s="2"/>
      <c r="I2866" s="2"/>
      <c r="J2866" s="2" t="s">
        <v>42</v>
      </c>
      <c r="K2866" s="2"/>
      <c r="L2866" s="2" t="s">
        <v>8147</v>
      </c>
    </row>
    <row r="2867" customFormat="false" ht="11.9" hidden="false" customHeight="true" outlineLevel="0" collapsed="false">
      <c r="A2867" s="2" t="str">
        <f aca="false">HYPERLINK("https://www.fabsurplus.com/sdi_catalog/salesItemDetails.do?id=110583")</f>
        <v>https://www.fabsurplus.com/sdi_catalog/salesItemDetails.do?id=110583</v>
      </c>
      <c r="B2867" s="2" t="s">
        <v>8182</v>
      </c>
      <c r="C2867" s="2" t="s">
        <v>8183</v>
      </c>
      <c r="D2867" s="2" t="s">
        <v>8184</v>
      </c>
      <c r="E2867" s="2" t="s">
        <v>133</v>
      </c>
      <c r="F2867" s="2" t="s">
        <v>16</v>
      </c>
      <c r="G2867" s="2" t="s">
        <v>41</v>
      </c>
      <c r="H2867" s="2"/>
      <c r="I2867" s="2"/>
      <c r="J2867" s="2" t="s">
        <v>42</v>
      </c>
      <c r="K2867" s="2"/>
      <c r="L2867" s="2" t="s">
        <v>8185</v>
      </c>
    </row>
    <row r="2868" customFormat="false" ht="11.9" hidden="false" customHeight="true" outlineLevel="0" collapsed="false">
      <c r="A2868" s="3" t="str">
        <f aca="false">HYPERLINK("https://www.fabsurplus.com/sdi_catalog/salesItemDetails.do?id=110582")</f>
        <v>https://www.fabsurplus.com/sdi_catalog/salesItemDetails.do?id=110582</v>
      </c>
      <c r="B2868" s="3" t="s">
        <v>8186</v>
      </c>
      <c r="C2868" s="3" t="s">
        <v>8183</v>
      </c>
      <c r="D2868" s="3" t="s">
        <v>8184</v>
      </c>
      <c r="E2868" s="3" t="s">
        <v>133</v>
      </c>
      <c r="F2868" s="3" t="s">
        <v>16</v>
      </c>
      <c r="G2868" s="3" t="s">
        <v>41</v>
      </c>
      <c r="H2868" s="3"/>
      <c r="I2868" s="3"/>
      <c r="J2868" s="3" t="s">
        <v>42</v>
      </c>
      <c r="K2868" s="3"/>
      <c r="L2868" s="3" t="s">
        <v>8185</v>
      </c>
    </row>
    <row r="2869" customFormat="false" ht="11.9" hidden="false" customHeight="true" outlineLevel="0" collapsed="false">
      <c r="A2869" s="2" t="str">
        <f aca="false">HYPERLINK("https://www.fabsurplus.com/sdi_catalog/salesItemDetails.do?id=110581")</f>
        <v>https://www.fabsurplus.com/sdi_catalog/salesItemDetails.do?id=110581</v>
      </c>
      <c r="B2869" s="2" t="s">
        <v>8187</v>
      </c>
      <c r="C2869" s="2" t="s">
        <v>8183</v>
      </c>
      <c r="D2869" s="2" t="s">
        <v>8184</v>
      </c>
      <c r="E2869" s="2" t="s">
        <v>133</v>
      </c>
      <c r="F2869" s="2" t="s">
        <v>16</v>
      </c>
      <c r="G2869" s="2" t="s">
        <v>41</v>
      </c>
      <c r="H2869" s="2"/>
      <c r="I2869" s="2"/>
      <c r="J2869" s="2" t="s">
        <v>42</v>
      </c>
      <c r="K2869" s="2"/>
      <c r="L2869" s="2" t="s">
        <v>8185</v>
      </c>
    </row>
    <row r="2870" customFormat="false" ht="11.9" hidden="false" customHeight="true" outlineLevel="0" collapsed="false">
      <c r="A2870" s="2" t="str">
        <f aca="false">HYPERLINK("https://www.fabsurplus.com/sdi_catalog/salesItemDetails.do?id=110585")</f>
        <v>https://www.fabsurplus.com/sdi_catalog/salesItemDetails.do?id=110585</v>
      </c>
      <c r="B2870" s="2" t="s">
        <v>8188</v>
      </c>
      <c r="C2870" s="2" t="s">
        <v>8189</v>
      </c>
      <c r="D2870" s="2" t="s">
        <v>8190</v>
      </c>
      <c r="E2870" s="2" t="s">
        <v>47</v>
      </c>
      <c r="F2870" s="2" t="s">
        <v>16</v>
      </c>
      <c r="G2870" s="2" t="s">
        <v>41</v>
      </c>
      <c r="H2870" s="2" t="s">
        <v>138</v>
      </c>
      <c r="I2870" s="2"/>
      <c r="J2870" s="2" t="s">
        <v>139</v>
      </c>
      <c r="K2870" s="2" t="s">
        <v>20</v>
      </c>
      <c r="L2870" s="6" t="s">
        <v>8191</v>
      </c>
    </row>
    <row r="2871" customFormat="false" ht="11.9" hidden="false" customHeight="true" outlineLevel="0" collapsed="false">
      <c r="A2871" s="3" t="str">
        <f aca="false">HYPERLINK("https://www.fabsurplus.com/sdi_catalog/salesItemDetails.do?id=110584")</f>
        <v>https://www.fabsurplus.com/sdi_catalog/salesItemDetails.do?id=110584</v>
      </c>
      <c r="B2871" s="3" t="s">
        <v>8192</v>
      </c>
      <c r="C2871" s="3" t="s">
        <v>8189</v>
      </c>
      <c r="D2871" s="3" t="s">
        <v>8190</v>
      </c>
      <c r="E2871" s="3" t="s">
        <v>47</v>
      </c>
      <c r="F2871" s="3" t="s">
        <v>16</v>
      </c>
      <c r="G2871" s="3" t="s">
        <v>41</v>
      </c>
      <c r="H2871" s="3"/>
      <c r="I2871" s="3"/>
      <c r="J2871" s="3" t="s">
        <v>42</v>
      </c>
      <c r="K2871" s="3"/>
      <c r="L2871" s="3" t="s">
        <v>8193</v>
      </c>
    </row>
    <row r="2872" customFormat="false" ht="11.9" hidden="false" customHeight="true" outlineLevel="0" collapsed="false">
      <c r="A2872" s="3" t="str">
        <f aca="false">HYPERLINK("https://www.fabsurplus.com/sdi_catalog/salesItemDetails.do?id=84370")</f>
        <v>https://www.fabsurplus.com/sdi_catalog/salesItemDetails.do?id=84370</v>
      </c>
      <c r="B2872" s="3" t="s">
        <v>8194</v>
      </c>
      <c r="C2872" s="3" t="s">
        <v>8195</v>
      </c>
      <c r="D2872" s="3" t="s">
        <v>8196</v>
      </c>
      <c r="E2872" s="3" t="s">
        <v>8197</v>
      </c>
      <c r="F2872" s="3" t="s">
        <v>16</v>
      </c>
      <c r="G2872" s="3" t="s">
        <v>26</v>
      </c>
      <c r="H2872" s="3" t="s">
        <v>27</v>
      </c>
      <c r="I2872" s="3"/>
      <c r="J2872" s="3" t="s">
        <v>19</v>
      </c>
      <c r="K2872" s="3" t="s">
        <v>20</v>
      </c>
      <c r="L2872" s="5" t="s">
        <v>8198</v>
      </c>
    </row>
    <row r="2873" customFormat="false" ht="11.9" hidden="false" customHeight="true" outlineLevel="0" collapsed="false">
      <c r="A2873" s="2" t="str">
        <f aca="false">HYPERLINK("https://www.fabsurplus.com/sdi_catalog/salesItemDetails.do?id=84078")</f>
        <v>https://www.fabsurplus.com/sdi_catalog/salesItemDetails.do?id=84078</v>
      </c>
      <c r="B2873" s="2" t="s">
        <v>8199</v>
      </c>
      <c r="C2873" s="2" t="s">
        <v>8200</v>
      </c>
      <c r="D2873" s="2" t="s">
        <v>8201</v>
      </c>
      <c r="E2873" s="2" t="s">
        <v>8202</v>
      </c>
      <c r="F2873" s="2" t="s">
        <v>16</v>
      </c>
      <c r="G2873" s="2" t="s">
        <v>26</v>
      </c>
      <c r="H2873" s="2" t="s">
        <v>27</v>
      </c>
      <c r="I2873" s="7" t="n">
        <v>34699.9583333333</v>
      </c>
      <c r="J2873" s="2" t="s">
        <v>19</v>
      </c>
      <c r="K2873" s="2" t="s">
        <v>20</v>
      </c>
      <c r="L2873" s="6" t="s">
        <v>8203</v>
      </c>
    </row>
    <row r="2874" customFormat="false" ht="11.9" hidden="false" customHeight="true" outlineLevel="0" collapsed="false">
      <c r="A2874" s="3" t="str">
        <f aca="false">HYPERLINK("https://www.fabsurplus.com/sdi_catalog/salesItemDetails.do?id=87615")</f>
        <v>https://www.fabsurplus.com/sdi_catalog/salesItemDetails.do?id=87615</v>
      </c>
      <c r="B2874" s="3" t="s">
        <v>8204</v>
      </c>
      <c r="C2874" s="3" t="s">
        <v>8205</v>
      </c>
      <c r="D2874" s="3" t="s">
        <v>8206</v>
      </c>
      <c r="E2874" s="3" t="s">
        <v>8207</v>
      </c>
      <c r="F2874" s="3" t="s">
        <v>16</v>
      </c>
      <c r="G2874" s="3" t="s">
        <v>7632</v>
      </c>
      <c r="H2874" s="3" t="s">
        <v>35</v>
      </c>
      <c r="I2874" s="4" t="n">
        <v>33755.9166666667</v>
      </c>
      <c r="J2874" s="3" t="s">
        <v>19</v>
      </c>
      <c r="K2874" s="3" t="s">
        <v>20</v>
      </c>
      <c r="L2874" s="5" t="s">
        <v>8208</v>
      </c>
    </row>
    <row r="2875" customFormat="false" ht="11.9" hidden="false" customHeight="true" outlineLevel="0" collapsed="false">
      <c r="A2875" s="3" t="str">
        <f aca="false">HYPERLINK("https://www.fabsurplus.com/sdi_catalog/salesItemDetails.do?id=110589")</f>
        <v>https://www.fabsurplus.com/sdi_catalog/salesItemDetails.do?id=110589</v>
      </c>
      <c r="B2875" s="3" t="s">
        <v>8209</v>
      </c>
      <c r="C2875" s="3" t="s">
        <v>8210</v>
      </c>
      <c r="D2875" s="3" t="s">
        <v>4920</v>
      </c>
      <c r="E2875" s="3" t="s">
        <v>3358</v>
      </c>
      <c r="F2875" s="3" t="s">
        <v>16</v>
      </c>
      <c r="G2875" s="3" t="s">
        <v>41</v>
      </c>
      <c r="H2875" s="3"/>
      <c r="I2875" s="3"/>
      <c r="J2875" s="3" t="s">
        <v>42</v>
      </c>
      <c r="K2875" s="3"/>
      <c r="L2875" s="3" t="s">
        <v>8211</v>
      </c>
    </row>
    <row r="2876" customFormat="false" ht="11.9" hidden="false" customHeight="true" outlineLevel="0" collapsed="false">
      <c r="A2876" s="2" t="str">
        <f aca="false">HYPERLINK("https://www.fabsurplus.com/sdi_catalog/salesItemDetails.do?id=110588")</f>
        <v>https://www.fabsurplus.com/sdi_catalog/salesItemDetails.do?id=110588</v>
      </c>
      <c r="B2876" s="2" t="s">
        <v>8212</v>
      </c>
      <c r="C2876" s="2" t="s">
        <v>8210</v>
      </c>
      <c r="D2876" s="2" t="s">
        <v>4920</v>
      </c>
      <c r="E2876" s="2" t="s">
        <v>3358</v>
      </c>
      <c r="F2876" s="2" t="s">
        <v>16</v>
      </c>
      <c r="G2876" s="2" t="s">
        <v>41</v>
      </c>
      <c r="H2876" s="2"/>
      <c r="I2876" s="2"/>
      <c r="J2876" s="2" t="s">
        <v>42</v>
      </c>
      <c r="K2876" s="2"/>
      <c r="L2876" s="2" t="s">
        <v>8211</v>
      </c>
    </row>
    <row r="2877" customFormat="false" ht="11.9" hidden="false" customHeight="true" outlineLevel="0" collapsed="false">
      <c r="A2877" s="3" t="str">
        <f aca="false">HYPERLINK("https://www.fabsurplus.com/sdi_catalog/salesItemDetails.do?id=110587")</f>
        <v>https://www.fabsurplus.com/sdi_catalog/salesItemDetails.do?id=110587</v>
      </c>
      <c r="B2877" s="3" t="s">
        <v>8213</v>
      </c>
      <c r="C2877" s="3" t="s">
        <v>8210</v>
      </c>
      <c r="D2877" s="3" t="s">
        <v>4920</v>
      </c>
      <c r="E2877" s="3" t="s">
        <v>3358</v>
      </c>
      <c r="F2877" s="3" t="s">
        <v>16</v>
      </c>
      <c r="G2877" s="3" t="s">
        <v>41</v>
      </c>
      <c r="H2877" s="3"/>
      <c r="I2877" s="3"/>
      <c r="J2877" s="3" t="s">
        <v>42</v>
      </c>
      <c r="K2877" s="3"/>
      <c r="L2877" s="3" t="s">
        <v>8211</v>
      </c>
    </row>
    <row r="2878" customFormat="false" ht="11.9" hidden="false" customHeight="true" outlineLevel="0" collapsed="false">
      <c r="A2878" s="2" t="str">
        <f aca="false">HYPERLINK("https://www.fabsurplus.com/sdi_catalog/salesItemDetails.do?id=110586")</f>
        <v>https://www.fabsurplus.com/sdi_catalog/salesItemDetails.do?id=110586</v>
      </c>
      <c r="B2878" s="2" t="s">
        <v>8214</v>
      </c>
      <c r="C2878" s="2" t="s">
        <v>8210</v>
      </c>
      <c r="D2878" s="2" t="s">
        <v>4920</v>
      </c>
      <c r="E2878" s="2" t="s">
        <v>3358</v>
      </c>
      <c r="F2878" s="2" t="s">
        <v>16</v>
      </c>
      <c r="G2878" s="2" t="s">
        <v>41</v>
      </c>
      <c r="H2878" s="2"/>
      <c r="I2878" s="2"/>
      <c r="J2878" s="2" t="s">
        <v>42</v>
      </c>
      <c r="K2878" s="2"/>
      <c r="L2878" s="2" t="s">
        <v>8211</v>
      </c>
    </row>
    <row r="2879" customFormat="false" ht="11.9" hidden="false" customHeight="true" outlineLevel="0" collapsed="false">
      <c r="A2879" s="2" t="str">
        <f aca="false">HYPERLINK("https://www.fabsurplus.com/sdi_catalog/salesItemDetails.do?id=115413")</f>
        <v>https://www.fabsurplus.com/sdi_catalog/salesItemDetails.do?id=115413</v>
      </c>
      <c r="B2879" s="2" t="s">
        <v>8215</v>
      </c>
      <c r="C2879" s="2" t="s">
        <v>8216</v>
      </c>
      <c r="D2879" s="2" t="s">
        <v>8217</v>
      </c>
      <c r="E2879" s="2" t="s">
        <v>8218</v>
      </c>
      <c r="F2879" s="2" t="s">
        <v>101</v>
      </c>
      <c r="G2879" s="2" t="s">
        <v>26</v>
      </c>
      <c r="H2879" s="2"/>
      <c r="I2879" s="2"/>
      <c r="J2879" s="2" t="s">
        <v>19</v>
      </c>
      <c r="K2879" s="2"/>
      <c r="L2879" s="2" t="s">
        <v>63</v>
      </c>
    </row>
    <row r="2880" customFormat="false" ht="11.9" hidden="false" customHeight="true" outlineLevel="0" collapsed="false">
      <c r="A2880" s="2" t="str">
        <f aca="false">HYPERLINK("https://www.fabsurplus.com/sdi_catalog/salesItemDetails.do?id=72140")</f>
        <v>https://www.fabsurplus.com/sdi_catalog/salesItemDetails.do?id=72140</v>
      </c>
      <c r="B2880" s="2" t="s">
        <v>8219</v>
      </c>
      <c r="C2880" s="2" t="s">
        <v>8220</v>
      </c>
      <c r="D2880" s="2" t="s">
        <v>8221</v>
      </c>
      <c r="E2880" s="2" t="s">
        <v>8222</v>
      </c>
      <c r="F2880" s="2" t="s">
        <v>16</v>
      </c>
      <c r="G2880" s="2" t="s">
        <v>26</v>
      </c>
      <c r="H2880" s="2" t="s">
        <v>35</v>
      </c>
      <c r="I2880" s="7" t="n">
        <v>35003.9583333333</v>
      </c>
      <c r="J2880" s="2" t="s">
        <v>19</v>
      </c>
      <c r="K2880" s="2" t="s">
        <v>20</v>
      </c>
      <c r="L2880" s="6" t="s">
        <v>3340</v>
      </c>
    </row>
    <row r="2881" customFormat="false" ht="11.9" hidden="false" customHeight="true" outlineLevel="0" collapsed="false">
      <c r="A2881" s="3" t="str">
        <f aca="false">HYPERLINK("https://www.fabsurplus.com/sdi_catalog/salesItemDetails.do?id=72141")</f>
        <v>https://www.fabsurplus.com/sdi_catalog/salesItemDetails.do?id=72141</v>
      </c>
      <c r="B2881" s="3" t="s">
        <v>8223</v>
      </c>
      <c r="C2881" s="3" t="s">
        <v>8220</v>
      </c>
      <c r="D2881" s="3" t="s">
        <v>8224</v>
      </c>
      <c r="E2881" s="3" t="s">
        <v>8225</v>
      </c>
      <c r="F2881" s="3" t="s">
        <v>16</v>
      </c>
      <c r="G2881" s="3" t="s">
        <v>26</v>
      </c>
      <c r="H2881" s="3" t="s">
        <v>35</v>
      </c>
      <c r="I2881" s="3"/>
      <c r="J2881" s="3" t="s">
        <v>19</v>
      </c>
      <c r="K2881" s="3" t="s">
        <v>20</v>
      </c>
      <c r="L2881" s="5" t="s">
        <v>3340</v>
      </c>
    </row>
    <row r="2882" customFormat="false" ht="11.9" hidden="false" customHeight="true" outlineLevel="0" collapsed="false">
      <c r="A2882" s="3" t="str">
        <f aca="false">HYPERLINK("https://www.fabsurplus.com/sdi_catalog/salesItemDetails.do?id=72134")</f>
        <v>https://www.fabsurplus.com/sdi_catalog/salesItemDetails.do?id=72134</v>
      </c>
      <c r="B2882" s="3" t="s">
        <v>8226</v>
      </c>
      <c r="C2882" s="3" t="s">
        <v>8220</v>
      </c>
      <c r="D2882" s="3" t="s">
        <v>8227</v>
      </c>
      <c r="E2882" s="3" t="s">
        <v>8228</v>
      </c>
      <c r="F2882" s="3" t="s">
        <v>77</v>
      </c>
      <c r="G2882" s="3" t="s">
        <v>26</v>
      </c>
      <c r="H2882" s="3" t="s">
        <v>35</v>
      </c>
      <c r="I2882" s="3"/>
      <c r="J2882" s="3" t="s">
        <v>19</v>
      </c>
      <c r="K2882" s="3" t="s">
        <v>20</v>
      </c>
      <c r="L2882" s="5" t="s">
        <v>3340</v>
      </c>
    </row>
    <row r="2883" customFormat="false" ht="11.9" hidden="false" customHeight="true" outlineLevel="0" collapsed="false">
      <c r="A2883" s="3" t="str">
        <f aca="false">HYPERLINK("https://www.fabsurplus.com/sdi_catalog/salesItemDetails.do?id=92387")</f>
        <v>https://www.fabsurplus.com/sdi_catalog/salesItemDetails.do?id=92387</v>
      </c>
      <c r="B2883" s="3" t="s">
        <v>8229</v>
      </c>
      <c r="C2883" s="3" t="s">
        <v>8220</v>
      </c>
      <c r="D2883" s="3" t="s">
        <v>8230</v>
      </c>
      <c r="E2883" s="3" t="s">
        <v>8231</v>
      </c>
      <c r="F2883" s="3" t="s">
        <v>77</v>
      </c>
      <c r="G2883" s="3" t="s">
        <v>26</v>
      </c>
      <c r="H2883" s="3" t="s">
        <v>35</v>
      </c>
      <c r="I2883" s="4" t="n">
        <v>34850.9166666667</v>
      </c>
      <c r="J2883" s="3" t="s">
        <v>19</v>
      </c>
      <c r="K2883" s="3" t="s">
        <v>20</v>
      </c>
      <c r="L2883" s="5" t="s">
        <v>8232</v>
      </c>
    </row>
    <row r="2884" customFormat="false" ht="11.9" hidden="false" customHeight="true" outlineLevel="0" collapsed="false">
      <c r="A2884" s="2" t="str">
        <f aca="false">HYPERLINK("https://www.fabsurplus.com/sdi_catalog/salesItemDetails.do?id=92468")</f>
        <v>https://www.fabsurplus.com/sdi_catalog/salesItemDetails.do?id=92468</v>
      </c>
      <c r="B2884" s="2" t="s">
        <v>8233</v>
      </c>
      <c r="C2884" s="2" t="s">
        <v>8220</v>
      </c>
      <c r="D2884" s="2" t="s">
        <v>8234</v>
      </c>
      <c r="E2884" s="2" t="s">
        <v>8235</v>
      </c>
      <c r="F2884" s="2" t="s">
        <v>16</v>
      </c>
      <c r="G2884" s="2" t="s">
        <v>26</v>
      </c>
      <c r="H2884" s="2" t="s">
        <v>129</v>
      </c>
      <c r="I2884" s="7" t="n">
        <v>34881</v>
      </c>
      <c r="J2884" s="2" t="s">
        <v>19</v>
      </c>
      <c r="K2884" s="2" t="s">
        <v>20</v>
      </c>
      <c r="L2884" s="6" t="s">
        <v>8236</v>
      </c>
    </row>
    <row r="2885" customFormat="false" ht="11.9" hidden="false" customHeight="true" outlineLevel="0" collapsed="false">
      <c r="A2885" s="2" t="str">
        <f aca="false">HYPERLINK("https://www.fabsurplus.com/sdi_catalog/salesItemDetails.do?id=72133")</f>
        <v>https://www.fabsurplus.com/sdi_catalog/salesItemDetails.do?id=72133</v>
      </c>
      <c r="B2885" s="2" t="s">
        <v>8237</v>
      </c>
      <c r="C2885" s="2" t="s">
        <v>8220</v>
      </c>
      <c r="D2885" s="2" t="s">
        <v>8238</v>
      </c>
      <c r="E2885" s="2" t="s">
        <v>8239</v>
      </c>
      <c r="F2885" s="2" t="s">
        <v>77</v>
      </c>
      <c r="G2885" s="2" t="s">
        <v>26</v>
      </c>
      <c r="H2885" s="2" t="s">
        <v>35</v>
      </c>
      <c r="I2885" s="2"/>
      <c r="J2885" s="2" t="s">
        <v>19</v>
      </c>
      <c r="K2885" s="2" t="s">
        <v>20</v>
      </c>
      <c r="L2885" s="6" t="s">
        <v>8240</v>
      </c>
    </row>
    <row r="2886" customFormat="false" ht="11.9" hidden="false" customHeight="true" outlineLevel="0" collapsed="false">
      <c r="A2886" s="3" t="str">
        <f aca="false">HYPERLINK("https://www.fabsurplus.com/sdi_catalog/salesItemDetails.do?id=72144")</f>
        <v>https://www.fabsurplus.com/sdi_catalog/salesItemDetails.do?id=72144</v>
      </c>
      <c r="B2886" s="3" t="s">
        <v>8241</v>
      </c>
      <c r="C2886" s="3" t="s">
        <v>8220</v>
      </c>
      <c r="D2886" s="3" t="s">
        <v>8242</v>
      </c>
      <c r="E2886" s="3" t="s">
        <v>8243</v>
      </c>
      <c r="F2886" s="3" t="s">
        <v>16</v>
      </c>
      <c r="G2886" s="3" t="s">
        <v>26</v>
      </c>
      <c r="H2886" s="3" t="s">
        <v>35</v>
      </c>
      <c r="I2886" s="3"/>
      <c r="J2886" s="3" t="s">
        <v>19</v>
      </c>
      <c r="K2886" s="3" t="s">
        <v>20</v>
      </c>
      <c r="L2886" s="5" t="s">
        <v>3340</v>
      </c>
    </row>
    <row r="2887" customFormat="false" ht="11.9" hidden="false" customHeight="true" outlineLevel="0" collapsed="false">
      <c r="A2887" s="2" t="str">
        <f aca="false">HYPERLINK("https://www.fabsurplus.com/sdi_catalog/salesItemDetails.do?id=72143")</f>
        <v>https://www.fabsurplus.com/sdi_catalog/salesItemDetails.do?id=72143</v>
      </c>
      <c r="B2887" s="2" t="s">
        <v>8244</v>
      </c>
      <c r="C2887" s="2" t="s">
        <v>8220</v>
      </c>
      <c r="D2887" s="2" t="s">
        <v>8245</v>
      </c>
      <c r="E2887" s="2" t="s">
        <v>8246</v>
      </c>
      <c r="F2887" s="2" t="s">
        <v>16</v>
      </c>
      <c r="G2887" s="2" t="s">
        <v>26</v>
      </c>
      <c r="H2887" s="2" t="s">
        <v>35</v>
      </c>
      <c r="I2887" s="2"/>
      <c r="J2887" s="2" t="s">
        <v>19</v>
      </c>
      <c r="K2887" s="2" t="s">
        <v>20</v>
      </c>
      <c r="L2887" s="6" t="s">
        <v>3340</v>
      </c>
    </row>
    <row r="2888" customFormat="false" ht="11.9" hidden="false" customHeight="true" outlineLevel="0" collapsed="false">
      <c r="A2888" s="3" t="str">
        <f aca="false">HYPERLINK("https://www.fabsurplus.com/sdi_catalog/salesItemDetails.do?id=72138")</f>
        <v>https://www.fabsurplus.com/sdi_catalog/salesItemDetails.do?id=72138</v>
      </c>
      <c r="B2888" s="3" t="s">
        <v>8247</v>
      </c>
      <c r="C2888" s="3" t="s">
        <v>8220</v>
      </c>
      <c r="D2888" s="3" t="s">
        <v>8248</v>
      </c>
      <c r="E2888" s="3" t="s">
        <v>8249</v>
      </c>
      <c r="F2888" s="3" t="s">
        <v>77</v>
      </c>
      <c r="G2888" s="3" t="s">
        <v>26</v>
      </c>
      <c r="H2888" s="3" t="s">
        <v>35</v>
      </c>
      <c r="I2888" s="3"/>
      <c r="J2888" s="3" t="s">
        <v>19</v>
      </c>
      <c r="K2888" s="3" t="s">
        <v>20</v>
      </c>
      <c r="L2888" s="5" t="s">
        <v>3340</v>
      </c>
    </row>
    <row r="2889" customFormat="false" ht="11.9" hidden="false" customHeight="true" outlineLevel="0" collapsed="false">
      <c r="A2889" s="2" t="str">
        <f aca="false">HYPERLINK("https://www.fabsurplus.com/sdi_catalog/salesItemDetails.do?id=72136")</f>
        <v>https://www.fabsurplus.com/sdi_catalog/salesItemDetails.do?id=72136</v>
      </c>
      <c r="B2889" s="2" t="s">
        <v>8250</v>
      </c>
      <c r="C2889" s="2" t="s">
        <v>8220</v>
      </c>
      <c r="D2889" s="2" t="s">
        <v>8251</v>
      </c>
      <c r="E2889" s="2" t="s">
        <v>8252</v>
      </c>
      <c r="F2889" s="2" t="s">
        <v>16</v>
      </c>
      <c r="G2889" s="2" t="s">
        <v>26</v>
      </c>
      <c r="H2889" s="2" t="s">
        <v>35</v>
      </c>
      <c r="I2889" s="2"/>
      <c r="J2889" s="2" t="s">
        <v>19</v>
      </c>
      <c r="K2889" s="2" t="s">
        <v>20</v>
      </c>
      <c r="L2889" s="6" t="s">
        <v>3340</v>
      </c>
    </row>
    <row r="2890" customFormat="false" ht="11.9" hidden="false" customHeight="true" outlineLevel="0" collapsed="false">
      <c r="A2890" s="2" t="str">
        <f aca="false">HYPERLINK("https://www.fabsurplus.com/sdi_catalog/salesItemDetails.do?id=72145")</f>
        <v>https://www.fabsurplus.com/sdi_catalog/salesItemDetails.do?id=72145</v>
      </c>
      <c r="B2890" s="2" t="s">
        <v>8253</v>
      </c>
      <c r="C2890" s="2" t="s">
        <v>8220</v>
      </c>
      <c r="D2890" s="2" t="s">
        <v>8254</v>
      </c>
      <c r="E2890" s="2" t="s">
        <v>8255</v>
      </c>
      <c r="F2890" s="2" t="s">
        <v>16</v>
      </c>
      <c r="G2890" s="2" t="s">
        <v>26</v>
      </c>
      <c r="H2890" s="2" t="s">
        <v>35</v>
      </c>
      <c r="I2890" s="2"/>
      <c r="J2890" s="2" t="s">
        <v>19</v>
      </c>
      <c r="K2890" s="2" t="s">
        <v>20</v>
      </c>
      <c r="L2890" s="6" t="s">
        <v>3340</v>
      </c>
    </row>
    <row r="2891" customFormat="false" ht="11.9" hidden="false" customHeight="true" outlineLevel="0" collapsed="false">
      <c r="A2891" s="2" t="str">
        <f aca="false">HYPERLINK("https://www.fabsurplus.com/sdi_catalog/salesItemDetails.do?id=84082")</f>
        <v>https://www.fabsurplus.com/sdi_catalog/salesItemDetails.do?id=84082</v>
      </c>
      <c r="B2891" s="2" t="s">
        <v>8256</v>
      </c>
      <c r="C2891" s="2" t="s">
        <v>8220</v>
      </c>
      <c r="D2891" s="2" t="s">
        <v>8257</v>
      </c>
      <c r="E2891" s="2" t="s">
        <v>8258</v>
      </c>
      <c r="F2891" s="2" t="s">
        <v>16</v>
      </c>
      <c r="G2891" s="2" t="s">
        <v>4233</v>
      </c>
      <c r="H2891" s="2" t="s">
        <v>1691</v>
      </c>
      <c r="I2891" s="7" t="n">
        <v>36281</v>
      </c>
      <c r="J2891" s="2" t="s">
        <v>19</v>
      </c>
      <c r="K2891" s="2" t="s">
        <v>20</v>
      </c>
      <c r="L2891" s="6" t="s">
        <v>8259</v>
      </c>
    </row>
    <row r="2892" customFormat="false" ht="11.9" hidden="false" customHeight="true" outlineLevel="0" collapsed="false">
      <c r="A2892" s="3" t="str">
        <f aca="false">HYPERLINK("https://www.fabsurplus.com/sdi_catalog/salesItemDetails.do?id=95409")</f>
        <v>https://www.fabsurplus.com/sdi_catalog/salesItemDetails.do?id=95409</v>
      </c>
      <c r="B2892" s="3" t="s">
        <v>8260</v>
      </c>
      <c r="C2892" s="3" t="s">
        <v>8220</v>
      </c>
      <c r="D2892" s="3" t="s">
        <v>8257</v>
      </c>
      <c r="E2892" s="3" t="s">
        <v>8258</v>
      </c>
      <c r="F2892" s="3" t="s">
        <v>16</v>
      </c>
      <c r="G2892" s="3" t="s">
        <v>4233</v>
      </c>
      <c r="H2892" s="3" t="s">
        <v>1691</v>
      </c>
      <c r="I2892" s="4" t="n">
        <v>36281</v>
      </c>
      <c r="J2892" s="3" t="s">
        <v>19</v>
      </c>
      <c r="K2892" s="3" t="s">
        <v>20</v>
      </c>
      <c r="L2892" s="5" t="s">
        <v>8259</v>
      </c>
    </row>
    <row r="2893" customFormat="false" ht="11.9" hidden="false" customHeight="true" outlineLevel="0" collapsed="false">
      <c r="A2893" s="2" t="str">
        <f aca="false">HYPERLINK("https://www.fabsurplus.com/sdi_catalog/salesItemDetails.do?id=110591")</f>
        <v>https://www.fabsurplus.com/sdi_catalog/salesItemDetails.do?id=110591</v>
      </c>
      <c r="B2893" s="2" t="s">
        <v>8261</v>
      </c>
      <c r="C2893" s="2" t="s">
        <v>8220</v>
      </c>
      <c r="D2893" s="2" t="s">
        <v>8262</v>
      </c>
      <c r="E2893" s="2" t="s">
        <v>133</v>
      </c>
      <c r="F2893" s="2" t="s">
        <v>16</v>
      </c>
      <c r="G2893" s="2" t="s">
        <v>41</v>
      </c>
      <c r="H2893" s="2"/>
      <c r="I2893" s="2"/>
      <c r="J2893" s="2" t="s">
        <v>42</v>
      </c>
      <c r="K2893" s="2"/>
      <c r="L2893" s="2" t="s">
        <v>8263</v>
      </c>
    </row>
    <row r="2894" customFormat="false" ht="11.9" hidden="false" customHeight="true" outlineLevel="0" collapsed="false">
      <c r="A2894" s="2" t="str">
        <f aca="false">HYPERLINK("https://www.fabsurplus.com/sdi_catalog/salesItemDetails.do?id=72151")</f>
        <v>https://www.fabsurplus.com/sdi_catalog/salesItemDetails.do?id=72151</v>
      </c>
      <c r="B2894" s="2" t="s">
        <v>8264</v>
      </c>
      <c r="C2894" s="2" t="s">
        <v>8220</v>
      </c>
      <c r="D2894" s="2" t="s">
        <v>8265</v>
      </c>
      <c r="E2894" s="2" t="s">
        <v>8266</v>
      </c>
      <c r="F2894" s="2" t="s">
        <v>104</v>
      </c>
      <c r="G2894" s="2" t="s">
        <v>26</v>
      </c>
      <c r="H2894" s="2" t="s">
        <v>35</v>
      </c>
      <c r="I2894" s="2"/>
      <c r="J2894" s="2" t="s">
        <v>19</v>
      </c>
      <c r="K2894" s="2" t="s">
        <v>20</v>
      </c>
      <c r="L2894" s="6" t="s">
        <v>3340</v>
      </c>
    </row>
    <row r="2895" customFormat="false" ht="11.9" hidden="false" customHeight="true" outlineLevel="0" collapsed="false">
      <c r="A2895" s="3" t="str">
        <f aca="false">HYPERLINK("https://www.fabsurplus.com/sdi_catalog/salesItemDetails.do?id=72146")</f>
        <v>https://www.fabsurplus.com/sdi_catalog/salesItemDetails.do?id=72146</v>
      </c>
      <c r="B2895" s="3" t="s">
        <v>8267</v>
      </c>
      <c r="C2895" s="3" t="s">
        <v>8220</v>
      </c>
      <c r="D2895" s="3"/>
      <c r="E2895" s="3" t="s">
        <v>8252</v>
      </c>
      <c r="F2895" s="3" t="s">
        <v>16</v>
      </c>
      <c r="G2895" s="3" t="s">
        <v>26</v>
      </c>
      <c r="H2895" s="3" t="s">
        <v>35</v>
      </c>
      <c r="I2895" s="3"/>
      <c r="J2895" s="3" t="s">
        <v>19</v>
      </c>
      <c r="K2895" s="3" t="s">
        <v>20</v>
      </c>
      <c r="L2895" s="5" t="s">
        <v>3340</v>
      </c>
    </row>
    <row r="2896" customFormat="false" ht="11.9" hidden="false" customHeight="true" outlineLevel="0" collapsed="false">
      <c r="A2896" s="3" t="str">
        <f aca="false">HYPERLINK("https://www.fabsurplus.com/sdi_catalog/salesItemDetails.do?id=72150")</f>
        <v>https://www.fabsurplus.com/sdi_catalog/salesItemDetails.do?id=72150</v>
      </c>
      <c r="B2896" s="3" t="s">
        <v>8268</v>
      </c>
      <c r="C2896" s="3" t="s">
        <v>8220</v>
      </c>
      <c r="D2896" s="3"/>
      <c r="E2896" s="3" t="s">
        <v>8269</v>
      </c>
      <c r="F2896" s="3" t="s">
        <v>16</v>
      </c>
      <c r="G2896" s="3" t="s">
        <v>26</v>
      </c>
      <c r="H2896" s="3" t="s">
        <v>35</v>
      </c>
      <c r="I2896" s="3"/>
      <c r="J2896" s="3" t="s">
        <v>19</v>
      </c>
      <c r="K2896" s="3" t="s">
        <v>20</v>
      </c>
      <c r="L2896" s="5" t="s">
        <v>3340</v>
      </c>
    </row>
    <row r="2897" customFormat="false" ht="11.9" hidden="false" customHeight="true" outlineLevel="0" collapsed="false">
      <c r="A2897" s="2" t="str">
        <f aca="false">HYPERLINK("https://www.fabsurplus.com/sdi_catalog/salesItemDetails.do?id=72149")</f>
        <v>https://www.fabsurplus.com/sdi_catalog/salesItemDetails.do?id=72149</v>
      </c>
      <c r="B2897" s="2" t="s">
        <v>8270</v>
      </c>
      <c r="C2897" s="2" t="s">
        <v>8220</v>
      </c>
      <c r="D2897" s="2"/>
      <c r="E2897" s="2" t="s">
        <v>8271</v>
      </c>
      <c r="F2897" s="2" t="s">
        <v>16</v>
      </c>
      <c r="G2897" s="2" t="s">
        <v>26</v>
      </c>
      <c r="H2897" s="2" t="s">
        <v>35</v>
      </c>
      <c r="I2897" s="2"/>
      <c r="J2897" s="2" t="s">
        <v>19</v>
      </c>
      <c r="K2897" s="2" t="s">
        <v>20</v>
      </c>
      <c r="L2897" s="6" t="s">
        <v>3340</v>
      </c>
    </row>
    <row r="2898" customFormat="false" ht="11.9" hidden="false" customHeight="true" outlineLevel="0" collapsed="false">
      <c r="A2898" s="3" t="str">
        <f aca="false">HYPERLINK("https://www.fabsurplus.com/sdi_catalog/salesItemDetails.do?id=72152")</f>
        <v>https://www.fabsurplus.com/sdi_catalog/salesItemDetails.do?id=72152</v>
      </c>
      <c r="B2898" s="3" t="s">
        <v>8272</v>
      </c>
      <c r="C2898" s="3" t="s">
        <v>8220</v>
      </c>
      <c r="D2898" s="3"/>
      <c r="E2898" s="3" t="s">
        <v>8273</v>
      </c>
      <c r="F2898" s="3" t="s">
        <v>16</v>
      </c>
      <c r="G2898" s="3" t="s">
        <v>26</v>
      </c>
      <c r="H2898" s="3" t="s">
        <v>35</v>
      </c>
      <c r="I2898" s="3"/>
      <c r="J2898" s="3" t="s">
        <v>19</v>
      </c>
      <c r="K2898" s="3" t="s">
        <v>20</v>
      </c>
      <c r="L2898" s="5" t="s">
        <v>3340</v>
      </c>
    </row>
    <row r="2899" customFormat="false" ht="11.9" hidden="false" customHeight="true" outlineLevel="0" collapsed="false">
      <c r="A2899" s="3" t="str">
        <f aca="false">HYPERLINK("https://www.fabsurplus.com/sdi_catalog/salesItemDetails.do?id=72148")</f>
        <v>https://www.fabsurplus.com/sdi_catalog/salesItemDetails.do?id=72148</v>
      </c>
      <c r="B2899" s="3" t="s">
        <v>8274</v>
      </c>
      <c r="C2899" s="3" t="s">
        <v>8220</v>
      </c>
      <c r="D2899" s="3"/>
      <c r="E2899" s="3" t="s">
        <v>8275</v>
      </c>
      <c r="F2899" s="3" t="s">
        <v>16</v>
      </c>
      <c r="G2899" s="3" t="s">
        <v>26</v>
      </c>
      <c r="H2899" s="3" t="s">
        <v>35</v>
      </c>
      <c r="I2899" s="3"/>
      <c r="J2899" s="3" t="s">
        <v>19</v>
      </c>
      <c r="K2899" s="3" t="s">
        <v>20</v>
      </c>
      <c r="L2899" s="5" t="s">
        <v>3340</v>
      </c>
    </row>
    <row r="2900" customFormat="false" ht="11.9" hidden="false" customHeight="true" outlineLevel="0" collapsed="false">
      <c r="A2900" s="2" t="str">
        <f aca="false">HYPERLINK("https://www.fabsurplus.com/sdi_catalog/salesItemDetails.do?id=72147")</f>
        <v>https://www.fabsurplus.com/sdi_catalog/salesItemDetails.do?id=72147</v>
      </c>
      <c r="B2900" s="2" t="s">
        <v>8276</v>
      </c>
      <c r="C2900" s="2" t="s">
        <v>8220</v>
      </c>
      <c r="D2900" s="2"/>
      <c r="E2900" s="2" t="s">
        <v>8277</v>
      </c>
      <c r="F2900" s="2" t="s">
        <v>69</v>
      </c>
      <c r="G2900" s="2" t="s">
        <v>26</v>
      </c>
      <c r="H2900" s="2" t="s">
        <v>35</v>
      </c>
      <c r="I2900" s="2"/>
      <c r="J2900" s="2" t="s">
        <v>19</v>
      </c>
      <c r="K2900" s="2" t="s">
        <v>20</v>
      </c>
      <c r="L2900" s="6" t="s">
        <v>3340</v>
      </c>
    </row>
    <row r="2901" customFormat="false" ht="11.9" hidden="false" customHeight="true" outlineLevel="0" collapsed="false">
      <c r="A2901" s="3" t="str">
        <f aca="false">HYPERLINK("https://www.fabsurplus.com/sdi_catalog/salesItemDetails.do?id=110590")</f>
        <v>https://www.fabsurplus.com/sdi_catalog/salesItemDetails.do?id=110590</v>
      </c>
      <c r="B2901" s="3" t="s">
        <v>8278</v>
      </c>
      <c r="C2901" s="3" t="s">
        <v>8279</v>
      </c>
      <c r="D2901" s="3" t="s">
        <v>8220</v>
      </c>
      <c r="E2901" s="3" t="s">
        <v>802</v>
      </c>
      <c r="F2901" s="3" t="s">
        <v>16</v>
      </c>
      <c r="G2901" s="3" t="s">
        <v>41</v>
      </c>
      <c r="H2901" s="3"/>
      <c r="I2901" s="3"/>
      <c r="J2901" s="3" t="s">
        <v>42</v>
      </c>
      <c r="K2901" s="3"/>
      <c r="L2901" s="3" t="s">
        <v>8280</v>
      </c>
    </row>
    <row r="2902" customFormat="false" ht="11.9" hidden="false" customHeight="true" outlineLevel="0" collapsed="false">
      <c r="A2902" s="2" t="str">
        <f aca="false">HYPERLINK("https://www.fabsurplus.com/sdi_catalog/salesItemDetails.do?id=102593")</f>
        <v>https://www.fabsurplus.com/sdi_catalog/salesItemDetails.do?id=102593</v>
      </c>
      <c r="B2902" s="2" t="s">
        <v>8281</v>
      </c>
      <c r="C2902" s="2" t="s">
        <v>8282</v>
      </c>
      <c r="D2902" s="2" t="s">
        <v>8283</v>
      </c>
      <c r="E2902" s="2" t="s">
        <v>8284</v>
      </c>
      <c r="F2902" s="2" t="s">
        <v>5109</v>
      </c>
      <c r="G2902" s="2" t="s">
        <v>41</v>
      </c>
      <c r="H2902" s="2" t="s">
        <v>35</v>
      </c>
      <c r="I2902" s="2"/>
      <c r="J2902" s="2" t="s">
        <v>19</v>
      </c>
      <c r="K2902" s="2" t="s">
        <v>20</v>
      </c>
      <c r="L2902" s="6" t="s">
        <v>8285</v>
      </c>
    </row>
    <row r="2903" customFormat="false" ht="11.9" hidden="false" customHeight="true" outlineLevel="0" collapsed="false">
      <c r="A2903" s="2" t="str">
        <f aca="false">HYPERLINK("https://www.fabsurplus.com/sdi_catalog/salesItemDetails.do?id=115414")</f>
        <v>https://www.fabsurplus.com/sdi_catalog/salesItemDetails.do?id=115414</v>
      </c>
      <c r="B2903" s="2" t="s">
        <v>8286</v>
      </c>
      <c r="C2903" s="2" t="s">
        <v>8287</v>
      </c>
      <c r="D2903" s="2" t="s">
        <v>8288</v>
      </c>
      <c r="E2903" s="2" t="s">
        <v>8289</v>
      </c>
      <c r="F2903" s="2" t="s">
        <v>16</v>
      </c>
      <c r="G2903" s="2" t="s">
        <v>26</v>
      </c>
      <c r="H2903" s="2"/>
      <c r="I2903" s="2"/>
      <c r="J2903" s="2" t="s">
        <v>19</v>
      </c>
      <c r="K2903" s="2"/>
      <c r="L2903" s="2" t="s">
        <v>63</v>
      </c>
    </row>
    <row r="2904" customFormat="false" ht="11.9" hidden="false" customHeight="true" outlineLevel="0" collapsed="false">
      <c r="A2904" s="2" t="str">
        <f aca="false">HYPERLINK("https://www.fabsurplus.com/sdi_catalog/salesItemDetails.do?id=101025")</f>
        <v>https://www.fabsurplus.com/sdi_catalog/salesItemDetails.do?id=101025</v>
      </c>
      <c r="B2904" s="2" t="s">
        <v>8290</v>
      </c>
      <c r="C2904" s="2" t="s">
        <v>8287</v>
      </c>
      <c r="D2904" s="2" t="s">
        <v>8291</v>
      </c>
      <c r="E2904" s="2" t="s">
        <v>8292</v>
      </c>
      <c r="F2904" s="2" t="s">
        <v>16</v>
      </c>
      <c r="G2904" s="2" t="s">
        <v>41</v>
      </c>
      <c r="H2904" s="2" t="s">
        <v>35</v>
      </c>
      <c r="I2904" s="7" t="n">
        <v>35216.9166666667</v>
      </c>
      <c r="J2904" s="2" t="s">
        <v>19</v>
      </c>
      <c r="K2904" s="2" t="s">
        <v>20</v>
      </c>
      <c r="L2904" s="2" t="s">
        <v>8293</v>
      </c>
    </row>
    <row r="2905" customFormat="false" ht="11.9" hidden="false" customHeight="true" outlineLevel="0" collapsed="false">
      <c r="A2905" s="3" t="str">
        <f aca="false">HYPERLINK("https://www.fabsurplus.com/sdi_catalog/salesItemDetails.do?id=101026")</f>
        <v>https://www.fabsurplus.com/sdi_catalog/salesItemDetails.do?id=101026</v>
      </c>
      <c r="B2905" s="3" t="s">
        <v>8294</v>
      </c>
      <c r="C2905" s="3" t="s">
        <v>8287</v>
      </c>
      <c r="D2905" s="3" t="s">
        <v>8291</v>
      </c>
      <c r="E2905" s="3" t="s">
        <v>8292</v>
      </c>
      <c r="F2905" s="3" t="s">
        <v>16</v>
      </c>
      <c r="G2905" s="3" t="s">
        <v>41</v>
      </c>
      <c r="H2905" s="3" t="s">
        <v>35</v>
      </c>
      <c r="I2905" s="4" t="n">
        <v>35216.9166666667</v>
      </c>
      <c r="J2905" s="3" t="s">
        <v>19</v>
      </c>
      <c r="K2905" s="3" t="s">
        <v>20</v>
      </c>
      <c r="L2905" s="3" t="s">
        <v>8293</v>
      </c>
    </row>
    <row r="2906" customFormat="false" ht="11.9" hidden="false" customHeight="true" outlineLevel="0" collapsed="false">
      <c r="A2906" s="2" t="str">
        <f aca="false">HYPERLINK("https://www.fabsurplus.com/sdi_catalog/salesItemDetails.do?id=101027")</f>
        <v>https://www.fabsurplus.com/sdi_catalog/salesItemDetails.do?id=101027</v>
      </c>
      <c r="B2906" s="2" t="s">
        <v>8295</v>
      </c>
      <c r="C2906" s="2" t="s">
        <v>8287</v>
      </c>
      <c r="D2906" s="2" t="s">
        <v>8291</v>
      </c>
      <c r="E2906" s="2" t="s">
        <v>8292</v>
      </c>
      <c r="F2906" s="2" t="s">
        <v>16</v>
      </c>
      <c r="G2906" s="2" t="s">
        <v>41</v>
      </c>
      <c r="H2906" s="2" t="s">
        <v>35</v>
      </c>
      <c r="I2906" s="7" t="n">
        <v>35216.9166666667</v>
      </c>
      <c r="J2906" s="2" t="s">
        <v>19</v>
      </c>
      <c r="K2906" s="2" t="s">
        <v>20</v>
      </c>
      <c r="L2906" s="2" t="s">
        <v>8293</v>
      </c>
    </row>
    <row r="2907" customFormat="false" ht="11.9" hidden="false" customHeight="true" outlineLevel="0" collapsed="false">
      <c r="A2907" s="3" t="str">
        <f aca="false">HYPERLINK("https://www.fabsurplus.com/sdi_catalog/salesItemDetails.do?id=84408")</f>
        <v>https://www.fabsurplus.com/sdi_catalog/salesItemDetails.do?id=84408</v>
      </c>
      <c r="B2907" s="3" t="s">
        <v>8296</v>
      </c>
      <c r="C2907" s="3" t="s">
        <v>8287</v>
      </c>
      <c r="D2907" s="3" t="s">
        <v>8297</v>
      </c>
      <c r="E2907" s="3" t="s">
        <v>8298</v>
      </c>
      <c r="F2907" s="3" t="s">
        <v>16</v>
      </c>
      <c r="G2907" s="3" t="s">
        <v>26</v>
      </c>
      <c r="H2907" s="3" t="s">
        <v>35</v>
      </c>
      <c r="I2907" s="3"/>
      <c r="J2907" s="3" t="s">
        <v>19</v>
      </c>
      <c r="K2907" s="3" t="s">
        <v>20</v>
      </c>
      <c r="L2907" s="5" t="s">
        <v>8299</v>
      </c>
    </row>
    <row r="2908" customFormat="false" ht="11.9" hidden="false" customHeight="true" outlineLevel="0" collapsed="false">
      <c r="A2908" s="3" t="str">
        <f aca="false">HYPERLINK("https://www.fabsurplus.com/sdi_catalog/salesItemDetails.do?id=115415")</f>
        <v>https://www.fabsurplus.com/sdi_catalog/salesItemDetails.do?id=115415</v>
      </c>
      <c r="B2908" s="3" t="s">
        <v>8300</v>
      </c>
      <c r="C2908" s="3" t="s">
        <v>8287</v>
      </c>
      <c r="D2908" s="3" t="s">
        <v>8301</v>
      </c>
      <c r="E2908" s="3" t="s">
        <v>8302</v>
      </c>
      <c r="F2908" s="3" t="s">
        <v>16</v>
      </c>
      <c r="G2908" s="3" t="s">
        <v>26</v>
      </c>
      <c r="H2908" s="3"/>
      <c r="I2908" s="3"/>
      <c r="J2908" s="3" t="s">
        <v>19</v>
      </c>
      <c r="K2908" s="3"/>
      <c r="L2908" s="3" t="s">
        <v>63</v>
      </c>
    </row>
    <row r="2909" customFormat="false" ht="11.9" hidden="false" customHeight="true" outlineLevel="0" collapsed="false">
      <c r="A2909" s="3" t="str">
        <f aca="false">HYPERLINK("https://www.fabsurplus.com/sdi_catalog/salesItemDetails.do?id=83907")</f>
        <v>https://www.fabsurplus.com/sdi_catalog/salesItemDetails.do?id=83907</v>
      </c>
      <c r="B2909" s="3" t="s">
        <v>8303</v>
      </c>
      <c r="C2909" s="3" t="s">
        <v>8304</v>
      </c>
      <c r="D2909" s="3" t="s">
        <v>8305</v>
      </c>
      <c r="E2909" s="3" t="s">
        <v>6537</v>
      </c>
      <c r="F2909" s="3" t="s">
        <v>16</v>
      </c>
      <c r="G2909" s="3"/>
      <c r="H2909" s="3" t="s">
        <v>18</v>
      </c>
      <c r="I2909" s="4" t="n">
        <v>31809</v>
      </c>
      <c r="J2909" s="3" t="s">
        <v>19</v>
      </c>
      <c r="K2909" s="3" t="s">
        <v>20</v>
      </c>
      <c r="L2909" s="5" t="s">
        <v>8306</v>
      </c>
    </row>
    <row r="2910" customFormat="false" ht="11.9" hidden="false" customHeight="true" outlineLevel="0" collapsed="false">
      <c r="A2910" s="2" t="str">
        <f aca="false">HYPERLINK("https://www.fabsurplus.com/sdi_catalog/salesItemDetails.do?id=103383")</f>
        <v>https://www.fabsurplus.com/sdi_catalog/salesItemDetails.do?id=103383</v>
      </c>
      <c r="B2910" s="2" t="s">
        <v>8307</v>
      </c>
      <c r="C2910" s="2" t="s">
        <v>8308</v>
      </c>
      <c r="D2910" s="2" t="s">
        <v>8309</v>
      </c>
      <c r="E2910" s="2" t="s">
        <v>8310</v>
      </c>
      <c r="F2910" s="2" t="s">
        <v>101</v>
      </c>
      <c r="G2910" s="2" t="s">
        <v>26</v>
      </c>
      <c r="H2910" s="2" t="s">
        <v>27</v>
      </c>
      <c r="I2910" s="7" t="n">
        <v>37011.9166666667</v>
      </c>
      <c r="J2910" s="2" t="s">
        <v>19</v>
      </c>
      <c r="K2910" s="2" t="s">
        <v>20</v>
      </c>
      <c r="L2910" s="6" t="s">
        <v>8311</v>
      </c>
    </row>
    <row r="2911" customFormat="false" ht="11.9" hidden="false" customHeight="true" outlineLevel="0" collapsed="false">
      <c r="A2911" s="3" t="str">
        <f aca="false">HYPERLINK("https://www.fabsurplus.com/sdi_catalog/salesItemDetails.do?id=110592")</f>
        <v>https://www.fabsurplus.com/sdi_catalog/salesItemDetails.do?id=110592</v>
      </c>
      <c r="B2911" s="3" t="s">
        <v>8312</v>
      </c>
      <c r="C2911" s="3" t="s">
        <v>816</v>
      </c>
      <c r="D2911" s="3" t="s">
        <v>816</v>
      </c>
      <c r="E2911" s="3" t="s">
        <v>47</v>
      </c>
      <c r="F2911" s="3" t="s">
        <v>16</v>
      </c>
      <c r="G2911" s="3" t="s">
        <v>41</v>
      </c>
      <c r="H2911" s="3"/>
      <c r="I2911" s="3"/>
      <c r="J2911" s="3" t="s">
        <v>42</v>
      </c>
      <c r="K2911" s="3"/>
      <c r="L2911" s="3" t="s">
        <v>8313</v>
      </c>
    </row>
    <row r="2912" customFormat="false" ht="11.9" hidden="false" customHeight="true" outlineLevel="0" collapsed="false">
      <c r="A2912" s="2" t="str">
        <f aca="false">HYPERLINK("https://www.fabsurplus.com/sdi_catalog/salesItemDetails.do?id=103382")</f>
        <v>https://www.fabsurplus.com/sdi_catalog/salesItemDetails.do?id=103382</v>
      </c>
      <c r="B2912" s="2" t="s">
        <v>8314</v>
      </c>
      <c r="C2912" s="2" t="s">
        <v>8315</v>
      </c>
      <c r="D2912" s="2" t="s">
        <v>8316</v>
      </c>
      <c r="E2912" s="2" t="s">
        <v>8317</v>
      </c>
      <c r="F2912" s="2" t="s">
        <v>16</v>
      </c>
      <c r="G2912" s="2" t="s">
        <v>26</v>
      </c>
      <c r="H2912" s="2" t="s">
        <v>35</v>
      </c>
      <c r="I2912" s="7" t="n">
        <v>34820</v>
      </c>
      <c r="J2912" s="2" t="s">
        <v>19</v>
      </c>
      <c r="K2912" s="2" t="s">
        <v>20</v>
      </c>
      <c r="L2912" s="6" t="s">
        <v>8318</v>
      </c>
    </row>
    <row r="2913" customFormat="false" ht="11.9" hidden="false" customHeight="true" outlineLevel="0" collapsed="false">
      <c r="A2913" s="3" t="str">
        <f aca="false">HYPERLINK("https://www.fabsurplus.com/sdi_catalog/salesItemDetails.do?id=83826")</f>
        <v>https://www.fabsurplus.com/sdi_catalog/salesItemDetails.do?id=83826</v>
      </c>
      <c r="B2913" s="3" t="s">
        <v>8319</v>
      </c>
      <c r="C2913" s="3" t="s">
        <v>8320</v>
      </c>
      <c r="D2913" s="3" t="s">
        <v>8321</v>
      </c>
      <c r="E2913" s="3" t="s">
        <v>6844</v>
      </c>
      <c r="F2913" s="3" t="s">
        <v>16</v>
      </c>
      <c r="G2913" s="3" t="s">
        <v>41</v>
      </c>
      <c r="H2913" s="3" t="s">
        <v>1691</v>
      </c>
      <c r="I2913" s="3"/>
      <c r="J2913" s="3" t="s">
        <v>19</v>
      </c>
      <c r="K2913" s="3" t="s">
        <v>20</v>
      </c>
      <c r="L2913" s="5" t="s">
        <v>8322</v>
      </c>
    </row>
    <row r="2914" customFormat="false" ht="11.9" hidden="false" customHeight="true" outlineLevel="0" collapsed="false">
      <c r="A2914" s="3" t="str">
        <f aca="false">HYPERLINK("https://www.fabsurplus.com/sdi_catalog/salesItemDetails.do?id=84233")</f>
        <v>https://www.fabsurplus.com/sdi_catalog/salesItemDetails.do?id=84233</v>
      </c>
      <c r="B2914" s="3" t="s">
        <v>8323</v>
      </c>
      <c r="C2914" s="3" t="s">
        <v>8324</v>
      </c>
      <c r="D2914" s="3" t="s">
        <v>8325</v>
      </c>
      <c r="E2914" s="3" t="s">
        <v>8326</v>
      </c>
      <c r="F2914" s="3" t="s">
        <v>16</v>
      </c>
      <c r="G2914" s="3" t="s">
        <v>26</v>
      </c>
      <c r="H2914" s="3" t="s">
        <v>35</v>
      </c>
      <c r="I2914" s="3"/>
      <c r="J2914" s="3" t="s">
        <v>19</v>
      </c>
      <c r="K2914" s="3" t="s">
        <v>20</v>
      </c>
      <c r="L2914" s="5" t="s">
        <v>8327</v>
      </c>
    </row>
    <row r="2915" customFormat="false" ht="11.9" hidden="false" customHeight="true" outlineLevel="0" collapsed="false">
      <c r="A2915" s="2" t="str">
        <f aca="false">HYPERLINK("https://www.fabsurplus.com/sdi_catalog/salesItemDetails.do?id=77171")</f>
        <v>https://www.fabsurplus.com/sdi_catalog/salesItemDetails.do?id=77171</v>
      </c>
      <c r="B2915" s="2" t="s">
        <v>8328</v>
      </c>
      <c r="C2915" s="2" t="s">
        <v>8329</v>
      </c>
      <c r="D2915" s="2" t="s">
        <v>8330</v>
      </c>
      <c r="E2915" s="2" t="s">
        <v>8331</v>
      </c>
      <c r="F2915" s="2" t="s">
        <v>16</v>
      </c>
      <c r="G2915" s="2" t="s">
        <v>26</v>
      </c>
      <c r="H2915" s="2" t="s">
        <v>944</v>
      </c>
      <c r="I2915" s="7" t="n">
        <v>39022</v>
      </c>
      <c r="J2915" s="2" t="s">
        <v>19</v>
      </c>
      <c r="K2915" s="2" t="s">
        <v>20</v>
      </c>
      <c r="L2915" s="6" t="s">
        <v>8332</v>
      </c>
    </row>
    <row r="2916" customFormat="false" ht="11.9" hidden="false" customHeight="true" outlineLevel="0" collapsed="false">
      <c r="A2916" s="3" t="str">
        <f aca="false">HYPERLINK("https://www.fabsurplus.com/sdi_catalog/salesItemDetails.do?id=77164")</f>
        <v>https://www.fabsurplus.com/sdi_catalog/salesItemDetails.do?id=77164</v>
      </c>
      <c r="B2916" s="3" t="s">
        <v>8333</v>
      </c>
      <c r="C2916" s="3" t="s">
        <v>8334</v>
      </c>
      <c r="D2916" s="3" t="s">
        <v>8335</v>
      </c>
      <c r="E2916" s="3" t="s">
        <v>8336</v>
      </c>
      <c r="F2916" s="3" t="s">
        <v>16</v>
      </c>
      <c r="G2916" s="3" t="s">
        <v>26</v>
      </c>
      <c r="H2916" s="3" t="s">
        <v>944</v>
      </c>
      <c r="I2916" s="3"/>
      <c r="J2916" s="3" t="s">
        <v>19</v>
      </c>
      <c r="K2916" s="3" t="s">
        <v>20</v>
      </c>
      <c r="L2916" s="5" t="s">
        <v>8337</v>
      </c>
    </row>
    <row r="2917" customFormat="false" ht="11.9" hidden="false" customHeight="true" outlineLevel="0" collapsed="false">
      <c r="A2917" s="2" t="str">
        <f aca="false">HYPERLINK("https://www.fabsurplus.com/sdi_catalog/salesItemDetails.do?id=108981")</f>
        <v>https://www.fabsurplus.com/sdi_catalog/salesItemDetails.do?id=108981</v>
      </c>
      <c r="B2917" s="2" t="s">
        <v>8338</v>
      </c>
      <c r="C2917" s="2" t="s">
        <v>8339</v>
      </c>
      <c r="D2917" s="2" t="s">
        <v>8340</v>
      </c>
      <c r="E2917" s="2" t="s">
        <v>8341</v>
      </c>
      <c r="F2917" s="2" t="s">
        <v>16</v>
      </c>
      <c r="G2917" s="2" t="s">
        <v>26</v>
      </c>
      <c r="H2917" s="2" t="s">
        <v>35</v>
      </c>
      <c r="I2917" s="7" t="n">
        <v>34486</v>
      </c>
      <c r="J2917" s="2" t="s">
        <v>19</v>
      </c>
      <c r="K2917" s="2" t="s">
        <v>20</v>
      </c>
      <c r="L2917" s="6" t="s">
        <v>8342</v>
      </c>
    </row>
    <row r="2918" customFormat="false" ht="11.9" hidden="false" customHeight="true" outlineLevel="0" collapsed="false">
      <c r="A2918" s="3" t="str">
        <f aca="false">HYPERLINK("https://www.fabsurplus.com/sdi_catalog/salesItemDetails.do?id=77165")</f>
        <v>https://www.fabsurplus.com/sdi_catalog/salesItemDetails.do?id=77165</v>
      </c>
      <c r="B2918" s="3" t="s">
        <v>8343</v>
      </c>
      <c r="C2918" s="3" t="s">
        <v>8344</v>
      </c>
      <c r="D2918" s="3" t="s">
        <v>8345</v>
      </c>
      <c r="E2918" s="3" t="s">
        <v>8346</v>
      </c>
      <c r="F2918" s="3" t="s">
        <v>16</v>
      </c>
      <c r="G2918" s="3" t="s">
        <v>26</v>
      </c>
      <c r="H2918" s="3" t="s">
        <v>944</v>
      </c>
      <c r="I2918" s="3"/>
      <c r="J2918" s="3" t="s">
        <v>19</v>
      </c>
      <c r="K2918" s="3" t="s">
        <v>20</v>
      </c>
      <c r="L2918" s="5" t="s">
        <v>8347</v>
      </c>
    </row>
    <row r="2919" customFormat="false" ht="11.9" hidden="false" customHeight="true" outlineLevel="0" collapsed="false">
      <c r="A2919" s="2" t="str">
        <f aca="false">HYPERLINK("https://www.fabsurplus.com/sdi_catalog/salesItemDetails.do?id=82219")</f>
        <v>https://www.fabsurplus.com/sdi_catalog/salesItemDetails.do?id=82219</v>
      </c>
      <c r="B2919" s="2" t="s">
        <v>8348</v>
      </c>
      <c r="C2919" s="2" t="s">
        <v>8349</v>
      </c>
      <c r="D2919" s="2" t="s">
        <v>8350</v>
      </c>
      <c r="E2919" s="2" t="s">
        <v>8351</v>
      </c>
      <c r="F2919" s="2" t="s">
        <v>77</v>
      </c>
      <c r="G2919" s="2" t="s">
        <v>17</v>
      </c>
      <c r="H2919" s="2" t="s">
        <v>27</v>
      </c>
      <c r="I2919" s="7" t="n">
        <v>36311.9166666667</v>
      </c>
      <c r="J2919" s="2" t="s">
        <v>19</v>
      </c>
      <c r="K2919" s="2" t="s">
        <v>20</v>
      </c>
      <c r="L2919" s="6" t="s">
        <v>8352</v>
      </c>
    </row>
    <row r="2920" customFormat="false" ht="11.9" hidden="false" customHeight="true" outlineLevel="0" collapsed="false">
      <c r="A2920" s="3" t="str">
        <f aca="false">HYPERLINK("https://www.fabsurplus.com/sdi_catalog/salesItemDetails.do?id=105856")</f>
        <v>https://www.fabsurplus.com/sdi_catalog/salesItemDetails.do?id=105856</v>
      </c>
      <c r="B2920" s="3" t="s">
        <v>8353</v>
      </c>
      <c r="C2920" s="3" t="s">
        <v>8354</v>
      </c>
      <c r="D2920" s="3" t="s">
        <v>8355</v>
      </c>
      <c r="E2920" s="3" t="s">
        <v>8356</v>
      </c>
      <c r="F2920" s="3" t="s">
        <v>16</v>
      </c>
      <c r="G2920" s="3" t="s">
        <v>26</v>
      </c>
      <c r="H2920" s="3" t="s">
        <v>35</v>
      </c>
      <c r="I2920" s="4" t="n">
        <v>34850.9166666667</v>
      </c>
      <c r="J2920" s="3" t="s">
        <v>19</v>
      </c>
      <c r="K2920" s="3"/>
      <c r="L2920" s="5" t="s">
        <v>8357</v>
      </c>
    </row>
    <row r="2921" customFormat="false" ht="11.9" hidden="false" customHeight="true" outlineLevel="0" collapsed="false">
      <c r="A2921" s="2" t="str">
        <f aca="false">HYPERLINK("https://www.fabsurplus.com/sdi_catalog/salesItemDetails.do?id=105857")</f>
        <v>https://www.fabsurplus.com/sdi_catalog/salesItemDetails.do?id=105857</v>
      </c>
      <c r="B2921" s="2" t="s">
        <v>8358</v>
      </c>
      <c r="C2921" s="2" t="s">
        <v>8354</v>
      </c>
      <c r="D2921" s="2" t="s">
        <v>8355</v>
      </c>
      <c r="E2921" s="2" t="s">
        <v>8359</v>
      </c>
      <c r="F2921" s="2" t="s">
        <v>16</v>
      </c>
      <c r="G2921" s="2" t="s">
        <v>26</v>
      </c>
      <c r="H2921" s="2" t="s">
        <v>35</v>
      </c>
      <c r="I2921" s="7" t="n">
        <v>34850.9166666667</v>
      </c>
      <c r="J2921" s="2" t="s">
        <v>19</v>
      </c>
      <c r="K2921" s="2" t="s">
        <v>20</v>
      </c>
      <c r="L2921" s="6" t="s">
        <v>8360</v>
      </c>
    </row>
    <row r="2922" customFormat="false" ht="11.9" hidden="false" customHeight="true" outlineLevel="0" collapsed="false">
      <c r="A2922" s="3" t="str">
        <f aca="false">HYPERLINK("https://www.fabsurplus.com/sdi_catalog/salesItemDetails.do?id=84100")</f>
        <v>https://www.fabsurplus.com/sdi_catalog/salesItemDetails.do?id=84100</v>
      </c>
      <c r="B2922" s="3" t="s">
        <v>8361</v>
      </c>
      <c r="C2922" s="3" t="s">
        <v>8362</v>
      </c>
      <c r="D2922" s="3" t="s">
        <v>8363</v>
      </c>
      <c r="E2922" s="3" t="s">
        <v>8364</v>
      </c>
      <c r="F2922" s="3" t="s">
        <v>101</v>
      </c>
      <c r="G2922" s="3"/>
      <c r="H2922" s="3" t="s">
        <v>35</v>
      </c>
      <c r="I2922" s="3"/>
      <c r="J2922" s="3" t="s">
        <v>19</v>
      </c>
      <c r="K2922" s="3" t="s">
        <v>20</v>
      </c>
      <c r="L2922" s="5" t="s">
        <v>8365</v>
      </c>
    </row>
    <row r="2923" customFormat="false" ht="11.9" hidden="false" customHeight="true" outlineLevel="0" collapsed="false">
      <c r="A2923" s="2" t="str">
        <f aca="false">HYPERLINK("https://www.fabsurplus.com/sdi_catalog/salesItemDetails.do?id=105863")</f>
        <v>https://www.fabsurplus.com/sdi_catalog/salesItemDetails.do?id=105863</v>
      </c>
      <c r="B2923" s="2" t="s">
        <v>8366</v>
      </c>
      <c r="C2923" s="2" t="s">
        <v>8367</v>
      </c>
      <c r="D2923" s="2" t="s">
        <v>8368</v>
      </c>
      <c r="E2923" s="2" t="s">
        <v>8369</v>
      </c>
      <c r="F2923" s="2" t="s">
        <v>16</v>
      </c>
      <c r="G2923" s="2" t="s">
        <v>26</v>
      </c>
      <c r="H2923" s="2" t="s">
        <v>1691</v>
      </c>
      <c r="I2923" s="7" t="n">
        <v>35581.9166666667</v>
      </c>
      <c r="J2923" s="2" t="s">
        <v>19</v>
      </c>
      <c r="K2923" s="2" t="s">
        <v>20</v>
      </c>
      <c r="L2923" s="6" t="s">
        <v>8370</v>
      </c>
    </row>
    <row r="2924" customFormat="false" ht="11.9" hidden="false" customHeight="true" outlineLevel="0" collapsed="false">
      <c r="A2924" s="3" t="str">
        <f aca="false">HYPERLINK("https://www.fabsurplus.com/sdi_catalog/salesItemDetails.do?id=53033")</f>
        <v>https://www.fabsurplus.com/sdi_catalog/salesItemDetails.do?id=53033</v>
      </c>
      <c r="B2924" s="3" t="s">
        <v>8371</v>
      </c>
      <c r="C2924" s="3" t="s">
        <v>8372</v>
      </c>
      <c r="D2924" s="3" t="s">
        <v>8373</v>
      </c>
      <c r="E2924" s="3" t="s">
        <v>8374</v>
      </c>
      <c r="F2924" s="3" t="s">
        <v>16</v>
      </c>
      <c r="G2924" s="3" t="s">
        <v>17</v>
      </c>
      <c r="H2924" s="3" t="s">
        <v>27</v>
      </c>
      <c r="I2924" s="3"/>
      <c r="J2924" s="3" t="s">
        <v>19</v>
      </c>
      <c r="K2924" s="3" t="s">
        <v>20</v>
      </c>
      <c r="L2924" s="5" t="s">
        <v>8375</v>
      </c>
    </row>
    <row r="2925" customFormat="false" ht="11.9" hidden="false" customHeight="true" outlineLevel="0" collapsed="false">
      <c r="A2925" s="2" t="str">
        <f aca="false">HYPERLINK("https://www.fabsurplus.com/sdi_catalog/salesItemDetails.do?id=83866")</f>
        <v>https://www.fabsurplus.com/sdi_catalog/salesItemDetails.do?id=83866</v>
      </c>
      <c r="B2925" s="2" t="s">
        <v>8376</v>
      </c>
      <c r="C2925" s="2" t="s">
        <v>8377</v>
      </c>
      <c r="D2925" s="2" t="s">
        <v>8378</v>
      </c>
      <c r="E2925" s="2" t="s">
        <v>8379</v>
      </c>
      <c r="F2925" s="2" t="s">
        <v>199</v>
      </c>
      <c r="G2925" s="2"/>
      <c r="H2925" s="2" t="s">
        <v>35</v>
      </c>
      <c r="I2925" s="2"/>
      <c r="J2925" s="2" t="s">
        <v>19</v>
      </c>
      <c r="K2925" s="2" t="s">
        <v>20</v>
      </c>
      <c r="L2925" s="6" t="s">
        <v>8380</v>
      </c>
    </row>
    <row r="2926" customFormat="false" ht="11.9" hidden="false" customHeight="true" outlineLevel="0" collapsed="false">
      <c r="A2926" s="3" t="str">
        <f aca="false">HYPERLINK("https://www.fabsurplus.com/sdi_catalog/salesItemDetails.do?id=83865")</f>
        <v>https://www.fabsurplus.com/sdi_catalog/salesItemDetails.do?id=83865</v>
      </c>
      <c r="B2926" s="3" t="s">
        <v>8381</v>
      </c>
      <c r="C2926" s="3" t="s">
        <v>8377</v>
      </c>
      <c r="D2926" s="3" t="s">
        <v>8382</v>
      </c>
      <c r="E2926" s="3" t="s">
        <v>8383</v>
      </c>
      <c r="F2926" s="3" t="s">
        <v>104</v>
      </c>
      <c r="G2926" s="3"/>
      <c r="H2926" s="3" t="s">
        <v>35</v>
      </c>
      <c r="I2926" s="3"/>
      <c r="J2926" s="3" t="s">
        <v>19</v>
      </c>
      <c r="K2926" s="3" t="s">
        <v>20</v>
      </c>
      <c r="L2926" s="5" t="s">
        <v>8384</v>
      </c>
    </row>
    <row r="2927" customFormat="false" ht="11.9" hidden="false" customHeight="true" outlineLevel="0" collapsed="false">
      <c r="A2927" s="3" t="str">
        <f aca="false">HYPERLINK("https://www.fabsurplus.com/sdi_catalog/salesItemDetails.do?id=83861")</f>
        <v>https://www.fabsurplus.com/sdi_catalog/salesItemDetails.do?id=83861</v>
      </c>
      <c r="B2927" s="3" t="s">
        <v>8385</v>
      </c>
      <c r="C2927" s="3" t="s">
        <v>8377</v>
      </c>
      <c r="D2927" s="3" t="s">
        <v>8386</v>
      </c>
      <c r="E2927" s="3" t="s">
        <v>8387</v>
      </c>
      <c r="F2927" s="3" t="s">
        <v>16</v>
      </c>
      <c r="G2927" s="3"/>
      <c r="H2927" s="3" t="s">
        <v>35</v>
      </c>
      <c r="I2927" s="3"/>
      <c r="J2927" s="3" t="s">
        <v>19</v>
      </c>
      <c r="K2927" s="3" t="s">
        <v>20</v>
      </c>
      <c r="L2927" s="5" t="s">
        <v>8388</v>
      </c>
    </row>
    <row r="2928" customFormat="false" ht="11.9" hidden="false" customHeight="true" outlineLevel="0" collapsed="false">
      <c r="A2928" s="2" t="str">
        <f aca="false">HYPERLINK("https://www.fabsurplus.com/sdi_catalog/salesItemDetails.do?id=83864")</f>
        <v>https://www.fabsurplus.com/sdi_catalog/salesItemDetails.do?id=83864</v>
      </c>
      <c r="B2928" s="2" t="s">
        <v>8389</v>
      </c>
      <c r="C2928" s="2" t="s">
        <v>8377</v>
      </c>
      <c r="D2928" s="2" t="s">
        <v>8390</v>
      </c>
      <c r="E2928" s="2" t="s">
        <v>8391</v>
      </c>
      <c r="F2928" s="2" t="s">
        <v>77</v>
      </c>
      <c r="G2928" s="2"/>
      <c r="H2928" s="2" t="s">
        <v>35</v>
      </c>
      <c r="I2928" s="2"/>
      <c r="J2928" s="2" t="s">
        <v>19</v>
      </c>
      <c r="K2928" s="2" t="s">
        <v>20</v>
      </c>
      <c r="L2928" s="6" t="s">
        <v>8392</v>
      </c>
    </row>
    <row r="2929" customFormat="false" ht="11.9" hidden="false" customHeight="true" outlineLevel="0" collapsed="false">
      <c r="A2929" s="3" t="str">
        <f aca="false">HYPERLINK("https://www.fabsurplus.com/sdi_catalog/salesItemDetails.do?id=84097")</f>
        <v>https://www.fabsurplus.com/sdi_catalog/salesItemDetails.do?id=84097</v>
      </c>
      <c r="B2929" s="3" t="s">
        <v>8393</v>
      </c>
      <c r="C2929" s="3" t="s">
        <v>8377</v>
      </c>
      <c r="D2929" s="3" t="s">
        <v>8394</v>
      </c>
      <c r="E2929" s="3" t="s">
        <v>8395</v>
      </c>
      <c r="F2929" s="3" t="s">
        <v>16</v>
      </c>
      <c r="G2929" s="3"/>
      <c r="H2929" s="3" t="s">
        <v>35</v>
      </c>
      <c r="I2929" s="3"/>
      <c r="J2929" s="3" t="s">
        <v>19</v>
      </c>
      <c r="K2929" s="3" t="s">
        <v>20</v>
      </c>
      <c r="L2929" s="5" t="s">
        <v>8396</v>
      </c>
    </row>
    <row r="2930" customFormat="false" ht="11.9" hidden="false" customHeight="true" outlineLevel="0" collapsed="false">
      <c r="A2930" s="2" t="str">
        <f aca="false">HYPERLINK("https://www.fabsurplus.com/sdi_catalog/salesItemDetails.do?id=83738")</f>
        <v>https://www.fabsurplus.com/sdi_catalog/salesItemDetails.do?id=83738</v>
      </c>
      <c r="B2930" s="2" t="s">
        <v>8397</v>
      </c>
      <c r="C2930" s="2" t="s">
        <v>8377</v>
      </c>
      <c r="D2930" s="2" t="s">
        <v>8398</v>
      </c>
      <c r="E2930" s="2" t="s">
        <v>8399</v>
      </c>
      <c r="F2930" s="2" t="s">
        <v>16</v>
      </c>
      <c r="G2930" s="2"/>
      <c r="H2930" s="2" t="s">
        <v>35</v>
      </c>
      <c r="I2930" s="2"/>
      <c r="J2930" s="2" t="s">
        <v>19</v>
      </c>
      <c r="K2930" s="2" t="s">
        <v>20</v>
      </c>
      <c r="L2930" s="6" t="s">
        <v>8400</v>
      </c>
    </row>
    <row r="2931" customFormat="false" ht="11.9" hidden="false" customHeight="true" outlineLevel="0" collapsed="false">
      <c r="A2931" s="2" t="str">
        <f aca="false">HYPERLINK("https://www.fabsurplus.com/sdi_catalog/salesItemDetails.do?id=84077")</f>
        <v>https://www.fabsurplus.com/sdi_catalog/salesItemDetails.do?id=84077</v>
      </c>
      <c r="B2931" s="2" t="s">
        <v>8401</v>
      </c>
      <c r="C2931" s="2" t="s">
        <v>8377</v>
      </c>
      <c r="D2931" s="2" t="s">
        <v>8402</v>
      </c>
      <c r="E2931" s="2" t="s">
        <v>8403</v>
      </c>
      <c r="F2931" s="2" t="s">
        <v>16</v>
      </c>
      <c r="G2931" s="2"/>
      <c r="H2931" s="2" t="s">
        <v>27</v>
      </c>
      <c r="I2931" s="2"/>
      <c r="J2931" s="2" t="s">
        <v>19</v>
      </c>
      <c r="K2931" s="2" t="s">
        <v>20</v>
      </c>
      <c r="L2931" s="6" t="s">
        <v>8404</v>
      </c>
    </row>
    <row r="2932" customFormat="false" ht="11.9" hidden="false" customHeight="true" outlineLevel="0" collapsed="false">
      <c r="A2932" s="3" t="str">
        <f aca="false">HYPERLINK("https://www.fabsurplus.com/sdi_catalog/salesItemDetails.do?id=84242")</f>
        <v>https://www.fabsurplus.com/sdi_catalog/salesItemDetails.do?id=84242</v>
      </c>
      <c r="B2932" s="3" t="s">
        <v>8405</v>
      </c>
      <c r="C2932" s="3" t="s">
        <v>8377</v>
      </c>
      <c r="D2932" s="3" t="s">
        <v>8406</v>
      </c>
      <c r="E2932" s="3" t="s">
        <v>8407</v>
      </c>
      <c r="F2932" s="3" t="s">
        <v>16</v>
      </c>
      <c r="G2932" s="3"/>
      <c r="H2932" s="3" t="s">
        <v>35</v>
      </c>
      <c r="I2932" s="3"/>
      <c r="J2932" s="3" t="s">
        <v>19</v>
      </c>
      <c r="K2932" s="3" t="s">
        <v>20</v>
      </c>
      <c r="L2932" s="3" t="s">
        <v>8408</v>
      </c>
    </row>
    <row r="2933" customFormat="false" ht="11.9" hidden="false" customHeight="true" outlineLevel="0" collapsed="false">
      <c r="A2933" s="3" t="str">
        <f aca="false">HYPERLINK("https://www.fabsurplus.com/sdi_catalog/salesItemDetails.do?id=83939")</f>
        <v>https://www.fabsurplus.com/sdi_catalog/salesItemDetails.do?id=83939</v>
      </c>
      <c r="B2933" s="3" t="s">
        <v>8409</v>
      </c>
      <c r="C2933" s="3" t="s">
        <v>8377</v>
      </c>
      <c r="D2933" s="3" t="s">
        <v>8410</v>
      </c>
      <c r="E2933" s="3" t="s">
        <v>8411</v>
      </c>
      <c r="F2933" s="3" t="s">
        <v>16</v>
      </c>
      <c r="G2933" s="3"/>
      <c r="H2933" s="3" t="s">
        <v>35</v>
      </c>
      <c r="I2933" s="3"/>
      <c r="J2933" s="3" t="s">
        <v>19</v>
      </c>
      <c r="K2933" s="3" t="s">
        <v>20</v>
      </c>
      <c r="L2933" s="5" t="s">
        <v>8412</v>
      </c>
    </row>
    <row r="2934" customFormat="false" ht="11.9" hidden="false" customHeight="true" outlineLevel="0" collapsed="false">
      <c r="A2934" s="2" t="str">
        <f aca="false">HYPERLINK("https://www.fabsurplus.com/sdi_catalog/salesItemDetails.do?id=84101")</f>
        <v>https://www.fabsurplus.com/sdi_catalog/salesItemDetails.do?id=84101</v>
      </c>
      <c r="B2934" s="2" t="s">
        <v>8413</v>
      </c>
      <c r="C2934" s="2" t="s">
        <v>8377</v>
      </c>
      <c r="D2934" s="2" t="s">
        <v>8414</v>
      </c>
      <c r="E2934" s="2" t="s">
        <v>8415</v>
      </c>
      <c r="F2934" s="2" t="s">
        <v>16</v>
      </c>
      <c r="G2934" s="2"/>
      <c r="H2934" s="2" t="s">
        <v>35</v>
      </c>
      <c r="I2934" s="2"/>
      <c r="J2934" s="2" t="s">
        <v>19</v>
      </c>
      <c r="K2934" s="2" t="s">
        <v>20</v>
      </c>
      <c r="L2934" s="6" t="s">
        <v>8416</v>
      </c>
    </row>
    <row r="2935" customFormat="false" ht="11.9" hidden="false" customHeight="true" outlineLevel="0" collapsed="false">
      <c r="A2935" s="2" t="str">
        <f aca="false">HYPERLINK("https://www.fabsurplus.com/sdi_catalog/salesItemDetails.do?id=71497")</f>
        <v>https://www.fabsurplus.com/sdi_catalog/salesItemDetails.do?id=71497</v>
      </c>
      <c r="B2935" s="2" t="s">
        <v>8417</v>
      </c>
      <c r="C2935" s="2" t="s">
        <v>8418</v>
      </c>
      <c r="D2935" s="2" t="s">
        <v>8419</v>
      </c>
      <c r="E2935" s="2" t="s">
        <v>8420</v>
      </c>
      <c r="F2935" s="2" t="s">
        <v>16</v>
      </c>
      <c r="G2935" s="2" t="s">
        <v>17</v>
      </c>
      <c r="H2935" s="2" t="s">
        <v>27</v>
      </c>
      <c r="I2935" s="2"/>
      <c r="J2935" s="2" t="s">
        <v>19</v>
      </c>
      <c r="K2935" s="2" t="s">
        <v>20</v>
      </c>
      <c r="L2935" s="6" t="s">
        <v>8421</v>
      </c>
    </row>
  </sheetData>
  <printOptions headings="false" gridLines="false" gridLinesSet="true" horizontalCentered="false" verticalCentered="false"/>
  <pageMargins left="0.747916666666667" right="0.747916666666667" top="0.984027777777778" bottom="0.984027777777778"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12</TotalTime>
  <Application>LibreOffice/24.2.7.2$Linux_X86_64 LibreOffice_project/420$Build-2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en-US</dc:language>
  <cp:lastModifiedBy/>
  <dcterms:modified xsi:type="dcterms:W3CDTF">2025-06-09T11:30:27Z</dcterms:modified>
  <cp:revision>4</cp:revision>
  <dc:subject/>
  <dc:title/>
</cp:coreProperties>
</file>