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<sst xmlns="http://schemas.openxmlformats.org/spreadsheetml/2006/main" count="38309" uniqueCount="12830">
  <si>
    <t xml:space="preserve">URL</t>
  </si>
  <si>
    <t xml:space="preserve">SDI ID</t>
  </si>
  <si>
    <t xml:space="preserve">Manufacturer</t>
  </si>
  <si>
    <t xml:space="preserve">Model</t>
  </si>
  <si>
    <t xml:space="preserve">Description</t>
  </si>
  <si>
    <t xml:space="preserve">QTY</t>
  </si>
  <si>
    <t xml:space="preserve">Version</t>
  </si>
  <si>
    <t xml:space="preserve">Condition</t>
  </si>
  <si>
    <t xml:space="preserve">Vintage</t>
  </si>
  <si>
    <t xml:space="preserve">Sales conditions</t>
  </si>
  <si>
    <t xml:space="preserve">Lead Time</t>
  </si>
  <si>
    <t xml:space="preserve">Comments</t>
  </si>
  <si>
    <t xml:space="preserve">54859</t>
  </si>
  <si>
    <t xml:space="preserve">35 MWp</t>
  </si>
  <si>
    <t xml:space="preserve">Baccini</t>
  </si>
  <si>
    <t xml:space="preserve">Solar Cell Print line for Mono or Poly Crystalline Solar Cells</t>
  </si>
  <si>
    <t xml:space="preserve">1</t>
  </si>
  <si>
    <t xml:space="preserve">156 mm</t>
  </si>
  <si>
    <t xml:space="preserve">excellent</t>
  </si>
  <si>
    <t xml:space="preserve">as is where is</t>
  </si>
  <si>
    <t xml:space="preserve">immediately</t>
  </si>
  <si>
    <t xml:space="preserve">Location: Port Klang, Malaysia.
Front end of line (Printers and dryers, chip and crack camera) s/n: 
900140650010
***********************************************************************************************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</si>
  <si>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106039</t>
  </si>
  <si>
    <t xml:space="preserve">6 inch</t>
  </si>
  <si>
    <t xml:space="preserve">Complete</t>
  </si>
  <si>
    <t xml:space="preserve">MEMS Production Facility for Sale</t>
  </si>
  <si>
    <t xml:space="preserve">4 inch and 6 inch</t>
  </si>
  <si>
    <t xml:space="preserve">Complete MEMS production facility for sale.
-Items for sale include the entire cleanroom facility, its utilities, and 
equipment.
-Devices being manufactured: Pressure and Flow Sensors
-Approx. production capacity: 100 wpm
-Design rule: 1 uM
-Overall facility mq: 415
-80 m2 class 100 cleanroom
Cleanroom Equipment
All equipment is capable of processing both 4-inch wafers and
6-inch wafers, with a few tools also being capable of running
8-inch wafers. The toolset includes:
- Sputter Deposition System
- E-Beam Evaporator
- High Temperature Furnaces
- Plasma Oxygen Asher
- Solvent Bench
- Acid/Base Benches
- Photo-Resist Spinner
- Rinser/Dryer Tools (4 sets)
- Nanoscope
- Programmable Ovens
- EVG Aligners, 2 sets
- Bonder, 2 sets (anodic, thermal, fusion)
- Mega Sonic Cleaner
- Ultra Sonic cleaner/liftoff
- Screen printer for glass frit printing
- Matrix System Photo Resist Stripper
- Automated Wafer Lithography Track
- Wafer Scrubber
- EDP Reactor Cell
A full equipment list is available on request.
Machine Shop
A machine shop is included with the facility.
Main equipment:-
- CNC Milling and Drilling Machines
- 6-inch Disc Sander, 7-inch Metal Cutting Band Saw, 20-inch
Vertical Band Saw
- Lathe
- Milling and Drilling Machines (Acra &amp; Lagun-Republic)
Centralized Utilities
- DI Water
- Pure Nitrogen
- Comprehensive Piped Waste Management System
- Compressed Air (multiple generators)
- Vacuum
- Chilled Water
- Fire and Security Monitoring System
- Dedicated Power Supply (480 V, 208 V, 3 phase)
- Uninterrupted Power Supply for the Entire Cleanroom Facility
- High-Speed Digital Telephone &amp; Computer Network System
Process Capabilities:-
- Photolithography
- Wafer-to-wafer alignment
- Double-side alignment and photolithography
- Shadow Mask alignment
- Wet chemical processes for a variety of applications (standard wafer 
clean and chemical
processing for cleaning, etching, photolithography, electroplating, etc.)
- Silicon etching (EDP, KOH and HF/HN- 3 )
- Thermal Oxidation
- Boron Diffusion
- Thermal Annealing
- Evaporation
- Sputtering
- Anodic Bonding
- Pre-Fusion &amp; Fusion Bonding
- Plasma Asher
- Mega Sonic Cleaning
- Ultrasonic cleaning
- Liftoff
- Wyk- (optical surface profilometer)
- Dektak (step measurement)
- Nanoscope (film thickness measurement)</t>
  </si>
  <si>
    <t xml:space="preserve">98785</t>
  </si>
  <si>
    <t xml:space="preserve">60 MWp</t>
  </si>
  <si>
    <t xml:space="preserve">Solar Cell Print Line for Mono or Poly Crystalline Solar Cells</t>
  </si>
  <si>
    <t xml:space="preserve">Solar</t>
  </si>
  <si>
    <t xml:space="preserve">good</t>
  </si>
  <si>
    <t xml:space="preserve">De-installed, warehoused, can be inspected by appointment.
Located in Avezzano, Italy, and warehoused.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sn 9.0085.1550.090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</si>
  <si>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 xml:space="preserve">109082</t>
  </si>
  <si>
    <t xml:space="preserve">8 inch</t>
  </si>
  <si>
    <t xml:space="preserve">Wafer fab Line for sale</t>
  </si>
  <si>
    <t xml:space="preserve">470</t>
  </si>
  <si>
    <t xml:space="preserve">200 mm</t>
  </si>
  <si>
    <t xml:space="preserve">-Complete 8 inch line of equipment for immediate sale
-The equipment has been shut down since December 2022, and remains in situ 
in the fab
-The equipment is available for immediate move-out from the fab
-Design rule: 0.22um~0.35um
-40K-50K wafer starts per month
-The devices being produced on the line were (MCUs/MPUs), power devices, RF 
transceivers, amplifiers and sensors.
-Total approx. 470 equipment sets for sale
-The equipment includes the following major items:-
AMAT P5000 and Centura 5200 Etch
AMAT 9500 Implanters
AMAT Endura 5500 PVD
ASM E2000 Epi
AMAT Semvision SEMS
Axcelis M200PC UV Bake
Brooks stockers
Canon i5 and EX5 steppers
Disco Dicing saws
Gasonics L3510 Ashers
FSI Mercury cleans
HP 4062 testers
KLA 6100, 5100, 2133 Metrology
Lam Alliance A6 and TCP etchers
Lam 4520i etchers
Novellus C1 CVD
Lam DSS200 scrubbers
R2D wafer sorters
SCP and Semitool cleans
SVG 90 tracks
TEL P8XL probers
Thermawave Optiprobe metrology
Thermco VTR 7000 furnaces
TEL Mark 8 and ACT 8 Coaters/ Developers
-The full equipment for sale list is available on request.
-Inspection is available by appointment</t>
  </si>
  <si>
    <t xml:space="preserve">108975</t>
  </si>
  <si>
    <t xml:space="preserve">Wafer fab Line</t>
  </si>
  <si>
    <t xml:space="preserve">inquire</t>
  </si>
  <si>
    <t xml:space="preserve">35,000 WPM
200 mm wafers, Ballroom type cleanroom with SMIF loading
Process technology: 180 nm to 700 nm
Wafer types run: Compound Semi, Silicon
Technologies produced: Mosfets, Igbt, CMOS
Currently operational</t>
  </si>
  <si>
    <t xml:space="preserve">108645</t>
  </si>
  <si>
    <t xml:space="preserve">8 inch / 6 inch</t>
  </si>
  <si>
    <t xml:space="preserve">Partial</t>
  </si>
  <si>
    <t xml:space="preserve">Bumping Wafer Fab Line</t>
  </si>
  <si>
    <t xml:space="preserve">79</t>
  </si>
  <si>
    <t xml:space="preserve">150 mm / 200 mm</t>
  </si>
  <si>
    <t xml:space="preserve">The following list of equipment has been used for the manufacture of 
advanced wafer bumping microchips.
The design rule was around an average of 1 uM.
Equipment was purchased in the range 1995 up until 2015.
The equipment was shut down in August 2022, and removed from the fab to 
warehouse storage by professional engineers.
Individual items are available for purchase.
Configurations are available on request.
Here follows the equipment list.
SDI ID 	Manufacturer 	Model 	Description 	Version 	Condition 	Vintage
106418 	Alessi 	REL-4100A 	Manual Prober 	150 mm/200 mm 	good 	01.06.2000
106419 	AMERIMADE 	6ft-fh-ss 	RESIST STRIP MANUAL WET BENCH 	150 mm/200 mm 	
good 	 
106427 	Blue M 	CC-13-C-P-B 	Blue M CC-13-C-P-B 	150 mm/200 mm 	  	 
106429 	Blue M 	DCC -1406-E-MP550 	Blue M Oven 	150 mm/200 mm 	excellent 	 
106430 	Blue M 	DCC 1406 E MP550 	Blue M Oven 	150 mm/200 mm 	excellent 	 
106431 	Blue M 	DCC-1406-B-MP550 	Blue M Oven 	Facilities 	excellent 	 
108644 	Buehler 	Ecomet 6 	Variable speed benchtop grinder 	150 mm/200 mm 	
good 	01.06.2006
106521 	Custom 	Polypropylene 3 ft Bench 	3ft Develop Hood Positive Resist 
Batch 	150 mm/200 mm 	good 	 
106440 	CUSTOM 	CUSTOM 	Granite Table and Drop Gauge used for post-grinding 
wafer thickness measurement 	150 mm/200 mm 	excellent 	 
108642 	Dage 	4000 	Bond Pull tester 	Assembly 	good 	01.06.2006
106447 	Dage 	4000 	DAGE 4000 SHEAR TESTER 	150 mm/200 mm 	good 	
01.06.2000
106448 	Dage 	4000 	OPS DAGE 4000 SHEAR TESTER w/computer 	150 mm/200 mm 	
good 	 
106482 	Datacon 	CS1250 	Die Pick and Sort to tape reel 	150 mm/200 mm/300 
MM 	excellent 	 
106449 	DEK 	Horizon 03iX - Model 710 	Solder / Paste Print Machine 	SMT 	
good 	01.06.2014
106450 	Delta 	4CJ 	Photoresist Coater 	150 mm/200 mm 	poor 	01.02.2005
106451 	Delta 	5AQ 	Positive Photoresist Developer 	200 mm 	good 	
01.06.2005
106454 	Delta 	6CV 	Photoresist Developer 	150 mm/200 mm 	good 	01.10.2006
106456 	Delta 	Custom 	DI Wafer Cleaner 	150 mm/200 mm 	good 	01.06.2005
106458 	Delta 	CUSTOM 	DI Wafer Cleaner 	150 mm/200 mm 	excellent 	 
106461 	Disco 	DFD6361 	DICING SAW 	200 mm 	excellent 	01.11.2009
106462 	Disco 	DFD6362 	DICING SAW 	150 mm/200 mm 	excellent 	01.05.2016
106463 	Disco 	DFD651 	8" Dual Spindle Automated DICING Saw 	150 mm/200 mm 	
good 	01.06.1995
106464 	Disco 	DFD651 	DICING SAW 	150 mm/200 mm 	good 	01.06.2000
106466 	ECI 	QL-10-EX 	PLATING BATH ANALYSER 	Facilities 	excellent 	 
106467 	EO Technic 	CSM-2000 	CHIP SCALE LASER MARKER 	150 mm/200 mm 	
excellent 	01.06.2002
108641 	EO TECHNICS 	CSM 2000 	Chip scale laser wafer marker 	150 mm/200 mm 	
good 	01.06.2006
106469 	EO Technics 	CSM2000 	CHIP SCALE LASER MARKER 	150 mm/200 mm 	
excellent 	 
106470 	EO TECHNICS 	CSM2000 	CHIP SCALE LASER MARKER 	200 mm 	good 	
01.06.2005
106475 	Furukawa 	UVW-102M 	FURUKAWA UV-102 SEMI AUTO UV CURE SYSTEM 	N/A 	
106476 	GPD 	PBFT856VS 	Pull Force Tester 	150 mm/200 mm 	good 	01.06.2000
106479 	Highmax 	HIGHMAX UV-200 	Highmax UV-200 Curing System 	150 mm/200 
mm 	  	 
106504 	Irvine Optical 	Auto Wafer Loader Microscope Inspection 	WAFER 
INSPECTION MICROSCOPE WITH AUTOLOADER 	200 mm 	good 	01.06.1990
106481 	KLA Tencor 	AIT I 	Patterned Surface Inspection System 	150 mm/200 
mm 	good 	01.06.1995
106484 	Laurier 	DS-7000T/R 	Die Pick and Sort 	150 mm/200 mm 	good 	
01.11.1999
106485 	Leica 	LEICA INM20 	Microscope inspection station 	200 mm 	good 	
01.06.1995
106486 	Lintec 	RAD-2000F / 8 	LINTEC UV CURE TOOL 	150 mm/200 mm 	
excellent 	01.07.2018
106487 	Lintec 	RAD-2500 	Lintec Wafter Mounter RAD2500 	150 mm/200 mm 	
excellent 	 
106488 	Lintec 	RAD-2500M/8 	Wafer mounter 	150 mm/200 mm 	excellent 	
01.06.2001
106492 	MEI 	  	MEI Cassette Cleaner 	200 mm 	excellent 	 
106496 	Milara 	Milara MTW-1 	Milara MiniTouch MTW-1 Wafer Screen Printer 	
150 mm/200 mm 	  	 
106495 	Milara 	Milara MTW-1 	Milara MiniTouch MTW-1 Wafer Screen Printer 	
150 mm/200 mm 	  	 
106497 	Muhlbauer 	DS 10000 	DSD HIGH SPEED TAPE AND REEL SYSTEM 	ASSEMBLY 	
excellent 	01.06.2006
106498 	Muhlbauer 	DS 10000 	Muhlbauer DS10000 	150 mm/200 mm 	  	 
106503 	Nikon 	Auto Wafer Loader for Microscope Inspection 	WAFER 
INSPECTION MICROSCOPE 	150 mm/200 mm 	excellent 	 
106511 	Nikon 	SMZ 	Boom Microscope with Schott Illuminator, on stand, with 
flat base plate 	Assembly 	good 	 
108643 	Nikon 	Eclipse L200 	Wafer Inspection Microscope 	150 mm/200 mm 	
good 	01.06.2006
106513 	OAI 	CUSTOM 	OI Analytical Model 1088 	150 mm/200 mm 	  	 
106420 	Rudolph 	NSX 115 	Automated Defect Inspection 	200 mm 	excellent 	 
106421 	Rudolph 	NSX 95 	Automated Macro Defect Inspection 	150 mm/200 mm 	
excellent 	 
106422 	Rudolph 	NSX-105 	Automated Defect Inspection 	150 mm/200 mm 	
excellent 	 
106423 	Rudolph 	NSX-105d1 	Automated Defect Inspection 	150 mm/200 mm 	
excellent 	 
106424 	Rudolph 	NSX-95 	Automated Macro Defect Inspection 	150 mm/200 mm 	
excellent 	 
106425 	Rudolph 	NSX-95 	Manual Macro Wafer Defect Inspection 	150 mm/200 
mm 	excellent 	 
106523 	S Cubed 	N/A 	S Cubed Spin Coat Bake System 	Clamshell 	  	 
106527 	Semitool 	SAT2081D2PCCU 	OEM SAT Spray Acid Etch Tool 	Clamshell 	
excellent 	 
106528 	Semitool 	SST-C-221-280 	Semitool Spray Solvent 	150 mm / 200 mm 	
excellent 	 
106514 	SFI 	Endeavor 8600 	PVD cluster tool 	200 mm 	good 	 
106515 	SFI 	Endeavor 8600 	PVD cluster tool 	150 mm 	good 	01.06.2000
106516 	SFI 	Endeavor 8600 	PVD cluster tool 	150 mm 	good 	 
106517 	SFI 	Endeavor 8600 	PVD cluster tool 	150 mm/200 mm 	missing parts 	
01.06.1990
106533 	Sikama 	Falcon 8500 	REFLOW OVEN 	SMT 	good 	01.06.2015
106535 	SUSS Microtec 	ACS200 	Automated Photoresist Coater 	200 mm 	
excellent 	 
106536 	SUSS Microtec 	ACS200 	Automated Photoresist Coater 	150 mm/200 mm 	
good 	 
106537 	SUSS Microtec 	ACS200 Classic 	Automated Photoresist Coater 	200 mm 	
excellent 	 
106538 	SUSS Microtec 	ACS200 Classic 	Automated Photoresist Coater 	150 
mm/200 mm 	excellent 	 
106539 	SUSS Microtec 	ACS200 Plus 	Automated Photoresist Coater 	150 
mm/200 mm 	good 	 
106541 	SUSS Microtec 	MA200 	MASK ALIGNER 	150 mm/200 mm 	good 	
01.06.1999
106544 	Takatori 	ATM-1100E 	Film Laminator - Taping Machine 	150 mm/200 mm 	
good 	01.06.1995
106551 	TT Vision 	T-224X 	TT Vision - Post Tape Inspection 	  	  	 
106552 	Ultra Fab 	No Model Number 	4ft Poly Pro Wet Bench 	150 mm/200 mm 	
106553 	Ultratech 	4700 	Stepper 	150 mm/200 mm 	good 	01.06.1996
106554 	Ultratech 	6700 	Stepper 	150 mm/200 mm 	good 	 
106556 	Ultratech 	Saturn Spectrum 3e 	GHI line stepper 	150 mm/200 mm 	
good 	01.06.2003
108640 	Ultratech 	Saturn Spectrum 3 	GHI line stepper 	150 mm/200 mm 	
good 	 
106557 	Ultron 	UH108 	Ultron Tabletop Laminator 	150 mm/200 mm 	good 	
01.06.2005
106558 	Ultron 	UH108 	Ultron Tabletop Laminator 	N/A 	excellent 	 
106559 	Ultron 	UHI08-12 	Ultron Tabletop Laminator 	200 mm / 300 MM 	good 	
106560 	V-Tek 	TM-330 	TM-330 	150 mm/200 mm 	  	 
106563 	Veeco Wyko 	NT3300 	3D Bump Height (Veeco) 	150 mm/200 mm 	good 	 
 </t>
  </si>
  <si>
    <t xml:space="preserve">108221</t>
  </si>
  <si>
    <t xml:space="preserve">Accretech</t>
  </si>
  <si>
    <t xml:space="preserve">AD3000T</t>
  </si>
  <si>
    <t xml:space="preserve">Dispensers for dicing saws</t>
  </si>
  <si>
    <t xml:space="preserve">11</t>
  </si>
  <si>
    <t xml:space="preserve">Parts</t>
  </si>
  <si>
    <t xml:space="preserve">109540</t>
  </si>
  <si>
    <t xml:space="preserve">UF3000</t>
  </si>
  <si>
    <t xml:space="preserve">Prober</t>
  </si>
  <si>
    <t xml:space="preserve">9</t>
  </si>
  <si>
    <t xml:space="preserve">300 mm</t>
  </si>
  <si>
    <t xml:space="preserve">109571</t>
  </si>
  <si>
    <t xml:space="preserve">Accretech / TSK</t>
  </si>
  <si>
    <t xml:space="preserve">Fully Automated Prober</t>
  </si>
  <si>
    <t xml:space="preserve">-Sold including a demo showing the probers in working condition.
-Inspection welcomed by appointment.
-Sold "as is, operational" conditions.
-Nickel chuck 12 inch
-Front 300 mm Single FOUP loading
-Dual ceramic robot blade
-s/w version S5.0FC4
-Loader Type: TSK
-Chuck Temperature Range: 30~150℃
-OCR Camera Type: Type6
-Auto Card Change: Yes
-Needle Cleaning Unit: 150mm x 150mm Ceramics Pad
-Manipulator: Hinge, MHF4000
-Test System Interface: AL6050 &amp; Focus3000
-INCLUDES PRINTER
-SEE ATTACHED PHOTOS FOR DETAILS OF ONE OF THESE PROBERS.</t>
  </si>
  <si>
    <t xml:space="preserve">95398</t>
  </si>
  <si>
    <t xml:space="preserve">Accretech TSK</t>
  </si>
  <si>
    <t xml:space="preserve">MHF300L</t>
  </si>
  <si>
    <t xml:space="preserve">Test head manipulators</t>
  </si>
  <si>
    <t xml:space="preserve">200  mm</t>
  </si>
  <si>
    <t xml:space="preserve">-WAREHOUSED AT SDI-FABSURPLUS WAREHOUSE IN AVEZZANO, ITALY.
-qty 7 available
-in very good operational condition
-were used with test heads for Teradyne J994 test systems
220V 50/60 HZ 1.5 KVA
-Location: Avezzano (AQ) 67051 Italy</t>
  </si>
  <si>
    <t xml:space="preserve">95399</t>
  </si>
  <si>
    <t xml:space="preserve">95400</t>
  </si>
  <si>
    <t xml:space="preserve">95401</t>
  </si>
  <si>
    <t xml:space="preserve">95402</t>
  </si>
  <si>
    <t xml:space="preserve">95403</t>
  </si>
  <si>
    <t xml:space="preserve">54226</t>
  </si>
  <si>
    <t xml:space="preserve">7</t>
  </si>
  <si>
    <t xml:space="preserve">108333</t>
  </si>
  <si>
    <t xml:space="preserve">Accretech/TSK</t>
  </si>
  <si>
    <t xml:space="preserve">Production Wafer Prober</t>
  </si>
  <si>
    <t xml:space="preserve">109124</t>
  </si>
  <si>
    <t xml:space="preserve">Automatic Prober</t>
  </si>
  <si>
    <t xml:space="preserve">300mm</t>
  </si>
  <si>
    <t xml:space="preserve">109125</t>
  </si>
  <si>
    <t xml:space="preserve">3</t>
  </si>
  <si>
    <t xml:space="preserve">109126</t>
  </si>
  <si>
    <t xml:space="preserve">De-installed and warehoused.
Very good condition except no chiller and HDD not included.</t>
  </si>
  <si>
    <t xml:space="preserve">109127</t>
  </si>
  <si>
    <t xml:space="preserve">109128</t>
  </si>
  <si>
    <t xml:space="preserve">109129</t>
  </si>
  <si>
    <t xml:space="preserve">109130</t>
  </si>
  <si>
    <t xml:space="preserve">80264</t>
  </si>
  <si>
    <t xml:space="preserve">ACOPIAN</t>
  </si>
  <si>
    <t xml:space="preserve">B24G210</t>
  </si>
  <si>
    <t xml:space="preserve">POWER SUPPLY</t>
  </si>
  <si>
    <t xml:space="preserve">spares</t>
  </si>
  <si>
    <t xml:space="preserve">new in box</t>
  </si>
  <si>
    <t xml:space="preserve">power supply 2.1 A 24 VDC</t>
  </si>
  <si>
    <t xml:space="preserve">109289</t>
  </si>
  <si>
    <t xml:space="preserve">AD-TEC</t>
  </si>
  <si>
    <t xml:space="preserve">AMV-1000-AA</t>
  </si>
  <si>
    <t xml:space="preserve">RF GENERATOR</t>
  </si>
  <si>
    <t xml:space="preserve">Spares</t>
  </si>
  <si>
    <t xml:space="preserve">Deinstalled and warehoused. Can be inspected by appointment.</t>
  </si>
  <si>
    <t xml:space="preserve">109290</t>
  </si>
  <si>
    <t xml:space="preserve">AMV-2000-AMT</t>
  </si>
  <si>
    <t xml:space="preserve">4</t>
  </si>
  <si>
    <t xml:space="preserve">109291</t>
  </si>
  <si>
    <t xml:space="preserve">AX-1000Ⅲ-27M-LC-GT</t>
  </si>
  <si>
    <t xml:space="preserve">109292</t>
  </si>
  <si>
    <t xml:space="preserve">TR-3000-EI1-ET</t>
  </si>
  <si>
    <t xml:space="preserve">103225</t>
  </si>
  <si>
    <t xml:space="preserve">ADE</t>
  </si>
  <si>
    <t xml:space="preserve">NanoMapper FA</t>
  </si>
  <si>
    <t xml:space="preserve">Nano-Defects Inspection System</t>
  </si>
  <si>
    <t xml:space="preserve">As lithography requirements shrink linewidths, wafer nanotopographybecomes 
critical todevice yields.NanoMapper FAprovideswafer production sorting 
capability to inspect for “nano–defects.” Even small flaws like the one at 
the bottom left can make a circuit printed in that area unusable.
Please check the attachemnts below for more information.</t>
  </si>
  <si>
    <t xml:space="preserve">4247</t>
  </si>
  <si>
    <t xml:space="preserve">020986-10</t>
  </si>
  <si>
    <t xml:space="preserve">259.82 uM thickness standard</t>
  </si>
  <si>
    <t xml:space="preserve">4249</t>
  </si>
  <si>
    <t xml:space="preserve">020986-14</t>
  </si>
  <si>
    <t xml:space="preserve">360.01 uM thickness standard</t>
  </si>
  <si>
    <t xml:space="preserve">109554</t>
  </si>
  <si>
    <t xml:space="preserve">NANOMAPPER Phase Shift</t>
  </si>
  <si>
    <t xml:space="preserve">nano defect inspection system</t>
  </si>
  <si>
    <t xml:space="preserve">-deinstalled, warehoused, can be inspected by appointment.
 </t>
  </si>
  <si>
    <t xml:space="preserve">108791</t>
  </si>
  <si>
    <t xml:space="preserve">5810</t>
  </si>
  <si>
    <t xml:space="preserve">Non-Contact Capacitance Gauging Module with 2ea ADE 2248 Probes</t>
  </si>
  <si>
    <t xml:space="preserve">IN USA</t>
  </si>
  <si>
    <t xml:space="preserve">108792</t>
  </si>
  <si>
    <t xml:space="preserve">6033</t>
  </si>
  <si>
    <t xml:space="preserve">Wafer Thickness Tester</t>
  </si>
  <si>
    <t xml:space="preserve">108793</t>
  </si>
  <si>
    <t xml:space="preserve">6033T</t>
  </si>
  <si>
    <t xml:space="preserve">108615</t>
  </si>
  <si>
    <t xml:space="preserve">ADIXEN</t>
  </si>
  <si>
    <t xml:space="preserve">ADS501</t>
  </si>
  <si>
    <t xml:space="preserve">Vacuum Pump</t>
  </si>
  <si>
    <t xml:space="preserve">PUMP</t>
  </si>
  <si>
    <t xml:space="preserve">De-installed, warehoused. Can be inspected by appointment.</t>
  </si>
  <si>
    <t xml:space="preserve">108616</t>
  </si>
  <si>
    <t xml:space="preserve">ADS1202P</t>
  </si>
  <si>
    <t xml:space="preserve">5</t>
  </si>
  <si>
    <t xml:space="preserve">108617</t>
  </si>
  <si>
    <t xml:space="preserve">ADS1202H</t>
  </si>
  <si>
    <t xml:space="preserve">26</t>
  </si>
  <si>
    <t xml:space="preserve">108618</t>
  </si>
  <si>
    <t xml:space="preserve">ADP122LM</t>
  </si>
  <si>
    <t xml:space="preserve">2</t>
  </si>
  <si>
    <t xml:space="preserve">108619</t>
  </si>
  <si>
    <t xml:space="preserve">A101L</t>
  </si>
  <si>
    <t xml:space="preserve">40</t>
  </si>
  <si>
    <t xml:space="preserve">98706</t>
  </si>
  <si>
    <t xml:space="preserve">Adixen Alcatel</t>
  </si>
  <si>
    <t xml:space="preserve">ADS 602H</t>
  </si>
  <si>
    <t xml:space="preserve">Dry Vacuum pump combo</t>
  </si>
  <si>
    <t xml:space="preserve">Pump</t>
  </si>
  <si>
    <t xml:space="preserve">Dimensions (WxHxD): 57x95x53
Used condition. (Has been used with POCl3.).
Not currently refurbished.
Can be provided cleaned and refurbished at extra cost.
Ships from Avezzano (AQ) 67051 Italy.</t>
  </si>
  <si>
    <t xml:space="preserve">109622</t>
  </si>
  <si>
    <t xml:space="preserve">Adtec</t>
  </si>
  <si>
    <t xml:space="preserve">AMV Controller</t>
  </si>
  <si>
    <t xml:space="preserve">Miscellaneous</t>
  </si>
  <si>
    <t xml:space="preserve">SPARES</t>
  </si>
  <si>
    <t xml:space="preserve">Sold Ex-Works, UK Office , Part Number:AMV-RCH1</t>
  </si>
  <si>
    <t xml:space="preserve">109623</t>
  </si>
  <si>
    <t xml:space="preserve">109624</t>
  </si>
  <si>
    <t xml:space="preserve">AX-100 MF</t>
  </si>
  <si>
    <t xml:space="preserve">Generator</t>
  </si>
  <si>
    <t xml:space="preserve">Sold Ex-Works, UK Office , Part Number:AX-100MF-D</t>
  </si>
  <si>
    <t xml:space="preserve">109625</t>
  </si>
  <si>
    <t xml:space="preserve">Sold Ex-Works, UK Office , Part Number:AX-100MF-P</t>
  </si>
  <si>
    <t xml:space="preserve">109626</t>
  </si>
  <si>
    <t xml:space="preserve">109627</t>
  </si>
  <si>
    <t xml:space="preserve">109628</t>
  </si>
  <si>
    <t xml:space="preserve">AX-3000 MF</t>
  </si>
  <si>
    <t xml:space="preserve">Sold Ex-Works, UK Office , Part Number:AX-3000MF III-2M</t>
  </si>
  <si>
    <t xml:space="preserve">109629</t>
  </si>
  <si>
    <t xml:space="preserve">AX-3000 P</t>
  </si>
  <si>
    <t xml:space="preserve">Sold Ex-Works, UK Office , Part Number:AX-30000PE1</t>
  </si>
  <si>
    <t xml:space="preserve">109312</t>
  </si>
  <si>
    <t xml:space="preserve">Advanced Energy</t>
  </si>
  <si>
    <t xml:space="preserve">NAVIGATOR-1013</t>
  </si>
  <si>
    <t xml:space="preserve">Part Number: 0190-27577 Model Number: 3155126-009</t>
  </si>
  <si>
    <t xml:space="preserve">109313</t>
  </si>
  <si>
    <t xml:space="preserve">Model Number: 3155126-009</t>
  </si>
  <si>
    <t xml:space="preserve">109314</t>
  </si>
  <si>
    <t xml:space="preserve">Model Number: 3155126-011</t>
  </si>
  <si>
    <t xml:space="preserve">109315</t>
  </si>
  <si>
    <t xml:space="preserve">Model Number: 3155126-012</t>
  </si>
  <si>
    <t xml:space="preserve">109316</t>
  </si>
  <si>
    <t xml:space="preserve">NAVIGATOR-2013</t>
  </si>
  <si>
    <t xml:space="preserve">Part Number: 27-303386-00 Model Number: 3155126-026</t>
  </si>
  <si>
    <t xml:space="preserve">109317</t>
  </si>
  <si>
    <t xml:space="preserve">Part Number: 27-30386-00 Model Number: 3155126-026</t>
  </si>
  <si>
    <t xml:space="preserve">109318</t>
  </si>
  <si>
    <t xml:space="preserve">Model Number: 3155126-032</t>
  </si>
  <si>
    <t xml:space="preserve">109319</t>
  </si>
  <si>
    <t xml:space="preserve">NAVIGATOR-3013</t>
  </si>
  <si>
    <t xml:space="preserve">Part Number: 0190-34238 Model Number: 3155132-008</t>
  </si>
  <si>
    <t xml:space="preserve">109320</t>
  </si>
  <si>
    <t xml:space="preserve">8</t>
  </si>
  <si>
    <t xml:space="preserve">Part Number: 0190-34238-001 Model Number: 3155132-008</t>
  </si>
  <si>
    <t xml:space="preserve">109321</t>
  </si>
  <si>
    <t xml:space="preserve">Part Number: 0190-34238W Model Number: 3155132-008</t>
  </si>
  <si>
    <t xml:space="preserve">109322</t>
  </si>
  <si>
    <t xml:space="preserve">Part Number: 0190-40482-01 Model Number: 3155126-012</t>
  </si>
  <si>
    <t xml:space="preserve">109323</t>
  </si>
  <si>
    <t xml:space="preserve">Part Number: 0190-40482-01 Model Number: 3155132-012</t>
  </si>
  <si>
    <t xml:space="preserve">109324</t>
  </si>
  <si>
    <t xml:space="preserve">Part Number: 0190-41508-001 Model Number: 3155132-013</t>
  </si>
  <si>
    <t xml:space="preserve">109325</t>
  </si>
  <si>
    <t xml:space="preserve">OVATION-35162</t>
  </si>
  <si>
    <t xml:space="preserve">Model Number: 3150861-010</t>
  </si>
  <si>
    <t xml:space="preserve">109326</t>
  </si>
  <si>
    <t xml:space="preserve">OVATION2560SF</t>
  </si>
  <si>
    <t xml:space="preserve">Part Number: 660-034419-005 Model Number: 3150295-005</t>
  </si>
  <si>
    <t xml:space="preserve">109327</t>
  </si>
  <si>
    <t xml:space="preserve">PARAMOUNT MF 3KW</t>
  </si>
  <si>
    <t xml:space="preserve">Model Number: 3150311-002</t>
  </si>
  <si>
    <t xml:space="preserve">109328</t>
  </si>
  <si>
    <t xml:space="preserve">PARAMOUNT-6013</t>
  </si>
  <si>
    <t xml:space="preserve">Part Number: 0190-44164-001 Model Number: 3156360-015 B</t>
  </si>
  <si>
    <t xml:space="preserve">109329</t>
  </si>
  <si>
    <t xml:space="preserve">Part Number: 0190-44164-002 Model Number: 3156360-015 B</t>
  </si>
  <si>
    <t xml:space="preserve">109330</t>
  </si>
  <si>
    <t xml:space="preserve">109331</t>
  </si>
  <si>
    <t xml:space="preserve">PDX-1250</t>
  </si>
  <si>
    <t xml:space="preserve">109332</t>
  </si>
  <si>
    <t xml:space="preserve">PDX-900-2V</t>
  </si>
  <si>
    <t xml:space="preserve">Part Number: 0190-08677-002 Model Number: 3156024-132</t>
  </si>
  <si>
    <t xml:space="preserve">109333</t>
  </si>
  <si>
    <t xml:space="preserve">Part Number: 0190-10028-001 Model Number: 3156024-133</t>
  </si>
  <si>
    <t xml:space="preserve">109334</t>
  </si>
  <si>
    <t xml:space="preserve">6</t>
  </si>
  <si>
    <t xml:space="preserve">Part Number: 0190-10028-003 Model Number: 3156024-133</t>
  </si>
  <si>
    <t xml:space="preserve">109335</t>
  </si>
  <si>
    <t xml:space="preserve">Part Number: 0190-10028-004 Model Number: 3156024-133</t>
  </si>
  <si>
    <t xml:space="preserve">109336</t>
  </si>
  <si>
    <t xml:space="preserve">Model Number: 3156024-133</t>
  </si>
  <si>
    <t xml:space="preserve">109337</t>
  </si>
  <si>
    <t xml:space="preserve">109338</t>
  </si>
  <si>
    <t xml:space="preserve">PE-1000</t>
  </si>
  <si>
    <t xml:space="preserve">Model Number: 3157501-000 D</t>
  </si>
  <si>
    <t xml:space="preserve">109339</t>
  </si>
  <si>
    <t xml:space="preserve">PINACLE-20K</t>
  </si>
  <si>
    <t xml:space="preserve">Part Number: 0190-34645-000 Model Number: 3152411-264</t>
  </si>
  <si>
    <t xml:space="preserve">109340</t>
  </si>
  <si>
    <t xml:space="preserve">10</t>
  </si>
  <si>
    <t xml:space="preserve">Part Number: 0190-34645-02 Model Number: 3152411-264</t>
  </si>
  <si>
    <t xml:space="preserve">109341</t>
  </si>
  <si>
    <t xml:space="preserve">Part Number: 0190-34645w Model Number: 3152411-264</t>
  </si>
  <si>
    <t xml:space="preserve">109342</t>
  </si>
  <si>
    <t xml:space="preserve">RAPID-F</t>
  </si>
  <si>
    <t xml:space="preserve">Part Number: 0190-13025 Model Number: 3151801-004</t>
  </si>
  <si>
    <t xml:space="preserve">109343</t>
  </si>
  <si>
    <t xml:space="preserve">Part Number: 0190-13025</t>
  </si>
  <si>
    <t xml:space="preserve">109344</t>
  </si>
  <si>
    <t xml:space="preserve">Part Number: 0190-13025-002 Model Number: 3151801-004</t>
  </si>
  <si>
    <t xml:space="preserve">109345</t>
  </si>
  <si>
    <t xml:space="preserve">Model Number: 3151801-004</t>
  </si>
  <si>
    <t xml:space="preserve">109346</t>
  </si>
  <si>
    <t xml:space="preserve">RFG-3001</t>
  </si>
  <si>
    <t xml:space="preserve">Model Number: 3155089-008</t>
  </si>
  <si>
    <t xml:space="preserve">109347</t>
  </si>
  <si>
    <t xml:space="preserve">VM-5000</t>
  </si>
  <si>
    <t xml:space="preserve">Model Number: 69001413</t>
  </si>
  <si>
    <t xml:space="preserve">109348</t>
  </si>
  <si>
    <t xml:space="preserve">109349</t>
  </si>
  <si>
    <t xml:space="preserve">XSTREAM-8K</t>
  </si>
  <si>
    <t xml:space="preserve">Model Number: 3151806-202</t>
  </si>
  <si>
    <t xml:space="preserve">107064</t>
  </si>
  <si>
    <t xml:space="preserve">AZX 63 Controller HTCM</t>
  </si>
  <si>
    <t xml:space="preserve">refurbished</t>
  </si>
  <si>
    <t xml:space="preserve">1345193 D</t>
  </si>
  <si>
    <t xml:space="preserve">107075</t>
  </si>
  <si>
    <t xml:space="preserve">Cesar 1312</t>
  </si>
  <si>
    <t xml:space="preserve">RF Generator</t>
  </si>
  <si>
    <t xml:space="preserve">61300057</t>
  </si>
  <si>
    <t xml:space="preserve">107108</t>
  </si>
  <si>
    <t xml:space="preserve">Hilight 133</t>
  </si>
  <si>
    <t xml:space="preserve">61300025</t>
  </si>
  <si>
    <t xml:space="preserve">107111</t>
  </si>
  <si>
    <t xml:space="preserve">Integro 136</t>
  </si>
  <si>
    <t xml:space="preserve">as is all rebuilt</t>
  </si>
  <si>
    <t xml:space="preserve">Refurbished and comes with 3-month warranty</t>
  </si>
  <si>
    <t xml:space="preserve">107114</t>
  </si>
  <si>
    <t xml:space="preserve">LF-5</t>
  </si>
  <si>
    <t xml:space="preserve">3150011-000</t>
  </si>
  <si>
    <t xml:space="preserve">107168</t>
  </si>
  <si>
    <t xml:space="preserve">PDX 2500</t>
  </si>
  <si>
    <t xml:space="preserve">3156012-201 D</t>
  </si>
  <si>
    <t xml:space="preserve">107176</t>
  </si>
  <si>
    <t xml:space="preserve">Pinnacle 10k</t>
  </si>
  <si>
    <t xml:space="preserve">3152414-122 J</t>
  </si>
  <si>
    <t xml:space="preserve">108719</t>
  </si>
  <si>
    <t xml:space="preserve">ADVANCED ENERGY</t>
  </si>
  <si>
    <t xml:space="preserve">MDX</t>
  </si>
  <si>
    <t xml:space="preserve">Magnetron Drive p/n 2011-000-D</t>
  </si>
  <si>
    <t xml:space="preserve">Manufacturer  	Advanced Energy
Model  	2011-000-D
Power Requirements  	208 V     30.0 A     50/60 Hz
 </t>
  </si>
  <si>
    <t xml:space="preserve">107209</t>
  </si>
  <si>
    <t xml:space="preserve">Pinnacle Plus 5k</t>
  </si>
  <si>
    <t xml:space="preserve">3152437-355 A</t>
  </si>
  <si>
    <t xml:space="preserve">107241</t>
  </si>
  <si>
    <t xml:space="preserve">RFX 600</t>
  </si>
  <si>
    <t xml:space="preserve">3155002-032 D
Price is ex-works UK office</t>
  </si>
  <si>
    <t xml:space="preserve">109293</t>
  </si>
  <si>
    <t xml:space="preserve">APEX-1513</t>
  </si>
  <si>
    <t xml:space="preserve">23</t>
  </si>
  <si>
    <t xml:space="preserve">Part Number: 0190-19022-001 Model Number: 3156110-005</t>
  </si>
  <si>
    <t xml:space="preserve">107246</t>
  </si>
  <si>
    <t xml:space="preserve">RFX 600A</t>
  </si>
  <si>
    <t xml:space="preserve">3155082-002 H</t>
  </si>
  <si>
    <t xml:space="preserve">109294</t>
  </si>
  <si>
    <t xml:space="preserve">Part Number: 0920-00067 Model Number: A3L5L000BA140D111A</t>
  </si>
  <si>
    <t xml:space="preserve">109295</t>
  </si>
  <si>
    <t xml:space="preserve">Part Number: 0920-00114 Model Number: 3156110-007</t>
  </si>
  <si>
    <t xml:space="preserve">109296</t>
  </si>
  <si>
    <t xml:space="preserve">APEX-3013</t>
  </si>
  <si>
    <t xml:space="preserve">15</t>
  </si>
  <si>
    <t xml:space="preserve">Part Number: 0190-19021-001 Model Number: 3156113-006</t>
  </si>
  <si>
    <t xml:space="preserve">109297</t>
  </si>
  <si>
    <t xml:space="preserve">Part Number: 0190-19021-001 Model Number: 3156113-011</t>
  </si>
  <si>
    <t xml:space="preserve">109298</t>
  </si>
  <si>
    <t xml:space="preserve">Part Number: 0190-19021-001 Model Number:</t>
  </si>
  <si>
    <t xml:space="preserve">109299</t>
  </si>
  <si>
    <t xml:space="preserve">Model Number: 3156113-011</t>
  </si>
  <si>
    <t xml:space="preserve">109300</t>
  </si>
  <si>
    <t xml:space="preserve">ATX-600</t>
  </si>
  <si>
    <t xml:space="preserve">Model Number: 3155017-000L</t>
  </si>
  <si>
    <t xml:space="preserve">109301</t>
  </si>
  <si>
    <t xml:space="preserve">Model Number: 3155017-002</t>
  </si>
  <si>
    <t xml:space="preserve">109302</t>
  </si>
  <si>
    <t xml:space="preserve">HFV-8000</t>
  </si>
  <si>
    <t xml:space="preserve">Part Number: 0190-24488-001 Model Number: 3155083-505</t>
  </si>
  <si>
    <t xml:space="preserve">109303</t>
  </si>
  <si>
    <t xml:space="preserve">ION SOURCE SUPPLY</t>
  </si>
  <si>
    <t xml:space="preserve">Part Number: 3151200-000C</t>
  </si>
  <si>
    <t xml:space="preserve">109304</t>
  </si>
  <si>
    <t xml:space="preserve">MDX-10K</t>
  </si>
  <si>
    <t xml:space="preserve">Part Number: 3152313-000AB</t>
  </si>
  <si>
    <t xml:space="preserve">109305</t>
  </si>
  <si>
    <t xml:space="preserve">Model Number: 2012-043-R</t>
  </si>
  <si>
    <t xml:space="preserve">109306</t>
  </si>
  <si>
    <t xml:space="preserve">Model Number: 2223-003-R</t>
  </si>
  <si>
    <t xml:space="preserve">109307</t>
  </si>
  <si>
    <t xml:space="preserve">MDX-20K</t>
  </si>
  <si>
    <t xml:space="preserve">Part Number: 315223-003Y</t>
  </si>
  <si>
    <t xml:space="preserve">109308</t>
  </si>
  <si>
    <t xml:space="preserve">MDX-L12</t>
  </si>
  <si>
    <t xml:space="preserve">Part Number: 3152313-000C</t>
  </si>
  <si>
    <t xml:space="preserve">109309</t>
  </si>
  <si>
    <t xml:space="preserve">Model Number: 3152313-000 B</t>
  </si>
  <si>
    <t xml:space="preserve">109310</t>
  </si>
  <si>
    <t xml:space="preserve">MDX-L6</t>
  </si>
  <si>
    <t xml:space="preserve">Model Number: 3152343-000 A</t>
  </si>
  <si>
    <t xml:space="preserve">109311</t>
  </si>
  <si>
    <t xml:space="preserve">NAVIGATOR-10013</t>
  </si>
  <si>
    <t xml:space="preserve">Part Number: 27-279938-00 Model Number: 3155162-002</t>
  </si>
  <si>
    <t xml:space="preserve">77166</t>
  </si>
  <si>
    <t xml:space="preserve">Advantech</t>
  </si>
  <si>
    <t xml:space="preserve">IPC-5475</t>
  </si>
  <si>
    <t xml:space="preserve">data acquisition card</t>
  </si>
  <si>
    <t xml:space="preserve">Advantech  hkipc
ISA Data Acquisition card
010-62967773
010-62963650</t>
  </si>
  <si>
    <t xml:space="preserve">77167</t>
  </si>
  <si>
    <t xml:space="preserve">HK-6323</t>
  </si>
  <si>
    <t xml:space="preserve">data acquisition card ISA</t>
  </si>
  <si>
    <t xml:space="preserve">Advantech  hkipc
ISA Data Acquisition card
Marked HK-6323 LLZ 0812
Ships in used condition from our AVEZZANO 67051 ITALY warehouse</t>
  </si>
  <si>
    <t xml:space="preserve">77206</t>
  </si>
  <si>
    <t xml:space="preserve">PCL-745B</t>
  </si>
  <si>
    <t xml:space="preserve">data acquisition card 2-port  RS422/485 Rev B1</t>
  </si>
  <si>
    <t xml:space="preserve">Advantech
ISA Data Acquisition card
PCL-745B-B
Ships from Boerne, TX warehouse
 </t>
  </si>
  <si>
    <t xml:space="preserve">77207</t>
  </si>
  <si>
    <t xml:space="preserve">PCL-730</t>
  </si>
  <si>
    <t xml:space="preserve">data acquisition card 32ch TTL DIO</t>
  </si>
  <si>
    <t xml:space="preserve">Advantech
ISA Data Acquisition card
PCL-730-B
Ships from Boerne, TX warehouse
 </t>
  </si>
  <si>
    <t xml:space="preserve">74142</t>
  </si>
  <si>
    <t xml:space="preserve">32-ch Isolated Digital I/O Card w/32ch TTL DIO</t>
  </si>
  <si>
    <t xml:space="preserve">Advantech PCL-730 32-channel isolated Digital I/O Card w/32ch TTL DIO P/N: 
PCL-730-BE made in Taiwan Located in Boerne, TX warehouse</t>
  </si>
  <si>
    <t xml:space="preserve">74143</t>
  </si>
  <si>
    <t xml:space="preserve">2-port  RS-422/485 ISA COMM Card w/ isolation</t>
  </si>
  <si>
    <t xml:space="preserve">Advantech PCL-745B 2-port RS-422/485 ISA Comm card w/ isolation made in 
Taiwan p/n: PCL-745B-BE MO: 9C745B01 Located in Boerne, TX warehouse</t>
  </si>
  <si>
    <t xml:space="preserve">108548</t>
  </si>
  <si>
    <t xml:space="preserve">ADVANTEST</t>
  </si>
  <si>
    <t xml:space="preserve">M6751AD</t>
  </si>
  <si>
    <t xml:space="preserve">Test Handler</t>
  </si>
  <si>
    <t xml:space="preserve">200 MM</t>
  </si>
  <si>
    <t xml:space="preserve">108549</t>
  </si>
  <si>
    <t xml:space="preserve">T5382A1</t>
  </si>
  <si>
    <t xml:space="preserve">Test System</t>
  </si>
  <si>
    <t xml:space="preserve">TEST</t>
  </si>
  <si>
    <t xml:space="preserve">108550</t>
  </si>
  <si>
    <t xml:space="preserve">T5585</t>
  </si>
  <si>
    <t xml:space="preserve">De-installed, warehoused, can be inspected by appointment</t>
  </si>
  <si>
    <t xml:space="preserve">108551</t>
  </si>
  <si>
    <t xml:space="preserve">M6541AD</t>
  </si>
  <si>
    <t xml:space="preserve">109575</t>
  </si>
  <si>
    <t xml:space="preserve">T5377</t>
  </si>
  <si>
    <t xml:space="preserve">Automated test Equipment</t>
  </si>
  <si>
    <t xml:space="preserve">Test</t>
  </si>
  <si>
    <t xml:space="preserve">Deinstalled and warehoused. Can be inspected by appointment</t>
  </si>
  <si>
    <t xml:space="preserve">108552</t>
  </si>
  <si>
    <t xml:space="preserve">Working condition.
- Handler main frame;
- Soak chamber;
- Test chamber /exit chanber;
- Carrier arm unit;
- Loader / unloader;
- Tray stocker (9 elevator);
- C-Tray adjust (3)
- Stockers (9);
- Touch screen display;
- Standard Advantest temperature range (-30 deg C to +125 deg C)
De-installed, warehoused, can be inspected by appointment</t>
  </si>
  <si>
    <t xml:space="preserve">109576</t>
  </si>
  <si>
    <t xml:space="preserve">T5593</t>
  </si>
  <si>
    <t xml:space="preserve">108553</t>
  </si>
  <si>
    <t xml:space="preserve">109577</t>
  </si>
  <si>
    <t xml:space="preserve">108554</t>
  </si>
  <si>
    <t xml:space="preserve">109068</t>
  </si>
  <si>
    <t xml:space="preserve">Advantest</t>
  </si>
  <si>
    <t xml:space="preserve">Test handler with Cold Option</t>
  </si>
  <si>
    <t xml:space="preserve">M6541AD with low temp (-55C~125C ) config is attached, 1 set only now, 
available for powed-up demontration in my company.  
Tool setup fee can be extra cost depends on location.
Device Cooling Unit QTY 1
PL Label QTY 1
Test Head Positioner 1 QTY 1
Options
Air flow meter QTY 1
LN2 Valve QTY 1
Signal Tower QTY 1
Keyboard (Handy + EMO) QTY 1 SET
HEX Socket RL Cover QTY 1
Stocker QTY 1
Cooling LN2 Valve QTY 1
Heat Sinking - 1 Set
Heat Sinking Unit QTY 1
Heat Sinking Out CBL  QTY 1
Dry Air Test Head Unit - 1 Set
Dry Air Test Head Unit QTY 1
Dry Air Test Head Unit (Accessories)  QTY 1</t>
  </si>
  <si>
    <t xml:space="preserve">108045</t>
  </si>
  <si>
    <t xml:space="preserve">M6771AD</t>
  </si>
  <si>
    <t xml:space="preserve">TEST HANDLER</t>
  </si>
  <si>
    <t xml:space="preserve">De-installed and can be inspected by appointment.</t>
  </si>
  <si>
    <t xml:space="preserve">108048</t>
  </si>
  <si>
    <t xml:space="preserve">T5371</t>
  </si>
  <si>
    <t xml:space="preserve">Automated test equipment</t>
  </si>
  <si>
    <t xml:space="preserve">108050</t>
  </si>
  <si>
    <t xml:space="preserve">108057</t>
  </si>
  <si>
    <t xml:space="preserve">T5381ES</t>
  </si>
  <si>
    <t xml:space="preserve">ATE Tester</t>
  </si>
  <si>
    <t xml:space="preserve">for final test analysis</t>
  </si>
  <si>
    <t xml:space="preserve">94490</t>
  </si>
  <si>
    <t xml:space="preserve">T5375</t>
  </si>
  <si>
    <t xml:space="preserve">Automated Test Equipment</t>
  </si>
  <si>
    <t xml:space="preserve">Working condition.
TH+MAIN+WS
Heads are 2 but FRMA is only for 1 head(8 FRMA)</t>
  </si>
  <si>
    <t xml:space="preserve">108058</t>
  </si>
  <si>
    <t xml:space="preserve">Two heads or One head</t>
  </si>
  <si>
    <t xml:space="preserve">83498</t>
  </si>
  <si>
    <t xml:space="preserve">BGR-016797</t>
  </si>
  <si>
    <t xml:space="preserve">ADVANTEST T5335P PC Board (was 80207)</t>
  </si>
  <si>
    <t xml:space="preserve">Removed from working system</t>
  </si>
  <si>
    <t xml:space="preserve">83499</t>
  </si>
  <si>
    <t xml:space="preserve">BGR-016796</t>
  </si>
  <si>
    <t xml:space="preserve">ADVANTEST T5335P PC Board</t>
  </si>
  <si>
    <t xml:space="preserve">Advantest T5335P P.C.B. for immediate sale.
De-installed from a working system. Located at our Avezzano 67051 Italy 
warehouse.
B9807B-CFB</t>
  </si>
  <si>
    <t xml:space="preserve">83500</t>
  </si>
  <si>
    <t xml:space="preserve">BGR-021096</t>
  </si>
  <si>
    <t xml:space="preserve">Advantest T5335P P.C.B. for immediate sale. QTY 3 AVAILABLE.
De-installed from a working system. Located at our Avezzano 67051 Italy 
warehouse.</t>
  </si>
  <si>
    <t xml:space="preserve">83501</t>
  </si>
  <si>
    <t xml:space="preserve">BGR-020765</t>
  </si>
  <si>
    <t xml:space="preserve">Advantest T5335P
P.C.B.for immediate sale.
De-installed from a working system. Located at our Avezzano 67051 Italy 
warehouse.</t>
  </si>
  <si>
    <t xml:space="preserve">83502</t>
  </si>
  <si>
    <t xml:space="preserve">BGR-017418</t>
  </si>
  <si>
    <t xml:space="preserve">ADVANTEST T5335P PC Board HV PPS</t>
  </si>
  <si>
    <t xml:space="preserve">Advantest T5335P
P.C.B.for immediate sale.
De-installed from a working system. Located at our Avezzano 67051 Italy 
warehouse. QTY 2 AVAILABLE.</t>
  </si>
  <si>
    <t xml:space="preserve">78639</t>
  </si>
  <si>
    <t xml:space="preserve">T5335P (Spares)</t>
  </si>
  <si>
    <t xml:space="preserve">Spare Boards from test system (See attached list for details)</t>
  </si>
  <si>
    <t xml:space="preserve">for spares use</t>
  </si>
  <si>
    <t xml:space="preserve">-Boards from the test system have been removed and are available for sale.
FOR SPARES USE.
S/N DA638766R
WAREHOUSED AT AVEZZANO, 67051 ITALY.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Texas warehouse 	
&lt;https://www.fabsurplus.com/sdi_catalog/salesItemDetails.do?id=80194&gt;
80195 	Advantest 	BGR-020853 	ADVANTEST T5335P PC Board 	1 	$1,000.00 	
$1,000.00 	Removed from working system, in Texas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Boerne, TX warehouse via FEDEX ground or the carrier of
your choice.
&lt;https://www.fabsurplus.com/sdi_catalog/salesItemDetails.do?id=80196&gt;
80197 	Advantest 	BGR-020774 	ADVANTEST T5335P PC Board 	1 	$1,000.00 	
$1,000.00 	Removed from working system, in Texas warehouse 	
&lt;https://www.fabsurplus.com/sdi_catalog/salesItemDetails.do?id=80197&gt;
80198 	Advantest 	BGR-020814 	ADVANTEST T5335P PC Board 	1 	$1,000.00 	
$1,000.00 	Removed from working system, in Texas warehouse 	
&lt;https://www.fabsurplus.com/sdi_catalog/salesItemDetails.do?id=80198&gt;
80199 	Advantest 	BGR-020771 	ADVANTEST T5335P PC Board 	1 	$1,500.00 	
$1,500.00 	Removed from working system, in Texas warehouse 	
&lt;https://www.fabsurplus.com/sdi_catalog/salesItemDetails.do?id=80199&gt;
80200 	Advantest 	BGR-020509 	ADVANTEST T5335P PC Board 	1 	$1,000.00 	
$1,000.00 	Removed from working system, in Texas warehouse 	
&lt;https://www.fabsurplus.com/sdi_catalog/salesItemDetails.do?id=80200&gt;
80201 	Advantest 	BGR-020772 	ADVANTEST T5335P PC Board 	1 	$1,000.00 	
$1,000.00 	Removed from working system, in Texas warehouse 	
&lt;https://www.fabsurplus.com/sdi_catalog/salesItemDetails.do?id=80201&gt;
80202 	Advantest 	BGR-017577 	ADVANTEST T5335P PC Board BGR-017575 	2 	
$2,000.00 	$4,000.00 	Removed from working system, in Texas warehouse 	
&lt;https://www.fabsurplus.com/sdi_catalog/salesItemDetails.do?id=80202&gt;
80203 	Advantest 	BGR-019486 	ADVANTEST T5335P PC Board 	11 	$500.00 	
$5,500.00 	power card, removed from working system and stored in Texas 
warehouse 	
&lt;https://www.fabsurplus.com/sdi_catalog/salesItemDetails.do?id=80203&gt;
80204 	Advantest 	BGR-020851 	ADVANTEST T5335P PC Board 	1 	$1,000.00 	
$1,000.00 	Removed from working system, in Texas warehouse 	
&lt;https://www.fabsurplus.com/sdi_catalog/salesItemDetails.do?id=80204&gt;
80205 	Advantest 	BGR-017578 	ADVANTEST T5335P PC Board 	2 	$750.00 	
$1,500.00 	Removed from working system, in Texas warehouse 	
&lt;https://www.fabsurplus.com/sdi_catalog/salesItemDetails.do?id=80205&gt;
80206 	Advantest 	BGR-017579 	ADVANTEST T5335P PC Board 	2 	$750.00 	
$1,500.00 	Removed from working system, in Texas warehouse 	
&lt;https://www.fabsurplus.com/sdi_catalog/salesItemDetails.do?id=80206&gt;
80208 	Advantest 	BGR-018931 	ADVANTEST T5335P PC Board 	2 	$1,000.00 	
$2,000.00 	Removed from working system, in Texas warehouse 	
&lt;https://www.fabsurplus.com/sdi_catalog/salesItemDetails.do?id=80208&gt;
80209 	Advantest 	BGR-016794 	ADVANTEST T5335P PC Board 	2 	$1,000.00 	
$2,000.00 	Removed from working system, in Texas warehouse 	
&lt;https://www.fabsurplus.com/sdi_catalog/salesItemDetails.do?id=80209&gt;
80210 	Advantest 	BGR-016793 	ADVANTEST T5335P PC Board 	2 	$1,000.00 	
$2,000.00 	Removed from working system, in Texas warehouse 	
&lt;https://www.fabsurplus.com/sdi_catalog/salesItemDetails.do?id=80210&gt;
80293 	Advantest 	BGR-019267 	ADVANTEST T5335P PC Board 	2 	$1,500.00 	
$3,000.00 	Removed from working system, in Texas warehouse 	
&lt;https://www.fabsurplus.com/sdi_catalog/salesItemDetails.do?id=80293&gt;
80294 	Advantest 	BGR-020900 	ADVANTEST T5335P PC Board 	4 	$1,000.00 	
$4,000.00 	Removed from working system, in Texas warehouse 	
&lt;https://www.fabsurplus.com/sdi_catalog/salesItemDetails.do?id=80294&gt;
80295 	Advantest 	BGR-019266 	ADVANTEST T5335P PC Board 	1 	$1,500.00 	
$1,500.00 	Removed from working system, in Texas warehouse
T5335P MRA I/F board P/N: BGR-019266 	
&lt;https://www.fabsurplus.com/sdi_catalog/salesItemDetails.do?id=80295&gt;
80296 	Advantest 	BGR-017417 	ADVANTEST T5335P PC Board 	2 	$1,000.00 	
$2,000.00 	Removed from working system, in Texas warehouse 	
&lt;https://www.fabsurplus.com/sdi_catalog/salesItemDetails.do?id=80296&gt;
80297 	Advantest 	BGR-018824 	ADVANTEST T5335P PC Board 	7 	$1,000.00 	
$7,000.00 	Removed from working system, in Texas warehouse 	
&lt;https://www.fabsurplus.com/sdi_catalog/salesItemDetails.do?id=80297&gt;
80298 	Advantest 	BGR-018823 	ADVANTEST T5335P PC Board 	4 	$1,000.00 	
$4,000.00 	Removed from working system, in Texas warehouse 	
&lt;https://www.fabsurplus.com/sdi_catalog/salesItemDetails.do?id=80298&gt;
80299 	Advantest 	BGR-018822 	ADVANTEST T5335P PC Board 	4 	$1,000.00 	
$4,000.00 	Removed from working system, in Texas warehouse 	
&lt;https://www.fabsurplus.com/sdi_catalog/salesItemDetails.do?id=80299&gt;
80300 	Advantest 	BGR-018125 	ADVANTEST T5335P PC Board 	1 	$1,000.00 	
$1,000.00 	Removed from working system, in Texas warehouse 	
&lt;https://www.fabsurplus.com/sdi_catalog/salesItemDetails.do?id=80300&gt;
80301 	Advantest 	BGR-020815 	ADVANTEST T5335P PC Board 	1 	$15,000.00 	
$15,000.00 	Removed from working system, in Texas warehouse 	
&lt;https://www.fabsurplus.com/sdi_catalog/salesItemDetails.do?id=80301&gt;
80302 	Advantest 	Bir-021807 	ADVANTEST T5335P PC Board 	1 	$3,000.00 	
$3,000.00 	Advantest BIR-021807 T5335P tester board, removed from working 
system.
Will Ship FEDEX from our Boerne, TX 78006 warehouse
&lt;https://www.fabsurplus.com/sdi_catalog/salesItemDetails.do?id=80302&gt;
82926 	Advantest 	WUN-H90554AIR 	ADVANTEST air control unit 	1 	$500.00 	
$500.00 	Removed from working system, in Texas warehouse
Removed from Advantest T5335P tester, in good condition, located in our
Texas warehouse. Includes guage, and air control with 6 air inputs
5Kgf/cm2
&lt;https://www.fabsurplus.com/sdi_catalog/salesItemDetails.do?id=82926&gt;
83498 	Advantest 	BGR-016797 	ADVANTEST T5335P PC Board (was 80207) 	6 	
$750.00 	$4,500.00 	Removed from working system, in Texas warehouse 	
&lt;https://www.fabsurplus.com/sdi_catalog/salesItemDetails.do?id=83498&gt;
83499 	Advantest 	BGR-016796 	ADVANTEST T5335P PC Board 	3 	$1,000.00 	
$3,000.00 	Removed from working system, in Texas warehouse
B9807B-CFB 	
&lt;https://www.fabsurplus.com/sdi_catalog/salesItemDetails.do?id=83499&gt;
83500 	Advantest 	BGR-021096 	ADVANTEST T5335P PC Board 	2 	$1,000.00 	
$2,000.00 	Removed from working system, in Texas warehouse 	
&lt;https://www.fabsurplus.com/sdi_catalog/salesItemDetails.do?id=83500&gt;
83501 	Advantest 	BGR-020765 	ADVANTEST T5335P PC Board 	2 	$750.00 	
$1,500.00 	Removed from working system, in Texas warehouse 	
&lt;https://www.fabsurplus.com/sdi_catalog/salesItemDetails.do?id=83501&gt;
83502 	Advantest 	BGR-017418 	ADVANTEST T5335P PC Board 	2 	$750.00 	
$1,500.00 	Removed from working system, in Texas warehouse 	
&lt;https://www.fabsurplus.com/sdi_catalog/salesItemDetails.do?id=83502&gt;
83503 	Advantest 	BGK-017719 	ADVANTEST T5335P PC Board 	1 	$350.00 	
$350.00 	Removed from working system, in Texas warehouse 	
&lt;https://www.fabsurplus.com/sdi_catalog/salesItemDetails.do?id=83503&gt;
83504 	Advantest 	BGK-011702 	ADVANTEST T5335P PC Board 	1 	$350.00 	
$350.00 	Removed from working system, in Texas warehouse
Marked BCD 	
&lt;https://www.fabsurplus.com/sdi_catalog/salesItemDetails.do?id=83504&gt;
83550 	Advantest 	WUN-MONITORBOX 	ADVANTEST poiwer supply monitoring box, 
T5335P 	2 	$500.00 	$1,000.00 	Removed from working system, in Texas 
warehouse
Removed from Advantest T5335P tester, in good condition.
01536135 9728
WUN-MONITORBOX
40012806 A9728B
&lt;https://www.fabsurplus.com/sdi_catalog/salesItemDetails.do?id=83550&gt;
92006 	Advantest 	BGR-016796 	ADVANTEST T5335P PC Board 	1 	$1,000.00 	
$1,000.00 	Removed from working system, in Texas warehouse
B1931B-CFB 	
&lt;https://www.fabsurplus.com/sdi_catalog/salesItemDetails.do?id=92006&gt;
92007 	Advantest 	BGR-018822 	ADVANTEST T5335P PC Board 	1 	$1,000.00 	
$1,000.00 	Removed from working system, in Texas warehouse
A9615B-BFB 	
&lt;https://www.fabsurplus.com/sdi_catalog/salesItemDetails.do?id=92007&gt;
92008 	Advantest 	BGR-017418 	ADVANTEST T5335P PC Board 	1 	$1,000.00 	
$1,000.00 	Removed from working system, in Texas warehouse
A9733B-ACA 	
&lt;https://www.fabsurplus.com/sdi_catalog/salesItemDetails.do?id=92008&gt;
92009 	Advantest 	T5335P 	Boards from an Advantest T5335P Test system 	18 	
$1,000.00 	$18,000.00 	Removed from working system, in Texas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TOTAL 	$116,600.00 	  	 
 </t>
  </si>
  <si>
    <t xml:space="preserve">83503</t>
  </si>
  <si>
    <t xml:space="preserve">BGK-017719</t>
  </si>
  <si>
    <t xml:space="preserve">Advantest T5335P
P.C.B.for immediate sale.
De-installed from a working system. Located at our Avezzano 67051 Italy 
warehouse.
qty 2 available.</t>
  </si>
  <si>
    <t xml:space="preserve">83504</t>
  </si>
  <si>
    <t xml:space="preserve">BGK-011702</t>
  </si>
  <si>
    <t xml:space="preserve">Advantest T5335P
P.C.B.for immediate sale.
De-installed from a working system. Located at our Avezzano 67051 Italy 
warehouse.
Marked BCD. qty 2 available.</t>
  </si>
  <si>
    <t xml:space="preserve">99379</t>
  </si>
  <si>
    <t xml:space="preserve">ADVANTEST </t>
  </si>
  <si>
    <t xml:space="preserve">T5375 </t>
  </si>
  <si>
    <t xml:space="preserve">TRUNCATED: -DE-INSTALLED AND WAREHOUSED. WAS WORKING BEFORE REMOVAL. SOLD "AS IS" 
CONDITIONS, EX-WAREHOUSE, ITALY.
-see attached photos for details
-Configuration:-
DIAG G:-
Configuration T5375
=
/DIAG/G
SYSTEM CONFIGURATION GENERATE
CONFIGURATION OF TEST HEAD
  PIN CONFIGURATION   1. 512DR+ 320I/O(QUARTER)
                      2.1024DR+ 640I/O(HALF)
                      3.1536DR+ 640I/O(FULL)
                      4.2048DR+ 640I/O(FULL)
                      5.1536DR+1280I/O(FULL)
                      6.2048DR+1280I/O(FULL)   [1-6] ...&gt; 1
  NUMBER OF TEST HEAD  [1,2] ...........................&gt; 1
CONFIGURATION OF TEST HEAD 1
  PE BOARD         0.NOT EXIST
                   1.    EXIST
                         DR PIN    1A1  1A5 17A1 25A1
                   CHILD A,B ....&gt;  1    1    1    1    
                   CHILD C,D ....&gt;  0    0    0    0    
                   CHILD E,F ....&gt;  0    0    0    0    
                   CHILD G,H ....&gt;  0    0    0    0    
                         IO PIN   33A1 97A1 33A5 97A5
                   CHILD A,B ....&gt;  1    1    1    1    
                   CHILD C,D ....&gt;  0    0    0    0    
                   CHILD E,F ....&gt;  0    0    0    0    
                   CHILD G,H ....&gt;  0    0    0    0    
CONFIGURATION OF DPU
  TEST HEAD 1     DC    CONFIGURATION [1-64] ...........&gt; 1-8,17-24
                  PPS   CONFIGURATION [1-256] ..........&gt; 
1-32,65-107,119-160,225-235
  AC FREQUENCY (Hz)     [50,60] ........................&gt; 50
CONFIGURATION OF FTU
  FLASH OPTION         [Y,N] ...........................&gt; YES
CONFIGURATION OF FM
  NUMBER OF FMRA BOARD [0-16] ..........................&gt;  2
  SIZE OF FMRA BOARD   [0:0G,1:1.44G,2:2.88G] ..........&gt; 1
  TYPE OF CFM          [1:TYPE-1,2:TYPE-2] .............&gt; 1
  PM(PATTERN MEMORY) BOARD EXIST [Y,N] .................&gt; YES
  SIZE OF PM BOARD     [1:1G,2:2G,3:4G,4:9G] ...........&gt; 1
CONFIGURATION OF MRA
  MRA4 EXIST [Y,N] .....................................&gt; NO
END SAVE
=
=
/LOG OFF
Data log print out:
=
/PPRO T5375
*******************************************************************************
**        T5375 SYSTEM DIAGNOSTICS    REV:6.06A(SYS TEST) 1.04B(DIAG)       
 **
**        SYSTEM ID.                                                    **
**        TH          512DR+ 320IO                                          
 **
**        START AT   2020/04/29 16:14:57                                    
 **
**                                                                          
 **
**                   TEST MODE : PASS PRINT                                 
 **
**                   SPEC      : 100.0%                                     
 **
*******************************************************************************
TEST 5001 TH   ( 10) CONTROL WORD CHECK                               
***PASS 
TEST 5002 TH   ( 10) MCW CHECK                                        
***PASS 
TEST 5003 TH   ( 10) PERFORMANCE BOARD READ CHECK                     
***PASS 
TEST 5004 TH   ( 11) PPS CONNECTION PRECHECK                          
***PASS 
TEST 5005 TH   ( 11) VS / VS MASK CHECK                               
***PASS 
TEST 5006 TH   ( 11) PCON / PCON MASK CHECK                           
***PASS 
TEST 5007 TH   ( 11) LCON CHECK                                       
***PASS 
TEST 5008 TH   ( 12) HGND CONNECTION CHECK                            
***PASS 
TEST 5009 TH   ( 12) SIGNAL PIN CONNECTION CHECK                      
***PASS 
TEST 5010 TH   ( 12) LOAD PIN CONNECTION CHECK                        
***PASS 
TEST 5011 TH   ( 13) OUTPUT RELAY CHECK                               
***PASS 
TEST 5012 TH   ( 13) HV OUT RELAY &amp; OUTPUT CHECK                      
***PASS 
TEST 5013 TH   ( 13) HV CONT RELAY CHECK                              
***PASS 
TEST 5014 TH   ( 13) DC FORCE/SENSE LINE CHECK                        
***PASS 
TEST 5015 TH   ( 16) DC LEAK CHECK                                    
***PASS 
TEST 0101 DPU  (  1) CBOX I/F 2'ND GPIB SELF    CHECK                 
***PASS 
TEST 0102 DPU  (  2) CBOX I/F 2'ND GPIB REMOTE  CHECK                 
***PASS 
TEST 0103 DPU  (  3) CBOX I/F 2'ND GPIB CLEAR   CHECK                 
***PASS 
TEST 0111 DPU  (  5) IF  LOGIC    W/R       CHECK                     
***PASS 
TEST 0141 DPU  ( 49) DC  LOGIC    W/R       CHECK                     
***PASS 
TEST 0151 DPU  ( 65) PPS LOGIC    W/R       CHECK                     
***PASS 
TEST 0231 DPU  (177) IFA R-LOAD             CHECK                     
***PASS 
TEST 0232 DPU  (179) IFA ADC          CAL &amp; CHECK                     
***PASS 
TEST 0233 DPU  (180) IFA COMPARATOR   CAL &amp; CHECK                     
***PASS 
TEST 0244 DPU  (181) DC VS    CALIBRATION &amp; CHECK                     
***PASS 
TEST 0245 DPU  (182) DC I-CLP CALIBRATION &amp; CHECK                     
***PASS 
TEST 0246 DPU  (183) DC IM    CALIBRATION &amp; CHECK                     
***PASS 
TEST 0247 DPU  (184) DC IS    CALIBRATION &amp; CHECK                     
***PASS 
TEST 0248 DPU  (185) DC VM    CALIBRATION &amp; CHECK                     
***PASS 
TEST 0249 DPU  (186) DC V-CLP CALIBRATION &amp; CHECK                     
***PASS 
TEST 0251 DPU  (187) PS R-LOAD              CHECK                     
***PASS 
TEST 0258 DPU  (187) PS ADC   CALIBRATION &amp; CHECK                     
***PASS 
TEST 0252 DPU  (188) PS VS    CALIBRATION &amp; CHECK                     
***PASS 
TEST 0253 DPU  (189) PS +IM   CALIBRATION &amp; CHECK                     
***PASS 
TEST 0254 DPU  (190) PS -IM   CALIBRATION &amp; CHECK                     
***PASS 
TEST 0255 DPU  (191) PS CLAMP CALIBRATION &amp; CHECK                     
***PASS 
TEST 0259 DPU  (192) PS VM    CALIBRATION &amp; CHECK                     
***PASS 
TEST 0411 DPU  (209) DC VSIM  VS      ACCURACY          CHECK         
***PASS 
TEST 0412 DPU  (210) DC VSIM  I-CLAMP ACCURACY          CHECK         
***PASS 
TEST 0413 DPU  (211) DC VSIM  IM      ACCURACY          CHECK         
***PASS 
TEST 0414 DPU  (212) DC ISVM  IS      ACCURACY          CHECK         
***PASS 
TEST 0415 DPU  (213) DC ISVM  V-CLAMP ACCURACY          CHECK         
***PASS 
TEST 0416 DPU  (214) DC ISVM  VM      ACCURACY          CHECK         
***PASS 
TEST 0419 DPU  (217) DC D/A       LINEARITY             CHECK         
***PASS 
TEST 0422 DPU  (218) DC VSIM  IM SETTLING (NO-LOAD)     CHECK         
***PASS 
TEST 0423 DPU  (221) DC CLAMP/GUARD ALARM               CHECK         
***PASS 
TEST 0511 DPU  (225) PS VSIM  VS      ACCURACY          CHECK         
***PASS 
TEST 0512 DPU  (226) PS VSIM  +IM     ACCURACY          CHECK         
***PASS 
TEST 0513 DPU  (226) PS VSIM  -IM     ACCURACY          CHECK         
***PASS 
TEST 0514 DPU  (228) PS VSIM  CLAMP   ACCURACY          CHECK         
***PASS 
TEST 0516 DPU  (230) PS VSVM  VM      ACCURACY          CHECK         
***PASS 
TEST 0517 DPU  (231) PS STANDBY                         CHECK         
***PASS 
TEST 0518 DPU  (232) PS GUARD ALARM                     CHECK         
***PASS 
TEST 0519 DPU  (233) PS CLAMP ALARM                     CHECK         
***PASS 
TEST 0520 DPU  (234) PS KELVIN ALARM                    CHECK         
***PASS 
TEST 0523 DPU  (235) PS VSIM  IM SETTLING (LOAD)        CHECK         
***PASS 
TEST 0524 DPU  (236) PS VSIM  IM FILTER                 CHECK         
***PASS 
TEST 2010 ALPG (  1) OBM R/W CHECK                                    
***PASS
TEST 2011 ALPG (  1) REGISTER R/W CHECK                               
***PASS
TEST 2012 ALPG (  1) OBM,OBM-AP,WCS,XSCRAM R/W CHECK                  
***PASS
TEST 2013 ALPG (  1) IDXR1-8/IDXW1-8 REG. R/W CHECK                   
***PASS
TEST 2014 ALPG (  1) IDX LR1-16 REG. R/W CHECK                        
***PASS
TEST 2015 ALPG (  1) TIMER DATA &amp; MODE REG. R/W CHECK 1 (TMSEL1-3)    
***PASS
TEST 2016 ALPG (  1) TIMER DATA &amp; MODE REG. R/W CHECK 2 (TMSEL0)      
***PASS
TEST 2017 ALPG (  1) BURST WORD COUNTER CHECK                         
***PASS
TEST 2018 ALPG (  1) TBRST (TESTER BUS RESET) CHECK                   
***PASS
TEST 2019 ALPG (  1) PG RESET (CONTROL REG.) CHECK                    
***PASS
TEST 2020 ALPG (  2) WCS0-1 R/W CHECK 1 (MARCHING)                    
***PASS
TEST 2021 ALPG (  2) WCS2-8 R/W CHECK 1 (MARCHING)                    
***PASS
TEST 2022 ALPG (  2) X PRE-SCRAM R/W CHECK 1 (MARCHING)               
***PASS
TEST 2023 ALPG (  2) Y PRE-SCRAM R/W CHECK 1 (MARCHING)               
***PASS
TEST 2024 ALPG (  2) XSCRAM R/W CHECK 1 (MARCHING)                    
***PASS
TEST 2025 ALPG (  2) YSCRAM R/W CHECK 1 (MARCHING)                    
***PASS
TEST 2026 ALPG (  2) ARIRAM R/W CHECK 1 (MARCHING)                    
***PASS
TEST 2027 ALPG (  2) ALPG MEMORY SELECT CHECK                         
***PASS
TEST 2028 ALPG (  2) ALPG MEMORY BURST WRITE CHECK 1                  
***PASS
TEST 2029 ALPG (  2) ALPG MEMORY BURST WRITE CHECK 2                  
***PASS
TEST 2030 ALPG (  3) WCS0-1 R/W CHECK 2 (DATA BIT)                    
***PASS
TEST 2031 ALPG (  3) WCS2-8 R/W CHECK 2 (DATA BIT)                    
***PASS
TEST 2032 ALPG (  3) X PRE-SCRAM R/W CHECK 2 (DATA BIT)               
***PASS
TEST 2033 ALPG (  3) Y PRE-SCRAM R/W CHECK 2 (DATA BIT)               
***PASS
TEST 2034 ALPG (  3) XSCRAM R/W CHECK 2 (DATA BIT)                    
***PASS
TEST 2035 ALPG (  3) YSCRAM R/W CHECK 2 (DATA BIT)                    
***PASS
TEST 2036 ALPG (  3) ARIRAM R/W CHECK 2 (DATA BIT)                    
***PASS
TEST 2037 ALPG (  3) INSTRUCTION ERROR CHECK                          
***PASS
TEST 2040 ALPG (  4) UNIVERSAL COUNTER CLEAR CHECK                    
***PASS
TEST 2041 ALPG (  4) UNIVERSAL COUNTER REAL-TIME CHECK                
***PASS
TEST 2042 ALPG (  4) STA(START PC) REG. BIT CHECK                     
***PASS
TEST 2043 ALPG (  4) PG STOP CHECK                                    
***PASS
TEST 2044 ALPG (  4) PG RESET CHECK                                   
***PASS
TEST 2050 ALPG (  5) NOP INSTRUCTION CHECK                            
***PASS
TEST 2051 ALPG (  5) JMP INSTRUCTION CHECK                            
***PASS
TEST 2052 ALPG (  5) STPS INSTRUCTION CHECK                           
***PASS
TEST 2053 ALPG (  5) STFL INSTRUCTION CHECK                           
***PASS
TEST 2054 ALPG (  5) PC &amp; TEST LINE CHECK                             
***PASS
TEST 2055 ALPG (  5) PC SELECT CHECK 1 (NOP/JMP)                      
***PASS
TEST 2056 ALPG (  5) PC SELECT CHECK 2 (NOP/RTN)                      
***PASS
TEST 2057 ALPG (  5) PC SELECT CHECK 3 (JMP/RTN)                      
***PASS
TEST 2060 ALPG (  6) JSR/RTN INSTRUCTION CHECK                        
***PASS
TEST 2061 ALPG (  6) SUBROUTINE STACK BIT CHECK                       
***PASS
TEST 2062 ALPG (  6) STACK ERROR CHECK 1 (STACK OVER/UNDER)           
***PASS
TEST 2063 ALPG (  6) STI1-8 INSTRUCTION CHECK                         
***PASS
TEST 2064 ALPG (  6) INC1-8 INSTRUCTION CHECK                         
***PASS
TEST 2065 ALPG (  6) IDXI1-8 INSTRUCTION CHECK                        
***PASS
TEST 2066 ALPG (  6) JSI1-8/RTN INSTRUCTION CHECK                     
***PASS
TEST 2070 ALPG (  7) JNI1-8 INSTRUCTION CHECK 1 (JNIn .-1)            
***PASS
TEST 2071 ALPG (  7) JNI1-8 INSTRUCTION CHECK 2 (JNIn .)              
***PASS
TEST 2072 ALPG (  7) JNI1-8 INSTRUCTION CHECK 3 (ZERO FLAG)           
***PASS
TEST 2073 ALPG (  7) JNI1-8I INSTRUCTION CHECK 1 (LOOP)               
***PASS
TEST 2074 ALPG (  7) JNI1-8I INSTRUCTION CHECK 2 (IDXR INC)           
***PASS
TEST 2075 ALPG (  7) JNI1-8D INSTRUCTION CHECK 1 (LOOP)               
***PASS
TEST 2076 ALPG (  7) JNI1-8D INSTRUCTION CHECK 2 (IDXR DEC)           
***PASS
TEST 2077 ALPG (  7) JNC1-16 INSTRUCTION CHECK                        
***PASS
TEST 2078 ALPG (  7) LDI1-8 INSTRUCTION CHECK                         
***PASS
TEST 2080 ALPG (  8) STTM INSTRUCTION CHECK                           
***PASS
TEST 2081 ALPG (  8) JZD INSTRUCTION CHECK                            
***PASS
TEST 2082 ALPG (  8) JET INSTRUCTION CHECK                            
***PASS
TEST 2083 ALPG (  8) SET INSTRUCTION CHECK                            
***PASS
TEST 2084 ALPG (  8) WAIT INSTRUCTION CHECK                           
***PASS
TEST 2085 ALPG (  8) OUT INSTRUCTION CHECK                            
***PASS
TEST 2086 ALPG (  8) T/TM1/TM2 INSTRUCTION CHECK                      
***PASS
TEST 2087 ALPG (  8) IDX1-8 DATA LOAD TIMING CHECK                    
***PASS
TEST 2088 ALPG (  8) IDXR1-8 DATA READ TIMING CHECK                   
***PASS
TEST 2090 ALPG (  9) INSTRUCTION COMBINATION CHECK 1                  
***PASS
TEST 2091 ALPG (  9) INSTRUCTION COMBINATION CHECK 2                  
***PASS
TEST 2092 ALPG (  9) INSTRUCTION COMBINATION CHECK 3                  
***PASS
TEST 2093 ALPG (  9) TRACE MODE INSTRUCTION CHECK 1                   
***PASS
TEST 2094 ALPG (  9) TRACE MODE INSTRUCTION CHECK 2                   
***PASS
TEST 2100 ALPG ( 10) REGISTER REAL TIME SET CHECK 1                   
***PASS
TEST 2101 ALPG ( 10) REGISTER REAL TIME SET CHECK 2                   
***PASS
TEST 2102 ALPG ( 10) XT FUNCTION    CHECK                             
***PASS
TEST 2103 ALPG ( 10) YT FUNCTION    CHECK                             
***PASS
TEST 2104 ALPG ( 10) XB INSTRUCTION CHECK                             
***PASS
TEST 2105 ALPG ( 10) YB INSTRUCTION CHECK                             
***PASS
TEST 2106 ALPG ( 10) D3 INSTRUCTION CHECK                             
***PASS
TEST 2107 ALPG ( 10) D4 INSTRUCTION CHECK                             
***PASS
TEST 2108 ALPG ( 10) D3-D4 REGISTER LINK CHECK                        
***PASS
TEST 2109 ALPG ( 10) XB-YB INSTRUCTION CHECK                          
***PASS
TEST 2110 ALPG ( 11) X-ALU SOURCE A  FIELD CHECK                      
***PASS
TEST 2111 ALPG ( 11) Y-ALU SOURCE A  FIELD CHECK                      
***PASS
TEST 2112 ALPG ( 11) X-ALU SOURCE B  FIELD CHECK                      
***PASS
TEST 2113 ALPG ( 11) Y-ALU SOURCE B  FIELD CHECK                      
***PASS
TEST 2114 ALPG ( 11) X-ALU OPERATION FIELD CHECK                      
***PASS
TEST 2115 ALPG ( 11) Y-ALU OPERATION FIELD CHECK 1                    
***PASS
TEST 2116 ALPG ( 11) Y-ALU OPERATION FIELD CHECK 2                    
***PASS
TEST 2117 ALPG ( 11) Y-ALU OPERATION FIELD CHECK 3                    
***PASS
TEST 2118 ALPG ( 11) Y-ALU OPERATION FIELD CHECK 4                    
***PASS
TEST 2119 ALPG ( 11) Y-ALU OPERATION FIELD CHECK 5                    
***PASS
TEST 2120 ALPG ( 12) X-ALU DESTINATION FIELD CHECK                    
***PASS
TEST 2121 ALPG ( 12) Y-ALU DESTINATION FIELD CHECK                    
***PASS
TEST 2122 ALPG ( 12) X-OUT DATA MULTIPLEXER  CHECK (XC,XB,XS)         
***PASS
TEST 2123 ALPG ( 12) Y-OUT DATA MULTIPLEXER  CHECK (YC,YB,YS)         
***PASS
TEST 2124 ALPG ( 12) XB CARRY CHECK                                   
***PASS
TEST 2125 ALPG ( 12) XC CARRY CHECK                                   
***PASS
TEST 2126 ALPG ( 12) YB CARRY CHECK                                   
***PASS
TEST 2127 ALPG ( 12) YC CARRY CHECK                                   
***PASS
TEST 2128 ALPG ( 12) LMAX&lt;&gt;HMAX INSTRUCTION CHECK                     
***PASS
TEST 2130 ALPG ( 13) Z INSTRUCTION CHECK 1                            
***PASS
TEST 2131 ALPG ( 13) Z INSTRUCTION CHECK 2                            
***PASS
TEST 2132 ALPG ( 13) Z INSTRUCTION CHECK 3                            
***PASS
TEST 2133 ALPG ( 13) N INSTRUCTION CHECK                              
***PASS
TEST 2134 ALPG ( 13) X ADDRESS MULTIPLEXER CHECK                      
***PASS
TEST 2135 ALPG ( 13) Y ADDRESS MULTIPLEXER CHECK                      
***PASS
TEST 2136 ALPG ( 13) /X INSTRUCTION CHECK                             
***PASS
TEST 2137 ALPG ( 13) /Y INSTRUCTION CHECK                             
***PASS
TEST 2138 ALPG ( 13) /Z INSTRUCTION CHECK                             
***PASS
TEST 2139 ALPG ( 13) B INSTRUCTION CHECK                              
***PASS
TEST 2140 ALPG ( 14) XMAX MASK CHECK                                  
***PASS
TEST 2141 ALPG ( 14) YMAX MASK CHECK                                  
***PASS
TEST 2142 ALPG ( 14) X-Z MULTIPLEXER CHECK (X-Z ENABLE)               
***PASS
TEST 2143 ALPG ( 14) Y-Z MULTIPLEXER CHECK (Y-Z ENABLE)               
***PASS
TEST 2144 ALPG ( 14) X-Z MULTIPLEXER CHECK (Z_CONT)                   
***PASS
TEST 2145 ALPG ( 14) Y-Z MULTIPLEXER CHECK (Z_CONT)                   
***PASS
TEST 2146 ALPG ( 14) X-N MULTIPLEXER CHECK (X-N ENABLE)               
***PASS
TEST 2147 ALPG ( 14) Y-N MULTIPLEXER CHECK (Y-N ENABLE)               
***PASS
TEST 2148 ALPG ( 14) X-B MULTIPLEXER CHECK (X-N ENABLE)               
***PASS
TEST 2149 ALPG ( 14) Y-B MULTIPLEXER CHECK (Y-N ENABLE)               
***PASS
TEST 2150 ALPG ( 15) REFRESH COUNTER CHECK 1                          
***PASS
TEST 2151 ALPG ( 15) REFRESH COUNTER CHECK 2                          
***PASS
TEST 2152 ALPG ( 15) X OFFSET ADDRESS ADDER CHECK                     
***PASS
TEST 2153 ALPG ( 15) Y OFFSET ADDRESS ADDER CHECK                     
***PASS
TEST 2154 ALPG ( 15) XB INSTRUCTION CHECK (CARRY)                     
***PASS
TEST 2155 ALPG ( 15) YB INSTRUCTION CHECK (CARRY)                     
***PASS
TEST 2156 ALPG ( 15) XB INSTRUCTION CHECK (/X)                        
***PASS
TEST 2157 ALPG ( 15) YB INSTRUCTION CHECK (/Y)                        
***PASS
TEST 2158 ALPG ( 15) XB &amp; YB INSTRUCTION CHECK (LINK)                 
***PASS
TEST 2159 ALPG ( 15) PGBUS ACCESS CHECK ON PG RUNNING                 
***PASS
TEST 2160 ALPG ( 16) PRESCRAM FORMAT REGISTER R/W CHECK               
***PASS
TEST 2161 ALPG ( 16) PRESCRAM ADDRESS SELECTOR CHECK                  
***PASS
TEST 2162 ALPG ( 16) PRESCRAM SCRAMBLE DISABLE CHECK (PDS,FM_SIDE)    
***PASS
TEST 2163 ALPG ( 16) PRESCRAM SCRAMBLE ENABLE  CHECK (PDS,FM_SIDE)    
***PASS
TEST 2164 ALPG ( 16) PRESCRAM SCRAMBLE DISABLE CHECK (DGEN_SIDE)      
***PASS
TEST 2165 ALPG ( 16) PRESCRAM SCRAMBLE ENABLE  CHECK (DGEN_SIDE)      
***PASS
TEST 2166 ALPG ( 16) PRESCRAM DISABLE CHECK                           
***PASS
TEST 2170 ALPG ( 17) PRESCRAM Y PLUS Z FUNCTION CHECK                 
***PASS
TEST 2171 ALPG ( 17) PRESCRAM Y XOR Z  FUNCTION CHECK                 
***PASS
TEST 2172 ALPG ( 17) PRESCRAM CONT REG ON/OFF CHECK                   
***PASS
TEST 2173 ALPG ( 17) PRESCRAM REAL-TIME OFF CHECK                     
***PASS
TEST 2174 ALPG ( 17) PRESCRAM MODE SELECT CHECK                       
***PASS
TEST 2180 ALPG ( 18) SCRAM FORMAT REGISTER R/W CHECK                  
***PASS
TEST 2181 ALPG ( 18) SCRAM ADDRESS SELECTOR CHECK                     
***PASS
TEST 2182 ALPG ( 18) SCRAM SCRAMBLE DISABLE CHECK (PDS_SIDE)          
***PASS
TEST 2183 ALPG ( 18) SCRAM SCRAMBLE ENABLE  CHECK (PDS_SIDE)          
***PASS
TEST 2184 ALPG ( 18) SCRAM SCRAMBLE DISABLE CHECK (FM_SIDE)           
***PASS
TEST 2185 ALPG ( 18) SCRAM SCRAMBLE ENABLE  CHECK (FM_SIDE)           
***PASS
TEST 2186 ALPG ( 18) SCRAM REAL-TIME OFF CHECK                        
***PASS
TEST 2187 ALPG ( 18) PAGE DETECTOR CHECK                              
***PASS
TEST 2190 ALPG ( 19) X,Y-SYNC MODE FUNCTION CHECK                     
***PASS
TEST 2191 ALPG ( 19) SYNC MODE FUNCTION CHECK                         
***PASS
TEST 2192 ALPG ( 19) WINDOW MODE FUNCTION CHECK 1 (X)                 
***PASS
TEST 2193 ALPG ( 19) WINDOW MODE FUNCTION CHECK 2 (Y)                 
***PASS
TEST 2194 ALPG ( 19) WINDOW MODE FUNCTION CHECK 3 (X MASK)            
***PASS
TEST 2195 ALPG ( 19) WINDOW MODE FUNCTION CHECK 4 (Y MASK)            
***PASS
TEST 2196 ALPG ( 19) WINDOW MODE FUNCTION CHECK 5                     
***PASS
TEST 2197 ALPG ( 19) MA,MB SIGNAL OUTPUT CHECK                        
***PASS
TEST 2200 ALPG ( 20) ADDRESS SHIFT MODE FUNCTION CHECK 1 (LOAD)       
***PASS
TEST 2201 ALPG ( 20) ADDRESS SHIFT MODE FUNCTION CHECK 2 (SR1)        
***PASS
TEST 2202 ALPG ( 20) ADDRESS SHIFT MODE FUNCTION CHECK 3 (SL1)        
***PASS
TEST 2203 ALPG ( 20) ADDRESS SHIFT MODE FUNCTION CHECK 4 (ROTATE)     
***PASS
TEST 2204 ALPG ( 20) ADDRESS SHIFT MODE FUNCTION CHECK 5 (SR2)        
***PASS
TEST 2205 ALPG ( 20) ADDRESS SHIFT MODE FUNCTION CHECK 6 (SR4)        
***PASS
TEST 2206 ALPG ( 20) ADDRESS SHIFT MODE FUNCTION CHECK 7 (SR8)        
***PASS
TEST 2207 ALPG ( 20) ADDRESS SHIFT MODE FUNCTION CHECK 8 (SL2)        
***PASS
TEST 2208 ALPG ( 20) ADDRESS SHIFT MODE FUNCTION CHECK 9 (SL4)        
***PASS
TEST 2209 ALPG ( 20) ADDRESS SHIFT MODE FUNCTION CHECK 10(SL8)        
***PASS
TEST 2210 ALPG ( 21) ADDRESS SHIFT MODE FUNCTION CHECK 11             
***PASS
TEST 2211 ALPG ( 21) ADDRESS SHIFT MODE FUNCTION CHECK 12             
***PASS
TEST 2212 ALPG ( 21) ADDRESS SHIFT MODE FUNCTION CHECK 13             
***PASS
TEST 2213 ALPG ( 21) ADDRESS SHIFT MODE FUNCTION CHECK 14             
***PASS
TEST 2214 ALPG ( 21) ADDRESS SHIFT MODE FUNCTION CHECK 15             
***PASS
TEST 2215 ALPG ( 21) ADDRESS SHIFT MODE FUNCTION CHECK 16             
***PASS
TEST 2216 ALPG ( 21) ADDRESS SHIFT MODE FUNCTION CHECK 17             
***PASS
TEST 2220 ALPG ( 22) REGISTER REAL-TIME SET CHECK 3                   
***PASS
TEST 2221 ALPG ( 22) TP1 REGISTER FUNCTION CHECK                      
***PASS
TEST 2222 ALPG ( 22) TP2 REGISTER FUNCTION CHECK                      
***PASS
TEST 2223 ALPG ( 22) /D1 &amp; DCMR1  FUNCTION CHECK                      
***PASS
TEST 2224 ALPG ( 22) /D2 &amp; DCMR2  FUNCTION CHECK                      
***PASS
TEST 2225 ALPG ( 22) DATA HOLD INSTRUCTION CHECK (PD)                 
***PASS
TEST 2226 ALPG ( 22) PARITY MODE CHECK                                
***PASS
TEST 2227 ALPG ( 22) DSD,RCD,CCD REGISTER FUNCTION CHECK              
***PASS
TEST 2230 ALPG ( 23) FP0  FUNCTION CHECK (FIX-0)                      
***PASS
TEST 2231 ALPG ( 23) FP1  FUNCTION CHECK (CHECKER)                    
***PASS
TEST 2232 ALPG ( 23) FP3  FUNCTION CHECK (DIAGONAL)                   
***PASS
TEST 2233 ALPG ( 23) FP4  FUNCTION CHECK (INVERTED DIAGONAL)          
***PASS
TEST 2234 ALPG ( 23) FP7  FUNCTION CHECK (MASK PARITY)                
***PASS
TEST 2235 ALPG ( 23) FP8  FUNCTION CHECK (ROW BAR)                    
***PASS
TEST 2236 ALPG ( 23) FP9  FUNCTION CHECK (COLUMN BAR)                 
***PASS
TEST 2237 ALPG ( 23) FP10 FUNCTION CHECK (ROW/COLUMN BAR)             
***PASS
TEST 2238 ALPG ( 23) FP FUNCTION DATA CHECK                           
***PASS
TEST 2240 ALPG ( 24) FP5  FUNCTION CHECK (DIAGONAL-2)                 
***PASS
TEST 2241 ALPG ( 24) FP6  FUNCTION CHECK (INVERTED DIAGONAL-2)        
***PASS
TEST 2242 ALPG ( 24) FPX  FUNCTION CHECK                              
***PASS
TEST 2243 ALPG ( 24) PATA/PATB FUNCTION CHECK 1 (18BIT MODE)          
***PASS
TEST 2244 ALPG ( 24) PATA/PATB FUNCTION CHECK 1 (36BIT MODE)          
***PASS
TEST 2245 ALPG ( 24) PATA/PATB FUNCTION CHECK 3 (DSEL=#1)             
***PASS
TEST 2250 ALPG ( 25) ARIRAM ADDRESS FORMAT REGISTER R/W CHECK         
***PASS
TEST 2251 ALPG ( 25) ARIRAM ADDRESS SELECTOR CHECK                    
***PASS
TEST 2252 ALPG ( 25) ARIRAM DATA-INVERT CHECK                         
***PASS
TEST 2253 ALPG ( 25) ARIRAM SIGNAL HOLD CHECK                         
***PASS
TEST 2254 ALPG ( 25) ARIRAM INVERT REAL-TIME INHIBIT CHECK            
***PASS
TEST 2255 ALPG ( 25) FLAG SIGNAL OUTPUT CHECK                         
***PASS
TEST 2256 ALPG ( 25) DBM AP FUNCTION CHECK                            
***PASS
TEST 2257 ALPG ( 25) DBM PC FUNCTION CHECK                            
***PASS
TEST 2258 ALPG ( 25) DFLG TOGGLE FUNCTION CHECK                       
***PASS
TEST 2259 ALPG ( 25) DFLG DATA-INVERT CHECK                           
***PASS
TEST 2260 ALPG ( 26) DATA SHIFT FUNCTION CHECK 1 (X1)                 
***PASS
TEST 2261 ALPG ( 26) DATA SHIFT FUNCTION CHECK 2 (X2)                 
***PASS
TEST 2262 ALPG ( 26) DATA SHIFT FUNCTION CHECK 3 (X4)                 
***PASS
TEST 2263 ALPG ( 26) DATA SHIFT FUNCTION CHECK 4 (X8)                 
***PASS
TEST 2264 ALPG ( 26) CYCLE PALETTE CHECK                              
***PASS
TEST 2270 ALPG ( 27) PC-SYNC  FUNCTION CHECK                          
***PASS
TEST 2271 ALPG ( 27) TS-SYNC  FUNCTION CHECK                          
***PASS
TEST 2272 ALPG ( 27) MUT-SYNC FUNCTION CHECK                          
***PASS
TEST 2273 ALPG ( 27) PPS CONTROL SIGNAL SELECTOR CHECK                
***PASS
TEST 2274 ALPG ( 27) MUT CONTROL SIGNAL CHECK                         
***PASS
TEST 2275 ALPG ( 27) MC SIGNAL CHECK                                  
***PASS
TEST 2276 ALPG ( 27) FC,FTEST SIGNAL CHECK                            
***PASS
TEST 2277 ALPG ( 27) PREF SIGNAL CHECK                                
***PASS
TEST 2278 ALPG ( 27) CPE,DRE,RINV SIGNAL CHECK                        
***PASS
TEST 2279 ALPG ( 27) CPE,DRE,RINV SELECTOR CHECK                      
***PASS
TEST 2280 ALPG ( 28) WINDOW MODE CHECK                                
***PASS
TEST 2281 ALPG ( 28) TS READ CHECK                                    
***PASS
TEST 2282 ALPG ( 28) TS CONTROL CHECK 1 (PAGE MODE)                   
***PASS
TEST 2283 ALPG ( 28) TS CONTROL CHECK 2 (PAGE MODE)                   
***PASS
TEST 2284 ALPG ( 28) TS CONTROL CHECK 3 (PAGE MODE)                   
***PASS
TEST 2285 ALPG ( 28) PC READ CHECK                                    
***PASS
TEST 2286 ALPG ( 28) FAIL STOP FUNCTION CHECK                         
***PASS
TEST 2287 ALPG ( 28) AM1-2 READ CHECK 1 (PAGE MODE)                   
***PASS
TEST 2288 ALPG ( 28) AM1-2 READ CHECK 2 (RAS ONLY REFRESH MODE)       
***PASS
TEST 2290 ALPG ( 29) UNIVERSAL COUNTER CHECK 1 (PATTERN COUNT)        
***PASS
TEST 2291 ALPG ( 29) UNIVERSAL COUNTER CHECK 2 (SYNC COUNT)           
***PASS
TEST 2292 ALPG ( 29) UNIVERSAL COUNTER CHECK 3 (FAIL COUNT)           
***PASS
TEST 2293 ALPG ( 29) FAIL TRIGGER CHECK                               
***PASS
TEST 2300 ALPG ( 30) TIMER CHECK (STTM INSTRUCTION)                   
***PASS
TEST 2301 ALPG ( 30) STTM,STTM1 STTM2 DATA LOAD CHECK                 
***PASS
TEST 2302 ALPG ( 30) TIMER1(GENERAL TIMER) FULL BIT COUNT CHECK       
***PASS
TEST 2303 ALPG ( 30) TIMER2(PAUSE TIMER) FULL BIT COUNT CHECK         
***PASS
TEST 2304 ALPG ( 30) TIMER3(TRAS TIMER) FULL BIT COUNT CHECK          
***PASS
TEST 2305 ALPG ( 30) TIMER OPERATION CHECK-1 (TIMER DATA=#1)          
***PASS
TEST 2306 ALPG ( 30) TIMER OPERATION CHECK-2 (FIRST PAT TIMER START)  
***PASS
TEST 2307 ALPG ( 30) TIMER OPERATION CHECK-3 (STTM &amp; T COMBINATION)   
***PASS
TEST 2308 ALPG ( 30) TIMER OPERATION CHECK-4 (CONTINUE TIMER START)   
***PASS
TEST 2310 ALPG ( 31) TIMER ENABLE    MODE CHECK                       
***PASS
TEST 2311 ALPG ( 31) TIMER REFRESH_A MODE CHECK                       
***PASS
TEST 2312 ALPG ( 31) TIMER REFRESH_B MODE CHECK                       
***PASS
TEST 2313 ALPG ( 31) TIMER TRAS      MODE CHECK                       
***PASS
TEST 2314 ALPG ( 31) TIMER PAUSE     MODE CHECK                       
***PASS
TEST 2315 ALPG ( 31) TIMER PAUSE &amp; ENABLE MODE CHECK                  
***PASS
TEST 2320 ALPG ( 32) TIMER1 RANGE CHECK 1 (CURRENT)                   
***PASS
TEST 2321 ALPG ( 32) TIMER1 RANGE CHECK 2 (TIMER RANGE)               
***PASS
TEST 2322 ALPG ( 32) TIMER2 RANGE CHECK   (TIMER RANGE)               
***PASS
TEST 2323 ALPG ( 32) TIMER3 RANGE CHECK 1 (CURRENT)                   
***PASS
TEST 2324 ALPG ( 32) TIMER3 RANGE CHECK 2 (TIMER RANGE)               
***PASS
TEST 2325 ALPG ( 32) PAUSE &amp; INTERRUPT CHECK                          
***PASS
TEST 2330 ALPG ( 33) INTERRUPT CHECK 1  (ISP)                         
***PASS
TEST 2331 ALPG ( 33) INTERRUPT CHECK 2  (INTERRUPT RETURN)            
***PASS
TEST 2332 ALPG ( 33) INTERRUPT CHECK 3  (ISTK)                        
***PASS
TEST 2333 ALPG ( 33) INTERRUPT CHECK 4  (JSR INST.)                   
***PASS
TEST 2334 ALPG ( 33) INTERRUPT CHECK 5  (IDXI INST. OP=0)             
***PASS
TEST 2335 ALPG ( 33) INTERRUPT CHECK 6  (IDXI INST. OP&lt;&gt;0)            
***PASS
TEST 2336 ALPG ( 33) INTERRUPT CHECK 7  (JSI INST.)                   
***PASS
TEST 2337 ALPG ( 33) INTERRUPT CHECK 8  (JNI INST. OP=PC,IDX=0)       
***PASS
TEST 2338 ALPG ( 33) INTERRUPT CHECK 9  (JNI INST. OP=PC,IDX&lt;&gt;0)      
***PASS
TEST 2339 ALPG ( 33) INTERRUPT CHECK 10 (JNI INST. OP&lt;&gt;PC)            
***PASS
TEST 2340 ALPG ( 34) INTERRUPT CHECK 11 (RTN INST.)                   
***PASS
TEST 2341 ALPG ( 34) INTERRUPT CHECK 12 (STPS INST.)                  
***PASS
TEST 2342 ALPG ( 34) INTERRUPT CHECK 13 (STFL INST.)                  
***PASS
TEST 2343 ALPG ( 34) INTERRUPT CHECK 14 (I INST.)                     
***PASS
TEST 2344 ALPG ( 34) STACK ERROR CHECK 2                              
***PASS
TEST 2350 ALPG ( 35) FLGW1  INSTRUCTION MATCH DETECTOR CHECK          
***PASS
TEST 2351 ALPG ( 35) FLGS1  INSTRUCTION MATCH DETECTOR CHECK          
***PASS
TEST 2352 ALPG ( 35) FLGJ1  INSTRUCTION MATCH DETECTOR CHECK          
***PASS
TEST 2353 ALPG ( 35) FLGL1  INSTRUCTION MATCH DETECTOR CHECK          
***PASS
TEST 2354 ALPG ( 35) FLGLI1 INSTRUCTION MATCH DETECTOR CHECK -1       
***PASS
TEST 2355 ALPG ( 35) FLGLI1 INSTRUCTION MATCH DETECTOR CHECK -2       
***PASS
TEST 2356 ALPG ( 35) STBAR &amp; FLGLI1 BRANCH CHECK (BAR BIT CHECK)      
***PASS
TEST 2357 ALPG ( 35) FLGLIZ INSTRUCTION MATCH DETECTOR CHECK -1       
***PASS
TEST 2358 ALPG ( 35) FLGLIZ INSTRUCTION MATCH DETECTOR CHECK -2       
***PASS
TEST 2359 ALPG ( 35) STBAR &amp; FLGLIZ BRANCH CHECK (BAR BIT CHECK)      
***PASS
TEST 2360 ALPG ( 36) FLGW1  INSTRUCTION &amp; INTERRUPT CHECK             
***PASS
TEST 2361 ALPG ( 36) FLGS1  INSTRUCTION &amp; INTERRUPT CHECK             
***PASS
TEST 2362 ALPG ( 36) FLGJ1  INSTRUCTION &amp; INTERRUPT CHECK             
***PASS
TEST 2363 ALPG ( 36) FLGL1  INSTRUCTION &amp; INTERRUPT CHECK             
***PASS
TEST 2364 ALPG ( 36) FLGLI1  INSTRUCTION &amp; INTERRUPT CHECK 1          
***PASS
TEST 2365 ALPG ( 36) FLGLI1  INSTRUCTION &amp; INTERRUPT CHECK 2          
***PASS
TEST 2366 ALPG ( 36) FLGLIZ  INSTRUCTION &amp; INTERRUPT CHECK 1          
***PASS
TEST 2367 ALPG ( 36) FLGLIZ  INSTRUCTION &amp; INTERRUPT CHECK 2          
***PASS
TEST 2368 ALPG ( 36) FLGLI1  INSTRUCTION &amp; FAIL STOP CHECK            
***PASS
TEST 2370 ALPG ( 37) INTERRUPT DELAY CHECK                            
***PASS
TEST 2371 ALPG ( 37) JAF INSTRUCTION CHECK                            
***PASS
TEST 2372 ALPG ( 37) FLASH MODE MATCH CHECK(36BIT)                    
***PASS
TEST 2380 ALPG ( 38) REPEAT FUNCTION CHECK 1 (RESTART)                
***PASS
TEST 2381 ALPG ( 38) REPEAT FUNCTION CHECK 2 (PASS/FAIL STATUS)       
***PASS
TEST 2382 ALPG ( 38) REPEAT FUNCTION CHECK 3 (PASS/FAIL INHIBIT)      
***PASS
TEST 2383 ALPG ( 38) REPEAT FUNCTION CHECK 4 (STACK ERROR)            
***PASS
TEST 2384 ALPG ( 38) REPEAT FUNCTION CHECK 5 (STACK ERROR)            
***PASS
TEST 2385 ALPG ( 38) REPEAT FUNCTION CHECK 6 (STOP MPAT)              
***PASS
TEST 2386 ALPG ( 38) REPEAT FUNCTION CHECK 7 (FAIL STOP REPEAT)       
***PASS
TEST 2390 ALPG ( 39) TRACE STEP FUNCTION CHECK                        
***PASS
TEST 2391 ALPG ( 39) TRACE BREAK ON PC FUNCTION CHECK                 
***PASS
TEST 2392 ALPG ( 39) TRACE BREAK ON PAT FUNCTION CHECK                
***PASS
TEST 2393 ALPG ( 39) TRACE BREAK ON SYNC FUNCTION CHECK               
***PASS
TEST 2394 ALPG ( 39) TRACE MODE STPS/STFL CHECK                       
***PASS
TEST 2395 ALPG ( 39) TRACE MODE PASS/FAIL FLAG CHECK                  
***PASS
TEST 2396 ALPG ( 39) TRACE &amp; REPEAT MODE CHECK                        
***PASS
TEST 2397 ALPG ( 39) TRACE BREAK ON PC CONTINUOUS CHECK               
***PASS
TEST 2398 ALPG ( 39) TRACE BREAK ON PAT CONTINUOUS CHECK              
***PASS
TEST 2399 ALPG ( 39) TRACE BREAK ON SYNC CONTINUOUS CHECK             
***PASS
TE</t>
  </si>
  <si>
    <t xml:space="preserve">99380</t>
  </si>
  <si>
    <t xml:space="preserve">T5771ES</t>
  </si>
  <si>
    <t xml:space="preserve">Automated Test Equipment for laboratory or office use</t>
  </si>
  <si>
    <t xml:space="preserve">TRUNCATED: -deinstalled and warehouse, was in working condition before removal.
-see photos and configuration for details.
*******************************************************************************
**         T5771ES SYSTEM DIAGNOSTICS        REV:3.02-2                     
 **
**         SYSTEM ID. T5771                                            **
**         START AT   2020/05/18 13:03:49                                   
 **
**                                                                          
 **
**              TEST MODE : PASS PRINT                                      
 **
**              SPEC      : 100.0                                           
 **
*******************************************************************************
TEST 163010 TH CONTROL WORD CHECK 
TEST 163010 RESULT ------------------------------------------------&gt; 
***PASS
TEST 163020 TH HGND CONNECTION CHECK 
TEST 163020 RESULT ------------------------------------------------&gt; 
***PASS
TEST 163030 TH PERFORMANCE BOARD READ CHECK 
TEST 163030 RESULT ------------------------------------------------&gt; 
***PASS
TEST 163120 TH VS/VSMASK CHECK 
TEST 163120 RESULT ------------------------------------------------&gt; 
***PASS
TEST 163130 TH PCON/PCONMASK CHECK 
TEST 163130 RESULT ------------------------------------------------&gt; 
***PASS
TEST 163220 TH SIGNAL PIN CONNECTION CHECK 
TEST 163220 RESULT ------------------------------------------------&gt; 
***PASS
TEST 163310 TH OUTPUT RELAY CHECK 
TEST 163310 RESULT ------------------------------------------------&gt; 
***PASS
TEST 163320 TH HV OUT/CONTROL RELAY CHECK 
TEST 163320 RESULT ------------------------------------------------&gt; 
***PASS
TEST 163610 TH DC LEAK CHECK 
TEST 163610 RESULT ------------------------------------------------&gt; 
***PASS
TEST 101003 DPU IFL R-ONLY REG 
TEST 101003 RESULT ------------------------------------------------&gt; 
***PASS
TEST 101008 DPU IFL W/R 
TEST 101008 RESULT ------------------------------------------------&gt; 
***PASS
TEST 101018 DPU IFL RON/ROF REG 
TEST 101018 RESULT ------------------------------------------------&gt; 
***PASS
TEST 101034 DPU RESET 
TEST 101034 RESULT ------------------------------------------------&gt; 
***PASS
TEST 101103 DPU IFA W/R 
TEST 101103 RESULT ------------------------------------------------&gt; 
***PASS
TEST 101108 DPU IFA RESET 
TEST 101108 RESULT ------------------------------------------------&gt; 
***PASS
TEST 101113 DPU IFA CAL REG 
TEST 101113 RESULT ------------------------------------------------&gt; 
***PASS
TEST 101203 DPU DC W/R 
TEST 101203 RESULT ------------------------------------------------&gt; 
***PASS
TEST 101208 DPU DC RESET 
TEST 101208 RESULT ------------------------------------------------&gt; 
***PASS
TEST 101603 DPU PPS W/R 
TEST 101603 RESULT ------------------------------------------------&gt; 
***PASS
TEST 101608 DPU PPS RESET 
TEST 101608 RESULT ------------------------------------------------&gt; 
***PASS
TEST 101703 DPU HVPPS W/R 
TEST 101703 RESULT ------------------------------------------------&gt; 
***PASS
TEST 101708 DPU HVPPS RESET 
TEST 101708 RESULT ------------------------------------------------&gt; 
***PASS
TEST 101803 DPU ADC W/R 
TEST 101803 RESULT ------------------------------------------------&gt; 
***PASS
TEST 101813 DPU ADC FUNC 
TEST 101813 RESULT ------------------------------------------------&gt; 
***PASS
TEST 102103 DPU RL MEAS 
TEST 102103 RESULT ------------------------------------------------&gt; 
***PASS
TEST 102108 DPU IFA ADC CAL 
TEST 102108 RESULT ------------------------------------------------&gt; 
***PASS
TEST 102303 DPU DC VS INIT 
TEST 102303 RESULT ------------------------------------------------&gt; 
***PASS
TEST 102308 DPU DC IM INIT 
TEST 102308 RESULT ------------------------------------------------&gt; 
***PASS
TEST 102313 DPU DC I_CLP INIT 
TEST 102313 RESULT ------------------------------------------------&gt; 
***PASS
TEST 102318 DPU DC IS INIT 
TEST 102318 RESULT ------------------------------------------------&gt; 
***PASS
TEST 102323 DPU DC VM INIT 
TEST 102323 RESULT ------------------------------------------------&gt; 
***PASS
TEST 102328 DPU DC V_CLP INIT 
TEST 102328 RESULT ------------------------------------------------&gt; 
***PASS
TEST 102703 DPU PPS VS INIT 
TEST 102703 RESULT ------------------------------------------------&gt; 
***PASS
TEST 102708 DPU PPS IM INIT 
TEST 102708 RESULT ------------------------------------------------&gt; 
***PASS
TEST 102713 DPU PPS I_CLP INIT 
TEST 102713 RESULT ------------------------------------------------&gt; 
***PASS
TEST 102723 DPU PPS VM INIT 
TEST 102723 RESULT ------------------------------------------------&gt; 
***PASS
TEST 102803 DPU HVPPS VS INIT 
TEST 102803 RESULT ------------------------------------------------&gt; 
***PASS
TEST 102808 DPU HVPPS IM INIT 
TEST 102808 RESULT ------------------------------------------------&gt; 
***PASS
TEST 102813 DPU HVPPS I_CLP INIT 
TEST 102813 RESULT ------------------------------------------------&gt; 
***PASS
TEST 102823 DPU HVPPS VM INIT 
TEST 102823 RESULT ------------------------------------------------&gt; 
***PASS
TEST 103303 DPU DC VS ACCURACY 
TEST 103303 RESULT ------------------------------------------------&gt; 
***PASS
TEST 103308 DPU DC IM ACCURACY 
TEST 103308 RESULT ------------------------------------------------&gt; 
***PASS
TEST 103313 DPU DC IC ACCURACY 
TEST 103313 RESULT ------------------------------------------------&gt; 
***PASS
TEST 103318 DPU DC IS ACCURACY 
TEST 103318 RESULT ------------------------------------------------&gt; 
***PASS
TEST 103323 DPU DC VM ACCURACY 
TEST 103323 RESULT ------------------------------------------------&gt; 
***PASS
TEST 103328 DPU DC VC ACCURACY 
TEST 103328 RESULT ------------------------------------------------&gt; 
***PASS
TEST 103703 DPU PPS VS ACCURACY 
TEST 103703 RESULT ------------------------------------------------&gt; 
***PASS
TEST 103708 DPU PPS IM ACCURACY 
TEST 103708 RESULT ------------------------------------------------&gt; 
***PASS
TEST 103713 DPU PPS IC ACCURACY 
TEST 103713 RESULT ------------------------------------------------&gt; 
***PASS
TEST 103723 DPU PPS VM ACCURACY 
TEST 103723 RESULT ------------------------------------------------&gt; 
***PASS
TEST 103803 DPU HVPPS VS ACCURACY 
TEST 103803 RESULT ------------------------------------------------&gt; 
***PASS
TEST 103808 DPU HVPPS IM ACCURACY 
TEST 103808 RESULT ------------------------------------------------&gt; 
***PASS
TEST 103813 DPU HVPPS IC ACCURACY 
TEST 103813 RESULT ------------------------------------------------&gt; 
***PASS
TEST 103823 DPU HVPPS VM ACCURACY 
TEST 103823 RESULT ------------------------------------------------&gt; 
***PASS
TEST 104313 DPU DC IM SETTLING(NO_LOAD) 
TEST 104313 RESULT ------------------------------------------------&gt; 
***PASS
TEST 104713 DPU PPS IM SETTLING(NO_LOAD) 
TEST 104713 RESULT ------------------------------------------------&gt; 
***PASS
TEST 104813 DPU HVPPS IM SETTLING(NO_LOAD) 
TEST 104813 RESULT ------------------------------------------------&gt; 
***PASS
TEST 106303 DPU DC CLP/GRD ALARM 
TEST 106303 RESULT ------------------------------------------------&gt; 
***PASS
TEST 106703 DPU PPS CLP ALARM 
TEST 106703 RESULT ------------------------------------------------&gt; 
***PASS
TEST 106708 DPU PPS GRD ALARM 
TEST 106708 RESULT ------------------------------------------------&gt; 
***PASS
TEST 106803 DPU HVPPS CLP ALARM 
TEST 106803 RESULT ------------------------------------------------&gt; 
***PASS
TEST 106808 DPU HVPPS GRD ALARM 
TEST 106808 RESULT ------------------------------------------------&gt; 
***PASS
TEST 120001 OBM Memory Size Check 
TEST 120001 RESULT ------------------------------------------------&gt; 
***PASS
TEST 120002 OBM Register Read/Write Check 
TEST 120002 RESULT ------------------------------------------------&gt; 
***PASS
TEST 120003 OBM Register Reset Check 
TEST 120003 RESULT ------------------------------------------------&gt; 
***PASS
TEST 120004 OBM DataRAM Read/Write Check 
TEST 120004 RESULT ------------------------------------------------&gt; 
***PASS
TEST 120005 OBM DataRAM Clear Check 
TEST 120005 RESULT ------------------------------------------------&gt; 
***PASS
TEST 120006 OBM Memory Normal Read/Write Check 
TEST 120006 RESULT ------------------------------------------------&gt; 
***PASS
TEST 120007 OBM Memory Read/Write By DMA Check 
TEST 120007 RESULT ------------------------------------------------&gt; 
***PASS
TEST 120008 OBM PinDefineTable Read/Write Check 
TEST 120008 RESULT ------------------------------------------------&gt; 
***PASS
TEST 120009 OBM Tester Bus Access Check 
TEST 120009 RESULT ------------------------------------------------&gt; 
***PASS
TEST 120010 OBM FIFO Access Check 
TEST 120010 RESULT ------------------------------------------------&gt; 
***PASS
TEST 120020 OBM Load/Store Instruction Check 
TEST 120020 RESULT ------------------------------------------------&gt; 
***PASS
TEST 120021 OBM Arithmetic Instruction Check 
TEST 120021 RESULT ------------------------------------------------&gt; 
***PASS
TEST 120022 OBM Logical Instruction Check 
TEST 120022 RESULT ------------------------------------------------&gt; 
***PASS
TEST 120023 OBM Branch Instruction Check 
TEST 120023 RESULT ------------------------------------------------&gt; 
***PASS
TEST 120024 OBM Return Instruction Check 
TEST 120024 RESULT ------------------------------------------------&gt; 
***PASS
TEST 120025 OBM NOP Instruction Check 
TEST 120025 RESULT ------------------------------------------------&gt; 
***PASS
TEST 120026 OBM Pause Instruction Check 
TEST 120026 RESULT ------------------------------------------------&gt; 
***PASS
TEST 120030 OBM Break Controller Check 1 
TEST 120030 RESULT ------------------------------------------------&gt; 
***PASS
TEST 120031 OBM Break Controller Check 2 
TEST 120031 RESULT ------------------------------------------------&gt; 
***PASS
TEST 120032 OBM Break Controller Check 3 
TEST 120032 RESULT ------------------------------------------------&gt; 
***PASS
TEST 120033 OBM Break Controller Check 4 
TEST 120033 RESULT ------------------------------------------------&gt; 
***PASS
TEST 120034 OBM Break Controller Check 5 
TEST 120034 RESULT ------------------------------------------------&gt; 
***PASS
TEST 120035 OBM Break Controller Check 6 
TEST 120035 RESULT ------------------------------------------------&gt; 
***PASS
TEST 120036 OBM Break Controller Check 7 
TEST 120036 RESULT ------------------------------------------------&gt; 
***PASS
TEST 120037 OBM Break Controller Check 8 
TEST 120037 RESULT ------------------------------------------------&gt; 
***PASS
TEST 120038 OBM Break Controller Check 9 
TEST 120038 RESULT ------------------------------------------------&gt; 
***PASS
TEST 120039 OBM Break Controller Check 10 
TEST 120039 RESULT ------------------------------------------------&gt; 
***PASS
TEST 120040 OBM Bus Timer check 
TEST 120040 RESULT ------------------------------------------------&gt; 
***PASS
TEST 121000 ALPG PG Register Read/Write Check 
TEST 121000 RESULT ------------------------------------------------&gt; 
***PASS
TEST 121001 ALPG PM Register Read/Write Check 
TEST 121001 RESULT ------------------------------------------------&gt; 
***PASS
TEST 121002 ALPG PDS Register Read/W Check 
TEST 121002 RESULT ------------------------------------------------&gt; 
***PASS
TEST 121003 ALPG PDS PinData Register Read/Write Check 
TEST 121003 RESULT ------------------------------------------------&gt; 
***PASS
TEST 121004 ALPG PG Register Reset Check 
TEST 121004 RESULT ------------------------------------------------&gt; 
***PASS
TEST 121005 PM Register Reset Check 
TEST 121005 RESULT ------------------------------------------------&gt; 
***PASS
TEST 121006 PDS Register Reset Check 
TEST 121006 RESULT ------------------------------------------------&gt; 
***PASS
TEST 121007 PDS Pindata Reg Reset Check 
TEST 121007 RESULT ------------------------------------------------&gt; 
***PASS
TEST 121008 ALPG WCS Normal Read/Write Check 
TEST 121008 RESULT ------------------------------------------------&gt; 
***PASS
TEST 121009 ALPG XSCRAM Normal Read/Write Check 
TEST 121009 RESULT ------------------------------------------------&gt; 
***PASS
TEST 121010 ALPG YSCRAM Normal Read/Write Check 
TEST 121010 RESULT ------------------------------------------------&gt; 
***PASS
TEST 121011 ALPG ZSCRAM Normal Read/Write Check 
TEST 121011 RESULT ------------------------------------------------&gt; 
***PASS
TEST 121012 ALPG CBM Read/Write Check 
TEST 121012 RESULT ------------------------------------------------&gt; 
***PASS
TEST 121013 ALPG DFM Read/Write Check 
TEST 121013 RESULT ------------------------------------------------&gt; 
***PASS
TEST 121014 ALPG Serializer Memory Read/Write Check 
TEST 121014 RESULT ------------------------------------------------&gt; 
***PASS
TEST 121015 ALPG WCS Read/Write By DMA Check 
TEST 121015 RESULT ------------------------------------------------&gt; 
***PASS
TEST 121016 ALPG SCRAM Read/Write By DMA Check 
TEST 121016 RESULT ------------------------------------------------&gt; 
***PASS
TEST 121020 ALPG CTRL Period Generator Check 1 
TEST 121020 RESULT ------------------------------------------------&gt; 
***PASS
TEST 121021 ALPG CTRL Period Generator Check 2 
TEST 121021 RESULT ------------------------------------------------&gt; 
***PASS
TEST 121022 ALPG CTRL Period Generator Check 3 
TEST 121022 RESULT ------------------------------------------------&gt; 
***PASS
TEST 121023 ALPG CTRL Period Generator Check 4 
TEST 121023 RESULT ------------------------------------------------&gt; 
***PASS
TEST 121024 ALPG CTRL Debug Mode Check 1 
TEST 121024 RESULT ------------------------------------------------&gt; 
***PASS
TEST 121025 ALPG CTRL Debug Mode Check 2 
TEST 121025 RESULT ------------------------------------------------&gt; 
***PASS
TEST 121100 ALPG PC STA Check 
TEST 121100 RESULT ------------------------------------------------&gt; 
***PASS
TEST 121101 ALPG PC PgStop PgReset Check 
TEST 121101 RESULT ------------------------------------------------&gt; 
***PASS
TEST 121102 ALPG PC NOP Instruction Check 
TEST 121102 RESULT ------------------------------------------------&gt; 
***PASS
TEST 121103 ALPG PC JMP Instruction Check 
TEST 121103 RESULT ------------------------------------------------&gt; 
***PASS
TEST 121104 ALPG PC JBR Instruction Check 
TEST 121104 RESULT ------------------------------------------------&gt; 
***PASS
TEST 121105 ALPG PC JSR/RTN Instruction Check 1 
TEST 121105 RESULT ------------------------------------------------&gt; 
***PASS
TEST 121106 ALPG PC JSR/RTN Instruction Check 2 
TEST 121106 RESULT ------------------------------------------------&gt; 
***PASS
TEST 121107 ALPG PC JSR/RTN Instruction Check 3 
TEST 121107 RESULT ------------------------------------------------&gt; 
***PASS
TEST 121108 ALPG PC JNI Instruction Check 1 
TEST 121108 RESULT ------------------------------------------------&gt; 
***PASS
TEST 121109 ALPG PC JNI Instruction Check 2 
TEST 121109 RESULT ------------------------------------------------&gt; 
***PASS
TEST 121110 ALPG PC JNI Instruction Check 3 
TEST 121110 RESULT ------------------------------------------------&gt; 
***PASS
TEST 121111 ALPG PC JNI Instruction Check 4 
TEST 121111 RESULT ------------------------------------------------&gt; 
***PASS
TEST 121112 ALPG PC JNI Instruction Check 5 
TEST 121112 RESULT ------------------------------------------------&gt; 
***PASS
TEST 121113 ALPG PC JNI Instruction Check 6 
TEST 121113 RESULT ------------------------------------------------&gt; 
***PASS
TEST 121114 ALPG PC JZD Instruction Check 
TEST 121114 RESULT ------------------------------------------------&gt; 
***PASS
TEST 121115 ALPG PC JAF Instruction Check 
TEST 121115 RESULT ------------------------------------------------&gt; 
***PASS
TEST 121116 ALPG PC OUT Instruction Check 1 
TEST 121116 RESULT ------------------------------------------------&gt; 
***PASS
TEST 121117 ALPG PC OUT Instruction Check 2 
TEST 121117 RESULT ------------------------------------------------&gt; 
***PASS
TEST 121118 ALPG PC WAIT Instruction Check 1 
TEST 121118 RESULT ------------------------------------------------&gt; 
***PASS
TEST 121119 ALPG PC WAIT Instruction Check 2 
TEST 121119 RESULT ------------------------------------------------&gt; 
***PASS
TEST 121120 ALPG PC STPS Instruction Check 
TEST 121120 RESULT ------------------------------------------------&gt; 
***PASS
TEST 121121 ALPG PC STFL Instruction Check 
TEST 121121 RESULT ------------------------------------------------&gt; 
***PASS
TEST 121122 ALPG PC FLGL Instruction Check 1 
TEST 121122 RESULT ------------------------------------------------&gt; 
***PASS
TEST 121123 ALPG PC FLGL Instruction Check 2 
TEST 121123 RESULT ------------------------------------------------&gt; 
***PASS
TEST 121124 ALPG PC FLGLIn Instruction Check 1 
TEST 121124 RESULT ------------------------------------------------&gt; 
***PASS
TEST 121125 ALPG PC FLGLIn Instruction Check 2 
TEST 121125 RESULT ------------------------------------------------&gt; 
***PASS
TEST 121126 ALPG PC FLGLIn Instruction Check 3 
TEST 121126 RESULT ------------------------------------------------&gt; 
***PASS
TEST 121127 ALPG PC FLGLIn Instruction Check 4 
TEST 121127 RESULT ------------------------------------------------&gt; 
***PASS
TEST 121128 ALPG PC FFLGL Instruction Check 1 
TEST 121128 RESULT ------------------------------------------------&gt; 
***PASS
TEST 121129 ALPG PC FFLGL Instruction Check 2 
TEST 121129 RESULT ------------------------------------------------&gt; 
***PASS
TEST 121130 ALPG PC FFLGL Instruction Check 3 
TEST 121130 RESULT ------------------------------------------------&gt; 
***PASS
TEST 121131 ALPG PC FFLGLIn Instruction Check 1 
TEST 121131 RESULT ------------------------------------------------&gt; 
***PASS
TEST 121132 ALPG PC FFLGLIn Instruction Check 2 
TEST 121132 RESULT ------------------------------------------------&gt; 
***PASS
TEST 121133 ALPG PC FFLGLIn Instruction Check 3 
TEST 121133 RESULT ------------------------------------------------&gt; 
***PASS
TEST 121134 ALPG PC FFLGLIn Instruction Check 4 
TEST 121134 RESULT ------------------------------------------------&gt; 
***PASS
TEST 121135 ALPG PC FFLGLIn Instruction Check 5 
TEST 121135 RESULT ------------------------------------------------&gt; 
***PASS
TEST 121136 ALPG PC FLGS Instruction Check 1 (ADC ExternalFlag) 
TEST 121136 RESULT ------------------------------------------------&gt; 
***PASS
TEST 121137 ALPG PC FLGS Instruction Check 2 (ADC InternalFlag) 
TEST 121137 RESULT ------------------------------------------------&gt; 
***PASS
TEST 121138 ALPG PC FLGS Instruction Check 3 (FCNT ExternalFlag) 
TEST 121138 RESULT ------------------------------------------------&gt; 
***PASS
TEST 121139 ALPG PC FLGS Instruction Check 4 (FCNT InternalFlag) 
TEST 121139 RESULT ------------------------------------------------&gt; 
***PASS
TEST 121140 ALPG PC FLGERR Check 1 (FLGS) 
TEST 121140 RESULT ------------------------------------------------&gt; 
***PASS
TEST 121141 ALPG PC FLGERR Check 2 (FLGL) 
TEST 121141 RESULT ------------------------------------------------&gt; 
***PASS
TEST 121142 ALPG PC FLGERR Check 3 (FFLGLIn) 
TEST 121142 RESULT ------------------------------------------------&gt; 
***PASS
TEST 121143 ALPG PC FLGERR Check 4 (FLGL Repeat Stop) 
TEST 121143 RESULT ------------------------------------------------&gt; 
***PASS
TEST 121150 ALPG CTRL Repeat Mode Check 1 
TEST 121150 RESULT ------------------------------------------------&gt; 
***PASS
TEST 121151 ALPG CTRL Repeat Mode Check 2 
TEST 121151 RESULT ------------------------------------------------&gt; 
***PASS
TEST 121152 ALPG CTRL Repeat Mode Check 3 
TEST 121152 RESULT ------------------------------------------------&gt; 
***PASS
TEST 121153 ALPG CTRL Repeat Mode Check 4 
TEST 121153 RESULT ------------------------------------------------&gt; 
***PASS
TEST 121154 ALPG CTRL Step Mode Check 1 
TEST 121154 RESULT ------------------------------------------------&gt; 
***PASS
TEST 121155 ALPG CTRL Step Mode Check 2 
TEST 121155 RESULT ------------------------------------------------&gt; 
***PASS
TEST 121156 ALPG CTRL Trace Mode Check 1 
TEST 121156 RESULT ------------------------------------------------&gt; 
***PASS
TEST 121157 ALPG CTRL Trace Mode Check 2 
TEST 121157 RESULT ------------------------------------------------&gt; 
***PASS
TEST 121158 ALPG CTRL Trace Mode Check 3,4 
TEST 121158 RESULT ------------------------------------------------&gt; 
***PASS
TEST 121159 ALPG CTRL Trace Mode Check 5 
TEST 121159 RESULT ------------------------------------------------&gt; 
***PASS
TEST 121160 ALPG CTRL Trace Mode Check 6 
TEST 121160 RESULT ------------------------------------------------&gt; 
***PASS
TEST 121161 ALPG CTRL Trace Mode Check 7 
TEST 121161 RESULT ------------------------------------------------&gt; 
***PASS
TEST 121162 ALPG CTRL Trace Mode Check 8 
TEST 121162 RESULT ------------------------------------------------&gt; 
***PASS
TEST 121163 ALPG CTRL Trace Mode Check 9 
TEST 121163 RESULT ------------------------------------------------&gt; 
***PASS
TEST 121164 ALPG CTRL Trace Mode Check 10 
TEST 121164 RESULT ------------------------------------------------&gt; 
***PASS
TEST 121165 ALPG CTRL Trace Mode Check 11 
TEST 121165 RESULT ------------------------------------------------&gt; 
***PASS
TEST 121166 ALPG CTRL Trace Mode Check 12 
TEST 121166 RESULT ------------------------------------------------&gt; 
***PASS
TEST 121167 ALPG CTRL Trace Mode Check 13 
TEST 121167 RESULT ------------------------------------------------&gt; 
***PASS
TEST 121168 ALPG CTRL Trace Mode Check 14 
TEST 121168 RESULT ------------------------------------------------&gt; 
***PASS
TEST 121169 ALPG CTRL Trace Mode Check 15 
TEST 121169 RESULT ------------------------------------------------&gt; 
***PASS
TEST 121170 ALPG CTRL Trace Mode Check 16 
TEST 121170 RESULT ------------------------------------------------&gt; 
***PASS
TEST 121171 ALPG CTRL Trace Mode Check 17 
TEST 121171 RESULT ------------------------------------------------&gt; 
***PASS
TEST 121172 ALPG CTRL Trace Mode Check 18 
TEST 121172 RESULT ------------------------------------------------&gt; 
***PASS
TEST 121173 ALPG CTRL Trace Mode Check 19 
TEST 121173 RESULT ------------------------------------------------&gt; 
***PASS
TEST 121174 ALPG CTRL Trace Mode Check 20 
TEST 121174 RESULT ------------------------------------------------&gt; 
***PASS
TEST 121175 ALPG CTRL Fail Input Check 1 (TOFL/ANDFL) 
TEST 121175 RESULT ------------------------------------------------&gt; 
***PASS
TEST 121176 ALPG CTRL Fail Input Check 2 (AFAIL) 
TEST 121176 RESULT ------------------------------------------------&gt; 
***PASS
TEST 121177 ALPG CTRL Fail Triger Output Check 
TEST 121177 RESULT ------------------------------------------------&gt; 
***PASS
TEST 121178 ALPG CTRL Fail Stop Check 1 (Fail inh) 
TEST 121178 RESULT ------------------------------------------------&gt; 
***PASS
TEST 121179 ALPG CTRL Fail Stop Check 2 (Fsel/Flash) 
TEST 121179 RESULT ------------------------------------------------&gt; 
***PASS
TEST 121180 ALPG CTRL Fail Counter Inc Check 
TEST 121180 RESULT ------------------------------------------------&gt; 
***PASS
TEST 121181 ALPG CTRL Fail Counter Clear Check 
TEST 121181 RESULT ------------------------------------------------&gt; 
***PASS
TEST 121182 ALPG CTRL Fmax Flag Select Check 1 (Para1) 
TEST 121182 RESULT ------------------------------------------------&gt; 
***PASS
TEST 121183 ALPG CTRL Fmax Flag Select Check 2 (Para2) 
TEST 121183 RESULT ------------------------------------------------&gt; 
***PASS
TEST 121184 ALPG CTRL Fmax Flag Select Check 3 (Para4) 
TEST 121184 RESULT ------------------------------------------------&gt; 
***PASS
TEST 121185 ALPG CTRL Fmax Flag Select Check 4 (Para8) 
TEST 121185 RESULT ------------------------------------------------&gt; 
***PASS
TEST 121186 ALPG CTRL Match Control Check 
TEST 121186 RESULT ------------------------------------------------&gt; 
***PASS
TEST 121201 ALPG AGEN Set Instruction Check 1 
TEST 121201 RESULT ------------------------------------------------&gt; 
***PASS
TEST 121202 ALPG AGEN Set Instruction Check 2 
TEST 121202 RESULT ------------------------------------------------&gt; 
***PASS
TEST 121203 ALPG AGEN Set Instruction Check 3 
TEST 121203 RESULT ------------------------------------------------&gt; 
***PASS
TEST 121204 ALPG AGEN XYZ Base Function Check 
TEST 121204 RESULT ------------------------------------------------&gt; 
***PASS
TEST 121205 ALPG AGEN YZ Base Carry Function Check 
TEST 121205 RESULT ------------------------------------------------&gt; 
***PASS
TEST 121206 ALPG AGEN D3/D4 Function Check 
TEST 121206 RESULT ------------------------------------------------&gt; 
***PASS
TEST 121210 ALPG AGEN XYZ Current ALU Check 1 
TEST 121210 RESULT ------------------------------------------------&gt; 
***PASS
TEST 121211 ALPG AGEN XYZ Current ALU Check 2 
TEST 121211 RESULT ------------------------------------------------&gt; 
***PASS
TEST 121212 ALPG AGEN XYZ Current ALU Check 3 
TEST 121212 RESULT ------------------------------------------------&gt; 
***PASS
TEST 121213 ALPG AGEN Y Current Carry Function Check 1 
TEST 121213 RESULT ------------------------------------------------&gt; 
***PASS
TEST 121214 ALPG AGEN Y Current Carry Function Check 2 
TEST 121214 RESULT ------------------------------------------------&gt; 
***PASS
TEST 121215 ALPG AGEN Z Current Carry Function Check 1 
TEST 121215 RESULT ------------------------------------------------&gt; 
***PASS
TEST 121216 ALPG AGEN Z Current Carry Function Check 2 
TEST 121216 RESULT ------------------------------------------------&gt; 
***PASS
TEST 121220 ALPG AGEN XYZ Base Read Check 
TEST 121220 RESULT ------------------------------------------------&gt; 
***PASS
TEST 121221 ALPG AGEN XYZ Current REG Read Check 
TEST 121221 RESULT ------------------------------------------------&gt; 
***PASS
TEST 121222 ALPG AGEN XYZ Address Select Check 
TEST 121222 RESULT ------------------------------------------------&gt; 
***PASS
TEST 121223 ALPG AGEN XYZ Base Current Select Check 
TEST 121223 RESULT ------------------------------------------------&gt; 
***PASS
TEST 121224 ALPG AGEN XYZ Address Invert Check 
TEST 121224 RESULT ------------------------------------------------&gt; 
***PASS
TEST 121225 ALPG AGEN XYZ Address Mask Check 
TEST 121225 RESULT ------------------------------------------------&gt; 
***PASS
TEST 121300 ALPG AGEN Scram Format Check 
TEST 121300 RESULT ------------------------------------------------&gt; 
***PASS
TEST 121301 ALPG AGEN Scram Enable Check 1 
TEST 121301 RESULT ------------------------------------------------&gt; 
***PASS
TEST 121302 ALPG AGEN Scram Enable Check 2 
TEST 121302 RESULT ------------------------------------------------&gt; 
***PASS
TEST 121303 ALPG DGEN Real Time Set Check 
TEST 121303 RESULT ------------------------------------------------&gt; 
***PASS
TEST 121304 ALPG DGEN TP Instruction Check 
TEST 121304 RESULT ------------------------------------------------&gt; 
***PASS
TEST 121305 ALPG DGEN DSD Instruction Check 
TEST 121305 RESULT ------------------------------------------------&gt; 
***PASS
TEST 121306 ALPG DGEN FP0/FP1 Check 
TEST 121306 RESULT ------------------------------------------------&gt; 
***PASS
TEST 121307 ALPG DGEN FP3 Function check 1 
TEST 121307 RESULT ------------------------------------------------&gt; 
***PASS
TEST 121308 ALPG DGEN FP3 Function check 2 
TEST 121308 RESULT ------------------------------------------------&gt; 
***PASS
TEST 121309 ALPG DGEN FP4 Function check 1 
TEST 121309 RESULT ------------------------------------------------&gt; 
***PASS
TEST 121310 ALPG DGEN FP4 Function check 2 
TEST 121310 RESULT ------------------------------------------------&gt; 
***PASS
TEST 121311 ALPG DGEN FP5 Function check 1 
TEST 121311 RESULT ------------------------------------------------&gt; 
***PASS
TEST 121312 ALPG DGEN FP5 Function check 2 
TEST 121312 RESULT ------------------------------------------------&gt; 
***PASS
TEST 121313 ALPG DGEN FP6 Function check 1 
TEST 121313 RESULT ------------------------------------------------&gt; 
***PASS
TEST 121314 ALPG DGEN FP6 Function check 2 
TEST 121314 RESULT ------------------------------------------------&gt; 
***PASS
TEST 121315 ALPG DGEN TP INV Check 
TEST 121315 RESULT ------------------------------------------------&gt; 
***PASS
TEST 121316 ALPG DGEN CBMA Check 
TEST 121316 RESULT ------------------------------------------------&gt; 
***PASS
TEST 121317 ALPG DGEN CBM Check 
TEST 121317 RESULT ------------------------------------------------&gt; 
***PASS
TEST 121318 ALPG DGEN CPE DRE ETC Check 
TEST 121318 RESULT ------------------------------------------------&gt; 
***PASS
TEST 121319 ALPG DGEN TP PARA Mode Check 
TEST 121319 RESULT ------------------------------------------------&gt; 
***PASS
TEST 121320 ALPG DGEN CD PARA Mode Check 
TEST 121320 RESULT ------------------------------------------------&gt; 
***PASS
TEST 121321 ALPG DGEN Serializer AP Check 1 
TEST 121321 RESULT ------------------------------------------------&gt; 
***PASS
TEST 121322 ALPG DGEN Serializer AP Check 2 
TEST 121322 RESULT ------------------------------------------------&gt; 
***PASS
TEST 121323 ALPG DGEN Serializer AP Clear Check 
TEST 121323 RESULT ------------------------------------------------&gt; 
***PASS
TEST 121324 ALPG DGEN Serializer Output Check 
TEST 121324 RESULT ------------------------------------------------&gt; 
***PASS
TEST 121325 ALPG DGEN FixData REG PARA Mode Check 
TEST 121325 RESULT ------------------------------------------------&gt; 
***PASS
TEST 121326 ALPG DGEN CDREG PARA Mode Check 
TEST 121326 RESULT ------------------------------------------------&gt; 
***PASS
TEST 121400 ALPG PM Size Sense Check 
TEST 121400 RESULT ------------------------------------------------&gt; 
***PASS
TEST 121401 ALPG PM Address Pointer Check 
TEST 121401 RESULT ------------------------------------------------&gt; 
***PASS
TEST 121402 ALPG PM Read Write Check 
TEST 121402 RESULT ------------------------------------------------&gt; 
***PASS
TEST 121403 ALPG PM Scan Mode Check 1 (SET0/1) 
TEST 121403 RESULT ------------------------------------------------&gt; 
***PASS
TEST 121404 ALPG PM Scan Mode Check 2 (DIAG1) 
TEST 121404 RESULT ------------------------------------------------&gt; 
***PASS
TEST 121405 ALPG PM Scan Mode Check 3 (DIAG2) 
TEST 121405 RESULT ------------------------------------------------&gt; 
***PASS
TEST 121406 ALPG PM Scan Start/Stop Check 
TEST 121406 RESULT ------------------------------------------------&gt; 
***PASS
TEST 121407 ALPG PM Read/Write Format Check 
TEST 121407 RESULT ------------------------------------------------&gt; 
***PASS
TEST 121408 ALPG PM Para2/4 Write Check 
TEST 121408 RESULT ------------------------------------------------&gt; 
***PASS
TEST 121409 ALPG PM Para2/4 Read Check 
TEST 121409 RESULT ------------------------------------------------&gt; 
***PASS
TEST 121410 ALPG PM Para2/4 DeviceSel Write Check 
TEST 121410 RESULT ------------------------------------------------&gt; 
***PASS
TEST 121411 ALPG PM Para2/4 DeviceSel Read Check 
TEST 121411 RESULT ------------------------------------------------&gt; 
***PASS
TEST 121412 ALPG PM Full Scan Check 
TEST 121412 RESULT ------------------------------------------------&gt; 
***PASS
TEST 121413 ALPG PM Read/Write by DMA Check 
TEST 121413 RESULT ------------------------------------------------&gt; 
***PASS
TEST 121420 ALPG PM Address Select Check 
TEST 121420 RESULT ------------------------------------------------&gt; 
***PASS
TEST 121421 ALPG PM EXP Mode Check 1 (D&lt;PM) 
TEST 121421 RESULT ------------------------------------------------&gt; 
***PASS
TEST 121422 ALPG PM Memory Block Select Check 
TEST 121422 RESULT ------------------------------------------------&gt; 
***PASS
TEST 121423 ALPG PM EXP Mode Check 2 (WPM) 
TEST 121423 RESULT ------------------------------------------------&gt; 
***PASS
TEST 121424 ALPG PM Mode Register Check 
TEST 121424 RESULT ------------------------------------------------&gt; 
***PASS
TEST 121425 ALPG PM EXP Mode Check 3 (Para WPM) 
TEST 121425 RESULT ----------------------------------------------</t>
  </si>
  <si>
    <t xml:space="preserve">89909</t>
  </si>
  <si>
    <t xml:space="preserve">Hifix for PQFP80 (14 x 20)</t>
  </si>
  <si>
    <t xml:space="preserve">Hi-fix for Advantest T5371 package type PQFP80 (14 x 20)</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</si>
  <si>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</si>
  <si>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76604</t>
  </si>
  <si>
    <t xml:space="preserve">TR6846</t>
  </si>
  <si>
    <t xml:space="preserve">Digital Multimeter</t>
  </si>
  <si>
    <t xml:space="preserve">De-installed ,warehoused.
Location: Avezzano (AQ) 67051 Italy .
Inspection is available by appointment. Config: max voltage:1000Vmax 
current:10A Number of Chambers: Process: Digital Multimeter Comments:
16872493
OEM
Advantest
Model
DIGITAL MULTIMETER TR6846
Process
Digital Multimeter
3. SYSTEM CONFIGURATION
(based on a catalog)
Spec.
Average value measurement,
run value display,
sine wave Vp
-
p measurable,
high
-
speed sampling function,
DC
-
V: 1µV ~ 1kV, AC
-
V: 10µV ~ 750V/20Hz ~
100kHz, DC / AC
-
A: 10nA ~ 10A,
Resistance: 1mO ~ 300MO,
temperature measurement,
W190 x H76 x D260 mm, about 2.1kg,</t>
  </si>
  <si>
    <t xml:space="preserve">99388</t>
  </si>
  <si>
    <t xml:space="preserve">Versatest V4000</t>
  </si>
  <si>
    <t xml:space="preserve">De-installed, warehoused.
The equipment can be inspected by appointment.
The current storage conditions of the equipment is shown in the attached 
photo.
Includes Model E7089A
Main tester Unit Power supply options:
200-240V 1 phase 3 wire 50/60 Hz 6A
100-120V 1 phase 3 wire 50/60 Hz 12A
CE Marked
Personal Computer details:
Includes:
P/N E7104A-002 Controller s/n US44200177
V4000 EDC-4420
FRU E7089-87013/89013 V4000 configured for CSRD
Agilent P/N 82350B</t>
  </si>
  <si>
    <t xml:space="preserve">100668</t>
  </si>
  <si>
    <t xml:space="preserve">V3300</t>
  </si>
  <si>
    <t xml:space="preserve">Memory Tester</t>
  </si>
  <si>
    <t xml:space="preserve">De-installed and warehoused. Inspection is available by appointment This 
equipment is sold “as is” and is not refurbished.</t>
  </si>
  <si>
    <t xml:space="preserve">99389</t>
  </si>
  <si>
    <t xml:space="preserve">V4000</t>
  </si>
  <si>
    <t xml:space="preserve">De-installed, warehoused.
The equipment can be inspected by appointment.
The current storage conditions of the equipment is shown in the attached 
photo.</t>
  </si>
  <si>
    <t xml:space="preserve">99390</t>
  </si>
  <si>
    <t xml:space="preserve">109120</t>
  </si>
  <si>
    <t xml:space="preserve">V5000</t>
  </si>
  <si>
    <t xml:space="preserve">Automated Test equipment</t>
  </si>
  <si>
    <t xml:space="preserve">80194</t>
  </si>
  <si>
    <t xml:space="preserve">BGR-020773</t>
  </si>
  <si>
    <t xml:space="preserve">80195</t>
  </si>
  <si>
    <t xml:space="preserve">BGR-020853</t>
  </si>
  <si>
    <t xml:space="preserve">Advantest T5335P P.C.B. for immediate sale.
De-installed from a working system. Located at our Avezzano 67051 Italy 
warehouse.</t>
  </si>
  <si>
    <t xml:space="preserve">80196</t>
  </si>
  <si>
    <t xml:space="preserve">BGR-020816X02</t>
  </si>
  <si>
    <t xml:space="preserve">Removed from working system; Populated with 12 banks of RAM
Revision B
Wrapped in anti-static bubble wrap, and ready to ship.
</t>
  </si>
  <si>
    <t xml:space="preserve">80197</t>
  </si>
  <si>
    <t xml:space="preserve">BGR-020774 rev x2</t>
  </si>
  <si>
    <t xml:space="preserve">Advantest T5335P P.C.B.for immediate sale.
De-installed from a working system. Located at our Avezzano 67051 Italy 
warehouse.</t>
  </si>
  <si>
    <t xml:space="preserve">80198</t>
  </si>
  <si>
    <t xml:space="preserve">BGR-020814</t>
  </si>
  <si>
    <t xml:space="preserve">80199</t>
  </si>
  <si>
    <t xml:space="preserve">BGR-020771</t>
  </si>
  <si>
    <t xml:space="preserve">Removed from working system, in Italy warehouse</t>
  </si>
  <si>
    <t xml:space="preserve">80200</t>
  </si>
  <si>
    <t xml:space="preserve">BGR-020509</t>
  </si>
  <si>
    <t xml:space="preserve">Removed from working system, in AVEZZANO 67051 ITALY warehouse</t>
  </si>
  <si>
    <t xml:space="preserve">80201</t>
  </si>
  <si>
    <t xml:space="preserve">BGR-020772</t>
  </si>
  <si>
    <t xml:space="preserve">Removed from working system, iIN AVEZZANO 67051 ITALY</t>
  </si>
  <si>
    <t xml:space="preserve">80202</t>
  </si>
  <si>
    <t xml:space="preserve">BGR-017577</t>
  </si>
  <si>
    <t xml:space="preserve">ADVANTEST T5335P PC Board BGR-017575</t>
  </si>
  <si>
    <t xml:space="preserve">Advantest T5335P P.C.B. for immediate sale. qty 2 available.
De-installed from a working system. Located at our Avezzano 67051 Italy 
warehouse.</t>
  </si>
  <si>
    <t xml:space="preserve">106570</t>
  </si>
  <si>
    <t xml:space="preserve">Deinstalled, warehoused. Can be inspected by appointment</t>
  </si>
  <si>
    <t xml:space="preserve">80203</t>
  </si>
  <si>
    <t xml:space="preserve">BGR-019486</t>
  </si>
  <si>
    <t xml:space="preserve">Advantest T5335P P.C.B. for immediate sale.
De-installed from a working system. Located at our Avezzano 67051 Italy 
warehouse. Total qty available qty 11</t>
  </si>
  <si>
    <t xml:space="preserve">106571</t>
  </si>
  <si>
    <t xml:space="preserve">109131</t>
  </si>
  <si>
    <t xml:space="preserve">80204</t>
  </si>
  <si>
    <t xml:space="preserve">BGR-020851</t>
  </si>
  <si>
    <t xml:space="preserve">106572</t>
  </si>
  <si>
    <t xml:space="preserve">109132</t>
  </si>
  <si>
    <t xml:space="preserve">80205</t>
  </si>
  <si>
    <t xml:space="preserve">BGR-017578</t>
  </si>
  <si>
    <t xml:space="preserve">Advantest T5335P P.C.B. for immediate sale.
De-installed from a working system. Located at our Avezzano 67051 Italy 
warehouse. QTY 2 AVAILABLE</t>
  </si>
  <si>
    <t xml:space="preserve">106573</t>
  </si>
  <si>
    <t xml:space="preserve">80206</t>
  </si>
  <si>
    <t xml:space="preserve">BGR-017579</t>
  </si>
  <si>
    <t xml:space="preserve">80207</t>
  </si>
  <si>
    <t xml:space="preserve">ADVANTEST T5335P PC Board PGR-816796CC3</t>
  </si>
  <si>
    <t xml:space="preserve">De-installed from a working system. Located at our Avezzano 67051 Italy 
warehouse.</t>
  </si>
  <si>
    <t xml:space="preserve">80208</t>
  </si>
  <si>
    <t xml:space="preserve">BGR-018931</t>
  </si>
  <si>
    <t xml:space="preserve">80209</t>
  </si>
  <si>
    <t xml:space="preserve">BGR-016794</t>
  </si>
  <si>
    <t xml:space="preserve">PGR-816794CC3 PC Board</t>
  </si>
  <si>
    <t xml:space="preserve">80210</t>
  </si>
  <si>
    <t xml:space="preserve">BGR-016793</t>
  </si>
  <si>
    <t xml:space="preserve">83550</t>
  </si>
  <si>
    <t xml:space="preserve">WUN-MONITORBOX</t>
  </si>
  <si>
    <t xml:space="preserve">ADVANTEST power supply monitoring box, T5335P</t>
  </si>
  <si>
    <t xml:space="preserve">Removed from working system, in  warehouse
Removed from Advantest T5335P tester, in good condition.
01536135     9728
WUN-MONITORBOX
40012806 A9728B
</t>
  </si>
  <si>
    <t xml:space="preserve">87652</t>
  </si>
  <si>
    <t xml:space="preserve">Test system (With a single test head  )</t>
  </si>
  <si>
    <t xml:space="preserve">The ADVANTEST T5371 is a general-purpose and high-performance memory test 
system. This test system is engineered to meet various requirements for 
designing and characterizing the new generation of VLSI memories.
This test system can be used to test and characterize general-purpose 
memories such as DRAM, SRAM, EPROM and mask ROM, and flash memories.
T5371 contains the flash memory simultaneous measurement function as an 
optional function.
-Can be used for testing DRAM , SRAM or Flash memory
-Testing of defective blocks on a block-by-block basis
-Independant control of the mask feature on every DUT
Target Devices 	DRAMs, SDRAMs, CDRAMs, SRAMs, flash memories, Direct 
RDRAMs, EPROMs, Masked ROMs, etc
Test Speed 	70 MHz
Overall Timing Accuracy 	+/-800 ps
Simultaneous Testing 	Up to 128 devices (x8 or x9 bits)
Test Heads 	Up to two stations
HV driver comes standard
Timing Generation 	27 timing edges/pin
(and/or) 16 timing sets/pin
DC Test Units 	Up to 32 units/station
Programmable Power Supply 	Up to 128 units/station
Options 	MRA4 (Memory Repair Analyzer)
or AFM
-The equipment is currently installed and in  operational condition
-The configuration of the equipment is shown in the attached screen shot.
-The system is in "Half" populated configuration (One test head only)
-The test head is fully populated as shown, but there are 3 defective 
boards in one side, hence one half of it has currently been switched off.</t>
  </si>
  <si>
    <t xml:space="preserve">92006</t>
  </si>
  <si>
    <t xml:space="preserve">Removed from working system, in warehouse
B1931B-CFB</t>
  </si>
  <si>
    <t xml:space="preserve">92007</t>
  </si>
  <si>
    <t xml:space="preserve">BGR-018822</t>
  </si>
  <si>
    <t xml:space="preserve">Removed from working system, in warehouse
A9615B-BFB</t>
  </si>
  <si>
    <t xml:space="preserve">92008</t>
  </si>
  <si>
    <t xml:space="preserve">Removed from working system, in warehouse
A9733B-ACA</t>
  </si>
  <si>
    <t xml:space="preserve">92009</t>
  </si>
  <si>
    <t xml:space="preserve">T5335P</t>
  </si>
  <si>
    <t xml:space="preserve">Boards from an Advantest T5335P Test system</t>
  </si>
  <si>
    <t xml:space="preserve">18</t>
  </si>
  <si>
    <t xml:space="preserve">Removed from working system, in Italy warehouse
Includes the following boards:-
BGR016796 QTY 1
BGR018822 QTY 3
BGR018823X03 QTY 4
BGR018824X03 QTY 8
BGR020814 QTY 1
BGR020851 QTY 1
SEE ATTACHED PHOTOS FOR DETAILS</t>
  </si>
  <si>
    <t xml:space="preserve">103812</t>
  </si>
  <si>
    <t xml:space="preserve">Automated Test System</t>
  </si>
  <si>
    <t xml:space="preserve">test</t>
  </si>
  <si>
    <t xml:space="preserve">-Currently de-installed and warehoused
-Can be sold in "as is" conditions, or with power up testing and 
installation at extra cost.
-Will be sold EXW, location TBA, Asia-Pacific Region.
-Included demonstration of system initialization and diagnostic pass.
Mother Board Part No is shown below, 4pcs in total :
H7-0037X02  ( 2PCS  )
H7-0037X04  ( 1PCS  )
H7-0037X01  (1PCS)
/DIAG/G
SYSTEM CONFIGURATION GENERATE
CONFIGURATION OF TEST HEAD
NUMBER OF TEST HEAD [1,2] ...........................&gt; 2
CONFIGURATION OF TEST HEAD 1
TEST HEAD TYPE 1.650CH
2.1300CH [1,2] .....................&gt; 1
PIN CONFIGURATION SLOT NO. [33,97,41,105]
CHILD A ....&gt; 33,41,97,105
CHILD B ....&gt; 33,41,97,105
CHILD C ....&gt; 33,41,97,105
CHILD D ....&gt; 33,41,97,105
PIN CONFIGURATION OPTION1 PIN CARD [Y,N]
CHILD A ....&gt; YES
CHILD B ....&gt; YES
CHILD C ....&gt; YES
CHILD D ....&gt; YES
PIN CONFIGURATION OPTION2 PIN CARD [Y,N]
CHILD AB ...&gt; YES
CHILD CD ...&gt; YES
BYPASS CAPACITOR TO 10V/16V PPS (PCON)
1.NON-EXISTENT
2. EXISTENT [1,2] ..............&gt; 1
BYPASS CAPACITOR TO HV PPS (PCON)
1.NON-EXISTENT
2. EXISTENT [1,2] ..............&gt; 1
CONFIGURATION OF TEST HEAD 2
TEST HEAD TYPE 1.650CH
2.1300CH [1,2] .....................&gt; 1
PIN CONFIGURATION SLOT NO. [33,97,41,105]
CHILD A ....&gt; 33,41,97,105
CHILD B ....&gt; 33,41,97,105
CHILD C ....&gt; 33,41,97,105
CHILD D ....&gt; 33,41,97,105
PIN CONFIGURATION OPTION1 PIN CARD [Y,N]
CHILD A ....&gt; YESCHILD B ....&gt; YES
CHILD C ....&gt; YES
CHILD D ....&gt; YES
PIN CONFIGURATION OPTION2 PIN CARD [Y,N]
CHILD AB ...&gt; YES
CHILD CD ...&gt; YES
BYPASS CAPACITOR TO 10V/16V PPS (PCON)
1.NON-EXISTENT
2. EXISTENT [1,2] ..............&gt; 1
BYPASS CAPACITOR TO HV PPS (PCON)
1.NON-EXISTENT
2. EXISTENT [1,2] ..............&gt; 1
CONFIGURATION OF DPU
1'ST DPU : STN 1,2 [Y,N] ..........................&gt; YES
2'ND DPU : STN 1,2 [Y,N] ..........................&gt; NO
TEST HEAD 1 DC CONFIGURATION [1-16] .............&gt; 1-16
10V PPS CONFIGURATION [1-32] .............&gt; 1-32
16V PPS CONFIGURATION [17-32] ............&gt;
HV PPS CONFIGURATION [1-4] .............&gt;
TEST HEAD 2 DC CONFIGURATION [1-16] .............&gt; 1-16
10V PPS CONFIGURATION [1-32] .............&gt; 1-32
16V PPS CONFIGURATION [17-32] ............&gt;
HV PPS CONFIGURATION [1-4] .............&gt;
1'ST GPIB I/F BOARD 0.NONE
1.BGR-010944X01
2.BGR-010944X02
3.BGR-010944X03
4.BGR-010944X04
5.BGK-012718 [0-5] .........&gt; 0
2'ND GPIB I/F BOARD 0.NONE
1.BGR-016793 (DPU I/F)
2.BGR-010944X05
3.BGK-012718X02 [0-3] .........&gt; 1
DMM TYPE
1.TR6861
2.R6871E
3.R6551
4.R6552T
[1-4] .........&gt; 4AC FREQUENCY (HERTZ) [50,60] ........................&gt; 60
CONFIGURATION OF FM
NUMBER OF FM BOARD
[0-4] .........&gt; 2
SIZE OF FM MODULE
1. 1M
2. 4M
3. 8M [1-3] .........&gt; 2
NUMBER OF MEMORY BANK [1-2] .........&gt; 2
NUMBER OF MEMORY BLOCK [1-4] .........&gt; 4
PATTERN MEMORY
[Y,N] .........&gt; YES
SIZE OF PATTERN MEMORY BOARD 1. 36M
2. 144M
3. 288M [1-3] ...&gt; 3
FM BOARD KIND 1. BGR-020816
2. BGR-020816X02 [1-2] ..............&gt; 2
CONFIGURATION OF MRA
MRA2/3 OPTION
[Y,N] ...........................&gt; YES
MRA OPTION TYPE
[2,3] (2=MRA2,3=MRA3) ...........&gt; 2
TYPE OF CBU BOARD [1,2] (1: BGR-019267 )
(2: BGR-019267X02) ....&gt; 1
NUMBER OF CBU BOARD [1,2] ...........................&gt; 2
TYPE OF FBM BOARD [1,2,3,4] (1= 2M*72BIT)
(2= 4M*72BIT)
(3= 8M*72BIT)
(4=16M*72BIT) .........&gt; 1
NUMBER OF FBM BOARD [1-4] ...........................&gt; 4
COMPRESSION FUNCTION [Y,N] ...........................&gt; NO
CONFIGURATION OF FCDC
FLASH OPTION
[Y,N] ...........................&gt; YES
SC BOARD KIND 1. BGR-020774
2. BGR-020774X02 [1-2] ..............&gt; 1
END SAVE</t>
  </si>
  <si>
    <t xml:space="preserve">80293</t>
  </si>
  <si>
    <t xml:space="preserve">BGR-019267</t>
  </si>
  <si>
    <t xml:space="preserve">80294</t>
  </si>
  <si>
    <t xml:space="preserve">BGR-020900</t>
  </si>
  <si>
    <t xml:space="preserve">Advantest T5335P P.C.B. for immediate sale. qty 4 available in total.
De-installed from a working system. Located at our Avezzano 67051 Italy 
warehouse.</t>
  </si>
  <si>
    <t xml:space="preserve">80295</t>
  </si>
  <si>
    <t xml:space="preserve">BGR-019266</t>
  </si>
  <si>
    <t xml:space="preserve">ADVANTEST T5335P MRA I/F  PC Board</t>
  </si>
  <si>
    <t xml:space="preserve">Removed from a working system, in avezzano 67051 italy warehouse.
T5335P MRA I/F board P/N: BGR-019266</t>
  </si>
  <si>
    <t xml:space="preserve">80296</t>
  </si>
  <si>
    <t xml:space="preserve">BGR-017417</t>
  </si>
  <si>
    <t xml:space="preserve">80297</t>
  </si>
  <si>
    <t xml:space="preserve">BGR-018824 Rev X03</t>
  </si>
  <si>
    <t xml:space="preserve">Advantest T5335P P.C.B. for immediate sale.
Total qty 8 available.
De-installed from a working system. Located at our Avezzano 67051 Italy 
warehouse.</t>
  </si>
  <si>
    <t xml:space="preserve">80298</t>
  </si>
  <si>
    <t xml:space="preserve">BGR-018823</t>
  </si>
  <si>
    <t xml:space="preserve">80299</t>
  </si>
  <si>
    <t xml:space="preserve">ADVANTEST T5335P PC Board  PGR-818822BB2</t>
  </si>
  <si>
    <t xml:space="preserve">Advantest T5335P P.C.B. for immediate sale.
De-installed from a working system. Located at our Avezzano 67051 Italy 
warehouse. Total qty 4 available.</t>
  </si>
  <si>
    <t xml:space="preserve">80300</t>
  </si>
  <si>
    <t xml:space="preserve">BGR-018125</t>
  </si>
  <si>
    <t xml:space="preserve">80301</t>
  </si>
  <si>
    <t xml:space="preserve">BGR-020815</t>
  </si>
  <si>
    <t xml:space="preserve">Advantest T5335P
P.C.B.for immediate sale.
De-installed from a working system. Located at our Avezzano 67051 Italy 
warehouse. QTY 3 AVAILABLE.</t>
  </si>
  <si>
    <t xml:space="preserve">80302</t>
  </si>
  <si>
    <t xml:space="preserve">BIR-021807</t>
  </si>
  <si>
    <t xml:space="preserve">Advantest BIR-021807 T5335P tester PC board for immediate sale.
De-installed from a working system. Located at our Avezzano 67051 Italy 
warehouse.
</t>
  </si>
  <si>
    <t xml:space="preserve">108233</t>
  </si>
  <si>
    <t xml:space="preserve">M6451AD</t>
  </si>
  <si>
    <t xml:space="preserve">Deinstalled, warehoused, can be inspected by appointment</t>
  </si>
  <si>
    <t xml:space="preserve">108234</t>
  </si>
  <si>
    <t xml:space="preserve">108235</t>
  </si>
  <si>
    <t xml:space="preserve">108236</t>
  </si>
  <si>
    <t xml:space="preserve">108237</t>
  </si>
  <si>
    <t xml:space="preserve">108238</t>
  </si>
  <si>
    <t xml:space="preserve">108239</t>
  </si>
  <si>
    <t xml:space="preserve">108240</t>
  </si>
  <si>
    <t xml:space="preserve">108241</t>
  </si>
  <si>
    <t xml:space="preserve">Deinstalled, warehoused, can be inspected by appointment.Has missing parts.</t>
  </si>
  <si>
    <t xml:space="preserve">108242</t>
  </si>
  <si>
    <t xml:space="preserve">AUTOMATED TEST EQUIPMENT</t>
  </si>
  <si>
    <t xml:space="preserve">MISSING PARTS</t>
  </si>
  <si>
    <t xml:space="preserve">108243</t>
  </si>
  <si>
    <t xml:space="preserve">T5376</t>
  </si>
  <si>
    <t xml:space="preserve">108244</t>
  </si>
  <si>
    <t xml:space="preserve">108245</t>
  </si>
  <si>
    <t xml:space="preserve">108246</t>
  </si>
  <si>
    <t xml:space="preserve">108247</t>
  </si>
  <si>
    <t xml:space="preserve">108248</t>
  </si>
  <si>
    <t xml:space="preserve">108249</t>
  </si>
  <si>
    <t xml:space="preserve">108250</t>
  </si>
  <si>
    <t xml:space="preserve">109022</t>
  </si>
  <si>
    <t xml:space="preserve">V6000e</t>
  </si>
  <si>
    <t xml:space="preserve">Memory Test Engineering Workstation for Office or Laboratory Use</t>
  </si>
  <si>
    <t xml:space="preserve">-For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CN49170109
-Power Input Rating: 200-240V , 50/60 Hz, 12A
-CE Marked
-Made in USA
Boards Included:
E7124-66813 - EDC 4921 QTY 2
TSM WITH PPS32 REV 007
E7089-66500 - Power distribution board
DUAL EDGE CONNECTOR P/N: E7124-04118 REV A
LEAD TIME: 2-3 WEEKS ARO</t>
  </si>
  <si>
    <t xml:space="preserve">109538</t>
  </si>
  <si>
    <t xml:space="preserve">93000 PS1600</t>
  </si>
  <si>
    <t xml:space="preserve">Automated Test Equipment for SOC testing</t>
  </si>
  <si>
    <t xml:space="preserve">TRUNCATED: -This automated test system is complete and fully functional.
-It is currently operating in the test facility.
-Along with the tester is also included the chiller,PC and 
instruments(1xPS1600, 1xAVI64, 1xDPS64).
-There are no known broken or missing parts.
-The tester can be inspected by appointment.
-I attach the "DIAG" print out taken recently, which shows the 
configuration.
The Agilent 93000 SOC Series offers solutions for testing the entire range 
of most integrated Systems-on-a-Chip (SOC).Testing Systems-on-a-Chip (SOC 
devices) means having the capability and flexibility to effectively and 
comprehensively test all the functional components of an SOC. These 
functional areas include:-
• Memory
• Analog
• Communications
• High-speed busses
• Digital complex
The technology required to address these challenges is a highly integrated 
Tester-on-a-Chip. The Test Processor-per-pin architecture combines all 
functions of the digital tester in one chip. This provides the foundation 
for full,fast and effective testing of all components integrated into SOC 
devices.
The Agilent 93000 SOC Series testers combine highest speed digital test and 
highest precision analog measurement into a compact testhead. In order to 
achieve this high level of integration, all components are water-cooled. 
This leads to minimized drift of all system parameters during the entire 
calibration interval and consequently to superior reliability.
DIAG Printout:-
 Hp83000 job: 0; environment key: ':1'
2022-01-17 07:30:58
Copyright 1988-2019  by Advantest
****************************************
***       SmarTest Software for      ***
***              V93000              ***
***        Series Test System        ***
****************************************
s/w rev. 7.5.3.0 (T) , Dec 17 2019
s/w adw. 64
   License type                      | Required | Acquired  | Missing    
-------------------------------------+----------+-----------+-----------
 SmarTest_SOC                        |      1   |       1   |     0   
 S&amp;S_Tools_Package                   |      1   |       1   |     0   
V93000 ONLINE
Testhead:              TH_1CC
DUT I/F:               SOC_8GROUP
Model file:            /etc/opt/hp93000/soc/model
System serial number:  ITXXXXXX
Master release date:   2019.12
APG Speed:  0Mbps
Device Maintenance is:  OFF
Drive Edges:  8
Enhanced Edge Clock is: ON
FPGA images licensed: NONE
Legacy Memory Test is: OFF
MSET program memory pre-allocation is: OFF
Memory Pooling is:  ON
Memory Stacker is:  OFF
Port Scale RF 4x FE is:  OFF
Port Scale RF Power Amplifier Library is:  OFF
Protocol Aware is:  OFF
Pulldown for not configured pins is: ON
Pulldown in Level Set 0 is: ON
Receive Edges:  8
S&amp;S Tools Package is: ON
S&amp;S Value Package is:  ON
Testpoints: 10000
Triage is: OFF
Vector Cache is:  ON
Waveforms:  256
Xpress Data Mode is:  OFF
per pin RF is:  OFF
Number of installed I/O channels:  256
Number of licensed I/O channels :  256
MAXIMUM POSSIBLE CONFIGURATION BASED ON THE DETECTED HW:
             |                 |            |         |   Speed    |
   Channel   |        HW       |    Speed   | Vectors |  Loopback  | misc
-------------+-----------------+------------+---------+------------+--------------------
 10101-10816 | PS1600          |  1600 Mbps |   224M  |  1600 Mbps | diff, 
tmu
 22501-22516 | DCS-DPS64HC     |  --------- |    28M  |  --------- |
 22901-22916 | DCS-DPS64HC     |  --------- |    28M  |  --------- |
 32901-33216 | DCS-AVI64       |  --------- |   107M  |  --------- | diff, 
tmu, hcu, digIO
 42501-42516 | DCS-DPS64HC     |  --------- |    28M  |  --------- |
 42901-42916 | DCS-DPS64HC     |  --------- |    28M  |  --------- |
REQUESTED CONFIGURATION:
             |                 |            |         |   Speed    |
   Channel   |        HW       |    Speed   | Vectors |  Loopback  | misc
-------------+-----------------+------------+---------+------------+--------------------
       10301 | PS1600          |  1600 Mbps |    64M  |  --------- | diff, 
tmu
       10302 | PS1600          |  1600 Mbps |    64M  |  --------- | diff
       10303 | PS1600          |  1600 Mbps |    64M  |  --------- | diff, 
tmu
       10304 | PS1600          |  1600 Mbps |    64M  |  --------- | diff
       10309 | PS1600          |  1600 Mbps |    64M  |  --------- | diff
       10311 | PS1600          |  1600 Mbps |    64M  |  --------- | diff
       10402 | PS1600          |  1600 Mbps |    64M  |  --------- | diff
       10404 | PS1600          |  1600 Mbps |    64M  |  --------- | diff
       10406 | PS1600          |  1600 Mbps |    64M  |  --------- | diff, 
tmu
       10408 | PS1600          |  1600 Mbps |    64M  |  --------- | diff, 
tmu
       10414 | PS1600          |  1600 Mbps |    64M  |  --------- | diff
       10416 | PS1600          |  1600 Mbps |    64M  |  --------- | diff
*      10501 | PS1600          |  1600 Mbps |    64M  |  --------- |*diff
*      10512 | PS1600          |  1600 Mbps |    64M  |  --------- |*diff
*      10513 | PS1600          |  1600 Mbps |    64M  |  --------- |*diff, 
tmu
*      10603 | PS1600          |  1600 Mbps |    64M  |  --------- |*diff
*      10605 | PS1600          |  1600 Mbps |    64M  |  --------- |*diff, 
tmu
*      10608 | PS1600          |  1600 Mbps |    64M  |  --------- |*diff
*      10616 | PS1600          |  1600 Mbps |    64M  |  --------- |*diff, 
tmu
*      10702 | PS1600          |  1600 Mbps |    64M  |  --------- |*diff, 
tmu
*      10705 | PS1600          |  1600 Mbps |    64M  |  --------- |*diff
*      10802 | PS1600          |  1600 Mbps |    64M  |  --------- |*diff
*      10805 | PS1600          |  1600 Mbps |    64M  |  --------- |*diff
*      10808 | PS1600          |  1600 Mbps |    64M  |  --------- |*diff
 22501-22516 | DCS-DPS64HC     |  --------- |    28M  |  --------- |
 22901-22916 | DCS-DPS64HC     |  --------- |    28M  |  --------- |
 32901-33216 | DCS-AVI64       |  --------- |   107M  |  --------- | diff
 42501-42516 | DCS-DPS64HC     |  --------- |    28M  |  --------- |
 42901-42916 | DCS-DPS64HC     |  --------- |    28M  |  --------- |
ERROR: 10501 : Channel 10503 not requested or has HW conflict, need this 
channel to use diff, diff is disabled
ERROR: 10512 : Channel 10510 not requested or has HW conflict, need this 
channel to use diff, diff is disabled
ERROR: 10513 : Channel 10515 not requested or has HW conflict, need this 
channel to use diff, diff is disabled
ERROR: 10603 : Channel 10601 not requested or has HW conflict, need this 
channel to use diff, diff is disabled
ERROR: 10605 : Channel 10607 not requested or has HW conflict, need this 
channel to use diff, diff is disabled
ERROR: 10608 : Channel 10606 not requested or has HW conflict, need this 
channel to use diff, diff is disabled
ERROR: 10616 : Channel 10614 not requested or has HW conflict, need this 
channel to use diff, diff is disabled
ERROR: 10702 : Channel 10704 not requested or has HW conflict, need this 
channel to use diff, diff is disabled
ERROR: 10705 : Channel 10707 not requested or has HW conflict, need this 
channel to use diff, diff is disabled
ERROR: 10802 : Channel 10804 not requested or has HW conflict, need this 
channel to use diff, diff is disabled
ERROR: 10805 : Channel 10807 not requested or has HW conflict, need this 
channel to use diff, diff is disabled
ERROR: 10808 : Channel 10806 not requested or has HW conflict, need this 
channel to use diff, diff is disabled
   License type                      | Required | Acquired  | Missing    
-------------------------------------+----------+-----------+-----------
 Digital_E803x_100_200Mbps           |     24   |      24   |     0   
 Digital_E803x_200_533Mbps           |     24   |      24   |     0   
 Digital_E803x_533_max-rate          |     24   |      24   |     0   
 Digital_E803x_E8070_16_32MB         |     24   |      24   |     0   
 Digital_E803x_E8070_32_64MB         |     24   |      24   |     0   
 Digital_E803x_E8070_TMU             |      8   |       8   |     0   
 S&amp;S_Value_Package_SOC               |      1   |       1   |     0   
             |                 |            |         |   Speed    |
   Channel   |        HW       |    Speed   | Vectors |  Loopback  | misc
-------------+-----------------+------------+---------+------------+--------------------
 10101-10216 | PS1600          |   100 Mbps |    16M  |  --------- | diff
       10301 | PS1600          |  1600 Mbps |    64M  |  --------- | diff, 
tmu
       10302 | PS1600          |  1600 Mbps |    64M  |  --------- | diff
       10303 | PS1600          |  1600 Mbps |    64M  |  --------- | diff, 
tmu
       10304 | PS1600          |  1600 Mbps |    64M  |  --------- | diff
 10305-10308 | PS1600          |   100 Mbps |    16M  |  --------- | diff
       10309 | PS1600          |  1600 Mbps |    64M  |  --------- | diff
       10310 | PS1600          |   100 Mbps |    16M  |  --------- | diff
       10311 | PS1600          |  1600 Mbps |    64M  |  --------- | diff
 10312-10401 | PS1600          |   100 Mbps |    16M  |  --------- | diff
       10402 | PS1600          |  1600 Mbps |    64M  |  --------- | diff
       10403 | PS1600          |   100 Mbps |    16M  |  --------- | diff
       10404 | PS1600          |  1600 Mbps |    64M  |  --------- | diff
       10405 | PS1600          |   100 Mbps |    16M  |  --------- | diff
       10406 | PS1600          |  1600 Mbps |    64M  |  --------- | diff, 
tmu
       10407 | PS1600          |   100 Mbps |    16M  |  --------- | diff
       10408 | PS1600          |  1600 Mbps |    64M  |  --------- | diff, 
tmu
 10409-10413 | PS1600          |   100 Mbps |    16M  |  --------- | diff
       10414 | PS1600          |  1600 Mbps |    64M  |  --------- | diff
       10415 | PS1600          |   100 Mbps |    16M  |  --------- | diff
       10416 | PS1600          |  1600 Mbps |    64M  |  --------- | diff
       10501 | PS1600          |  1600 Mbps |    64M  |  --------- |
 10502-10511 | PS1600          |   100 Mbps |    16M  |  --------- | diff
       10512 | PS1600          |  1600 Mbps |    64M  |  --------- |
       10513 | PS1600          |  1600 Mbps |    64M  |  --------- | tmu
 10514-10602 | PS1600          |   100 Mbps |    16M  |  --------- | diff
       10603 | PS1600          |  1600 Mbps |    64M  |  --------- |
       10604 | PS1600          |   100 Mbps |    16M  |  --------- | diff
       10605 | PS1600          |  1600 Mbps |    64M  |  --------- | tmu
 10606-10607 | PS1600          |   100 Mbps |    16M  |  --------- | diff
       10608 | PS1600          |  1600 Mbps |    64M  |  --------- |
 10609-10615 | PS1600          |   100 Mbps |    16M  |  --------- | diff
       10616 | PS1600          |  1600 Mbps |    64M  |  --------- | tmu
       10701 | PS1600          |   100 Mbps |    16M  |  --------- | diff
       10702 | PS1600          |  1600 Mbps |    64M  |  --------- | tmu
 10703-10704 | PS1600          |   100 Mbps |    16M  |  --------- | diff
       10705 | PS1600          |  1600 Mbps |    64M  |  --------- |
 10706-10801 | PS1600          |   100 Mbps |    16M  |  --------- | diff
       10802 | PS1600          |  1600 Mbps |    64M  |  --------- |
 10803-10804 | PS1600          |   100 Mbps |    16M  |  --------- | diff
       10805 | PS1600          |  1600 Mbps |    64M  |  --------- |
 10806-10807 | PS1600          |   100 Mbps |    16M  |  --------- | diff
       10808 | PS1600          |  1600 Mbps |    64M  |  --------- |
 10809-10816 | PS1600          |   100 Mbps |    16M  |  --------- | diff
 22501-22516 | DCS-DPS64HC     |  --------- |    28M  |  --------- |
 22901-22916 | DCS-DPS64HC     |  --------- |    28M  |  --------- |
 32901-33216 | DCS-AVI64       |  --------- |   107M  |  --------- | diff
 42501-42516 | DCS-DPS64HC     |  --------- |    28M  |  --------- |
 42901-42916 | DCS-DPS64HC     |  --------- |    28M  |  --------- |
Utility Lines: 128 (sequencer_controlled), 16 utility lines per utility 
block
Number of analog boards:    0
Device Power Supply (DPS) configuration:
Number of DPS channels : 0
INFO: (dataformatter) Starting dataformatter version 2.0.23 Dec 17 2019 
13:07:59
INFO: (dataformatter) Log file /etc/opt/hp93000/soc/dataformatter.log 
initialized.
INFO: (dataformatter) Using global config file:  
/etc/opt/hp93000/soc/datalog/global.conf
INFO: (dataformatter) Using STDF config file:  
/etc/opt/hp93000/soc/datalog/formatter.stdf.main.conf
Port 60937
Starting SmarTest WorkCenter...
User     : user1
Device   :
Dev_tech.: cmos
Dev_license_file: None, model file used for licensing
SmarTest WorkCenter Ready!
Loading will be done through import filter 
'/opt/hp93000/soc/com/lbin/hp83_import'
Prior to save '/opt/hp93000/soc/com/lbin/hp83_presave' will be run
After save '/opt/hp93000/soc/com/lbin/hp83_postsave' will be run
JStart Ready! Now starting eclipse.
System ready.
Xlib:  extension "RANDR" missing on display ":1".
   License type                      | Required | Acquired  | Missing    
-------------------------------------+----------+-----------+-----------
 SmarTest_SOC                        |      1   |       1   |     0   
 S&amp;S_Tools_Package                   |      1   |       1   |     0   
V93000 ONLINE
Testhead:              TH_1CC
DUT I/F:               SOC_8GROUP
Model file:            /etc/opt/hp93000/soc/model
System serial number:  ITXXXXXX
Master release date:   2019.12
APG Speed:  0Mbps
Device Maintenance is:  OFF
Drive Edges:  8
Enhanced Edge Clock is: ON
FPGA images licensed: NONE
Legacy Memory Test is: OFF
MSET program memory pre-allocation is: OFF
Memory Pooling is:  ON
Memory Stacker is:  OFF
Port Scale RF 4x FE is:  OFF
Port Scale RF Power Amplifier Library is:  OFF
Protocol Aware is:  OFF
Pulldown for not configured pins is: ON
Pulldown in Level Set 0 is: ON
Receive Edges:  8
S&amp;S Tools Package is: ON
S&amp;S Value Package is:  ON
Testpoints: 10000
Triage is: OFF
Vector Cache is:  ON
Waveforms:  256
Xpress Data Mode is:  OFF
per pin RF is:  OFF
Number of installed I/O channels:  256
Number of licensed I/O channels :  256
MAXIMUM POSSIBLE CONFIGURATION BASED ON THE DETECTED HW:
             |                 |            |         |   Speed    |
   Channel   |        HW       |    Speed   | Vectors |  Loopback  | misc
-------------+-----------------+------------+---------+------------+--------------------
 10101-10816 | PS1600          |  1600 Mbps |   224M  |  1600 Mbps | diff, 
tmu
 22501-22516 | DCS-DPS64HC     |  --------- |    28M  |  --------- |
 22901-22916 | DCS-DPS64HC     |  --------- |    28M  |  --------- |
 32901-33216 | DCS-AVI64       |  --------- |   107M  |  --------- | diff, 
tmu, hcu, digIO
 42501-42516 | DCS-DPS64HC     |  --------- |    28M  |  --------- |
 42901-42916 | DCS-DPS64HC     |  --------- |    28M  |  --------- |
REQUESTED CONFIGURATION:
             |                 |            |         |   Speed    |
   Channel   |        HW       |    Speed   | Vectors |  Loopback  | misc
-------------+-----------------+------------+---------+------------+--------------------
       10301 | PS1600          |  1600 Mbps |    64M  |  --------- | diff, 
tmu
       10302 | PS1600          |  1600 Mbps |    64M  |  --------- | diff
       10303 | PS1600          |  1600 Mbps |    64M  |  --------- | diff, 
tmu
       10304 | PS1600          |  1600 Mbps |    64M  |  --------- | diff
       10309 | PS1600          |  1600 Mbps |    64M  |  --------- | diff
       10311 | PS1600          |  1600 Mbps |    64M  |  --------- | diff
       10402 | PS1600          |  1600 Mbps |    64M  |  --------- | diff
       10404 | PS1600          |  1600 Mbps |    64M  |  --------- | diff
       10406 | PS1600          |  1600 Mbps |    64M  |  --------- | diff, 
tmu
       10408 | PS1600          |  1600 Mbps |    64M  |  --------- | diff, 
tmu
       10414 | PS1600          |  1600 Mbps |    64M  |  --------- | diff
       10416 | PS1600          |  1600 Mbps |    64M  |  --------- | diff
       10501 | PS1600          |  1600 Mbps |    64M  |  --------- |
       10512 | PS1600          |  1600 Mbps |    64M  |  --------- |
       10513 | PS1600          |  1600 Mbps |    64M  |  --------- | tmu
       10603 | PS1600          |  1600 Mbps |    64M  |  --------- |
       10605 | PS1600          |  1600 Mbps |    64M  |  --------- | tmu
       10608 | PS1600          |  1600 Mbps |    64M  |  --------- |
       10616 | PS1600          |  1600 Mbps |    64M  |  --------- | tmu
       10702 | PS1600          |  1600 Mbps |    64M  |  --------- | tmu
       10705 | PS1600          |  1600 Mbps |    64M  |  --------- |
       10802 | PS1600          |  1600 Mbps |    64M  |  --------- |
       10805 | PS1600          |  1600 Mbps |    64M  |  --------- |
       10808 | PS1600          |  1600 Mbps |    64M  |  --------- |
 22501-22516 | DCS-DPS64HC     |  --------- |    28M  |  --------- |
 22901-22916 | DCS-DPS64HC     |  --------- |    28M  |  --------- |
 32901-33216 | DCS-AVI64       |  --------- |   107M  |  --------- | diff
 42501-42516 | DCS-DPS64HC     |  --------- |    28M  |  --------- |
 42901-42916 | DCS-DPS64HC     |  --------- |    28M  |  --------- |
   License type                      | Required | Acquired  | Missing    
-------------------------------------+----------+-----------+-----------
 Digital_E803x_100_200Mbps           |     24   |      24   |     0   
 Digital_E803x_200_533Mbps           |     24   |      24   |     0   
 Digital_E803x_533_max-rate          |     24   |      24   |     0   
 Digital_E803x_E8070_16_32MB         |     24   |      24   |     0   
 Digital_E803x_E8070_32_64MB         |     24   |      24   |     0   
 Digital_E803x_E8070_TMU             |      8   |       8   |     0   
 S&amp;S_Value_Package_SOC               |      1   |       1   |     0   
             |                 |            |         |   Speed    |
   Channel   |        HW       |    Speed   | Vectors |  Loopback  | misc
-------------+-----------------+------------+---------+------------+--------------------
 10101-10216 | PS1600          |   100 Mbps |    16M  |  --------- | diff
       10301 | PS1600          |  1600 Mbps |    64M  |  --------- | diff, 
tmu
       10302 | PS1600          |  1600 Mbps |    64M  |  --------- | diff
       10303 | PS1600          |  1600 Mbps |    64M  |  --------- | diff, 
tmu
       10304 | PS1600          |  1600 Mbps |    64M  |  --------- | diff
 10305-10308 | PS1600          |   100 Mbps |    16M  |  --------- | diff
       10309 | PS1600          |  1600 Mbps |    64M  |  --------- | diff
       10310 | PS1600          |   100 Mbps |    16M  |  --------- | diff
       10311 | PS1600          |  1600 Mbps |    64M  |  --------- | diff
 10312-10401 | PS1600          |   100 Mbps |    16M  |  --------- | diff
       10402 | PS1600          |  1600 Mbps |    64M  |  --------- | diff
       10403 | PS1600          |   100 Mbps |    16M  |  --------- | diff
       10404 | PS1600          |  1600 Mbps |    64M  |  --------- | diff
       10405 | PS1600          |   100 Mbps |    16M  |  --------- | diff
       10406 | PS1600          |  1600 Mbps |    64M  |  --------- | diff, 
tmu
       10407 | PS1600          |   100 Mbps |    16M  |  --------- | diff
       10408 | PS1600          |  1600 Mbps |    64M  |  --------- | diff, 
tmu
 10409-10413 | PS1600          |   100 Mbps |    16M  |  --------- | diff
       10414 | PS1600          |  1600 Mbps |    64M  |  --------- | diff
       10415 | PS1600          |   100 Mbps |    16M  |  --------- | diff
       10416 | PS1600          |  1600 Mbps |    64M  |  --------- | diff
       10501 | PS1600          |  1600 Mbps |    64M  |  --------- |
 10502-10511 | PS1600          |   100 Mbps |    16M  |  --------- | diff
       10512 | PS1600          |  1600 Mbps |    64M  |  --------- |
       10513 | PS1600          |  1600 Mbps |    64M  |  --------- | tmu
 10514-10602 | PS1600          |   100 Mbps |    16M  |  --------- | diff
       10603 | PS1600          |  1600 Mbps |    64M  |  --------- |
       10604 | PS1600          |   100 Mbps |    16M  |  --------- | diff
       10605 | PS1600          |  1600 Mbps |    64M  |  --------- | tmu
 10606-10607 | PS1600          |   100 Mbps |    16M  |  --------- | diff
       10608 | PS1600          |  1600 Mbps |    64M  |  --------- |
 10609-10615 | PS1600          |   100 Mbps |    16M  |  --------- | diff
       10616 | PS1600          |  1600 Mbps |    64M  |  --------- | tmu
       10701 | PS1600          |   100 Mbps |    16M  |  --------- | diff
       10702 | PS1600          |  1600 Mbps |    64M  |  --------- | tmu
 10703-10704 | PS1600          |   100 Mbps |    16M  |  --------- | diff
       10705 | PS1600          |  1600 Mbps |    64M  |  --------- |
 10706-10801 | PS1600          |   100 Mbps |    16M  |  --------- | diff
       10802 | PS1600          |  1600 Mbps |    64M  |  --------- |
 10803-10804 | PS1600          |   100 Mbps |    16M  |  --------- | diff
       10805 | PS1600          |  1600 Mbps |    64M  |  --------- |
 10806-10807 | PS1600          |   100 Mbps |    16M  |  --------- | diff
       10808 | PS1600          |  1600 Mbps |    64M  |  --------- |
 10809-10816 | PS1600          |   100 Mbps |    16M  |  --------- | diff
 22501-22516 | DCS-DPS64HC     |  --------- |    28M  |  --------- |
 22901-22916 | DCS-DPS64HC     |  --------- |    28M  |  --------- |
 32901-33216 | DCS-AVI64       |  --------- |   107M  |  --------- | diff
 42501-42516 | DCS-DPS64HC     |  --------- |    28M  |  --------- |
 42901-42916 | DCS-DPS64HC     |  --------- |    28M  |  --------- |
Utility Lines: 128 (sequencer_controlled), 16 utility lines per utility 
block
Number of analog boards:    0
Device Power Supply (DPS) configuration:
Number of DPS channels : 0
Setting default system control parameters for diagnostic.
* testing channels 10101 to 10816
* testing channels 32901 to 33216
* testing dps channels 22501 to 22516
* testing dps channels 22901 to 22916
* testing dps channels 32901 to 33216
* testing dps channels 42501 to 42516
* testing dps channels 42901 to 42916
* testing ctrl bd.  11
* testing clk bd.  11
# Current period is 100.00ns, capable Hardware: CPIO/DPS128HC/AVI64
T DP8B (DPS128HV/DP...) (DIG): DPS128 Board test                       
PASSED
T CHAT (AVI64) (DIG): Channel access test                              
PASSED
# Current period is 100.00ns, capable Hardware: CPIO/DPS128HC/AVI64
T CICT (CTRL/CNT) (PLT): Computer Interface Card test                  
PASSED
T UTIL (CLK) (PLT): Utility Connectivity test                          
PASSED
T HPMU (CLK) (PLT): High Precision PMU test                            
PASSED
T CLKG (CLK) (DIG): Clock generation test                              
PASSED
T MCPH (CLK) (DIG): Clock phase test                                   
PASSED
T RING (CLK) (DIG): Clock ring test                                    
PASSED
T CTRL (CTRL/CNT) (PLT): Control Board test                            
PASSED
T CBLI (DPS128HV/DP...) (DIG): Cable connected to io/slot pogo test    
PASSED
T DP8C (DPS128HV/DP...) (DIG): DPS128 Board test with DUT              
PASSED
T CPCT (CPIO/AVI64/...) (DIG): Compressor test for control boards      
PASSED
T BDVL (CPIO) (DIG): Board voltage test                                
PASSED
T TDRT (CPIO) (DIG): Cable time domain reflectometry test              
PASSED
T CHAT (CPIO) (DIG): Channel access test                               
PASSED
T MEMT (CPIO) (DIG): Memory test                                       
PASSED
T SREG (CPIO) (DIG): Set register test                                 
PASSED
T SSEQ (CPIO) (DIG): Start/Stop sequencer test                         
PASSED
T CONT (CPIO) (DIG): Continuity &amp; badc test                            
PASSED
T PAFA (CPIO) (DIG): Pass/Fail test                                    
PASSED
T PPSS (CPIO) (DIG): Pin pmu source/sink test                          
PASSED
T BREF (CPIO) (DIG): Board references test                             
PASSED
T DRVT (CPIO) (DIG): Driver tristate test                              
PASSED
T DRVL (CPIO) (DIG): Driver level test                                 
PASSED
T PPPF (CPIO) (DIG): Pin pmu pass/fail test                            
PASSED
T ACTL (CPIO) (DIG): Active load test                                  
PASSED
T CLMP (CPIO) (DIG): Channel clamp(s) test                             
PASSED
T WFTB (CPIO) (DIG): Waveform table test                               
PASSED
T EMAP (CPIO) (DIG): Error-Map test                                    
PASSED
T DRVE (CPIO) (DIG): Driver edge test                                  
PASSED
T RCVL (CPIO) (DIG): Receiver level test                               
PASSED
T DRCV (CPIO) (DIG): Differential receiver test                        
PASSED
T COMP (CPIO) (DIG): Comparator test                                   
PASSED
T RCVE (CPIO) (DIG): Receiver edge test                                
PASSED
T SELC (CPIO) (DIG): Selective capture test                            
PASSED
T SHFT (CPIO) (DIG): Shifter test                                      
PASSED
T DQUE (CPIO) (DIG): DQueue test                                       
PASSED
T STER (CPIO) (DIG): Stop on error test                                
PASSED
T CCOM (CPIO) (DIG): Channel compressor test                           
PASSED
T DMAC (CPIO) (DIG): DMA copy test                                     
PASSED
T HVDT (CPIO) (DIG): High voltage driver test                          
PASSED
T MEMT (AVI64) (DIG): Memory test                                      
PASSED
T SREG (AVI64) (DIG): Set register test                                
PASSED
T SSEQ (AVI64) (DIG): Start/Stop sequencer test                        
PASSED
T PAFA (AVI64) (DIG): Pass/Fail test                                   
PASSED
T DRVT (AVI64) (DIG): Driver tristate test                            
 PASSED
T DRVL (AVI64) (DIG): Driver level test                               
 PASSED
T WFTB (AVI64) (DIG): Waveform table test                              
PASSED
T EMAP (AVI64) (DIG): Error-Map test                                   
PASSED
T DRVE (AVI64) (DIG): Driver edge test                                 
PASSED
T RCVL (AVI64) (DIG): Receiver level test                              
PASSED
T COMP (AVI64) (DIG): Comparator test                                 
 PASSED
T RCVE (AVI64) (DIG): Receiver edge test                               
PASSED
T SHFT (AVI64) (DIG): Shifter test                                     
PASSED
T DQUE (AVI64) (DIG): DQueue test                                      
PASSED
T STER (AVI64) (DIG): Stop on error test                               
PASSED
T CCOM (AVI64) (DIG): Channel compressor test                          
PASSED
T TMUT (AVI64) (DIG): Time measurement unit test                      
Diagnostic: TMUT test can only be executed on calibrated systems and runs 
in At-speed mode only. Test skipped.
 PASSED
T AVIB (AVI64) (DIG): AVI64 Board test                                
AVI64 AVIB - Subtest: VERS - Software Version Check
AVI64 AVIB - Subtest: CLSI - Channel Access Test
AVI64 AVIB - Subtest: BDDU - FPGA Version Check
AVI64 AVIB - Subtest: BDDU - EEPROM Data Check
AVI64 AVIB - Subtest: BDVL - Board Supply Test
AVI64 AVIB - Subtest: BDVL - Board Temperature Test
AVI64 AVIB - Subtest: BDVL - Channel Supply Test
AVI64 AVIB - Subtest: BDVL - Channel Temperature Test
AVI64 AVIB - Subtest: BDVL - Channel Main DAC and Floating Supply Test
AVI64 AVIB - Subtest: DCCO - DC Connectivity test
AVI64 AVIB - Subtest: BREF - Diagnostic Unit Switches
AVI64 AVIB - Subtest: BREF - Board Reference Resistor Test
AVI64 AVIB - Subtest: BREF - Board Reference Voltage Test
AVI64 AVIB - Subtest: BREF - Board Reference DAC Voltage Test
AVI64 AVIB - Subtest: BREF - Board Diagnostic and Calibration Bus Test
AVI64 AVIB - Subtest: RELY - PMU Relay Function and Resistance Test
AVI64 AVIB - Subtest: RELL - PMU Relay and Cable Leakage Test
AVI64 AVIB - Subtest: LIMT - PMU Current Limiter Test
AVI64 AVIB - Subtest: SECR - Board Security Mode Test
AVI64 AVIB - Subtest: COMP - Digital Compare Overvoltage Protection Test
AVI64 AVIB - Subtest: COMP - Single Ended Digital Compare
AVI64 AVIB - Subtest: COMP - Differential Digital Compare
 PASSED
T AVID (AVI64) (DIG): AVI64 DC test                                   
AVI64 AVID - Subtest: FVMV - Force Voltage - Measure Voltage
AVI64 AVID - Subtest: FIMI - Force Current - Measure Current
AVI64 AVID - Subtest: VCLP - Voltage Clamp
AVI64 AVID - Subtest: CCLP - Current Clamp
AVI64 AVID - Subtest: GNDS - PMU Ground Sense Regulation
AVI64 AVID - Subtest: KELV - Kelvin Mode
AVI64 AVID - Subtest: DVMF - Differential Voltmeter - Function Test
AVI64 AVID - Subtest: DVMC - Differential Voltmeter - Common Mode Test
AVI64 AVID - Subtest: DVMI - Differential Voltmeter - Input Current
 PASSED
T AVIH (AVI64) (DIG): AVI64 High Current Source test                  
AVI64 AVIH - Subtest: SETU - HCU Setup Test
AVI64 AVIH - Subtest: DTVM - HCU DAC to VM Test
AVI64 AVIH - Subtest: DTIM - HCU DAC to IM Test
AVI64 AVIH - Subtest: FVMV - HCU Force Voltage Measure Voltage Test 1
AVI64 AVIH - Subtest: FVMV - HCU Force Voltage Measure Voltage Test 2
AVI64 AVIH - Subtest: FIMI - HCU Force Current Measure Current Test
AVI64 AVIH - Subtest: VCLP - HCU Voltage Clamp Test
AVI64 AVIH - Subtest: CCLP - HCU Current Clamp Test
AVI64 AVIH - Subtest: NOIS - HCU Noise Measurement Test
AVI64 AVIH - Subtest: CHRG - HCU Charge Unit Test
AVI64 AVIH - Subtest: BSTR - HCU Booster Function Test
AVI64 AVIH - Subtest: BSTR - HCU Booster Offset Test
AVI64 AVIH - Subtest: FLTR - HCU Floating Test
 PASSED
T AVIA (AVI64) (DIG): AVI64 High Resolution AWG test                  
AVI64 AVIA - Subtest: LEVL - HR AWG DC Level Test
AVI64 AVIA - Subtest: LOAD - HR AWG DC Load Test
AVI64 AVIA - Subtest: GNDS - HR AWG Ground Sense Regulation Test
 PASSED
T AVIC (AVI64) (DIG): AVI64 Pogo Connection test                      
AVI64 AVIC - Subtest: DCCO - DC Connectivity Test
AVI64 AVIC - Subtest: RELY - GND_SENSE Relay Function and Resistance Test
AVI64 AVIC - Subtest: LIMT - GND_SENSE Current Limiter Test
AVI64 AVIC - Subtest: RELL - Output Relay and Cable Leakage Test
AVI64 AVIC - Subtest: SECR - Board Security Mode Test
 PASSED
# Current period is 100.00ns, capable Hardware: CPIO/DPS128HC/AVI64
T CBLS (DPS128HV/DP...) (DIG): Cable short test                        
PASSED
Diagnostic finished
Overall diagnostic result: PASSED
   License type                      | Required | Acquired  | Missing    
-------------------------------------+----------+-----------+-----------
 SmarTest_SOC                        |      1   |       1   |     0   
 S&amp;S_Tools_Package                   |      1   |       1   |     0   
V93000 ONLINE
Testhead:              TH_1CC
DUT I/F:               SOC_8GROUP
Model file:            /etc/opt/hp93000/soc/model
System serial number:  ITXXXXXX
Master release date:   2019.12
APG Speed:  0Mbps
Device Maintenance is:  OFF
Drive Edges:  8
Enhanced Edge Clock is: ON
FPGA images licensed: NONE
Legacy Memory Test is: OFF
MSET program memory pre-allocation is: OFF
Memory Pooling is:  ON
Memory Stacker is:  OFF
Port Scale RF 4x FE is:  OFF
Port Scale RF Power Amplifier Library is:  OFF
Protocol Aware is:  OFF
Pulldown for not configured pins is: ON
Pulldown in Level Set 0 is: ON
Receive Edges:  8
S&amp;S Tools Package is: ON
S&amp;S Value Package is:  ON
Testpoints: 10000
Triage is: OFF
Vector Cache is:  ON
Waveforms:  256
Xpress Data Mode is:  OFF
per pin RF is:  OFF
Number of installed I/O channels:  256
Number of licensed I/O channels :  256
MAXIMUM POSSIBLE CONFIGURATION BASED ON THE DETECTED HW:
             |                 |            |         |   Speed    |
   Channel   |        HW       |    Speed   | Vectors |  Loopback  | misc
-------------+-----------------+------------+---</t>
  </si>
  <si>
    <t xml:space="preserve">82926</t>
  </si>
  <si>
    <t xml:space="preserve">WUN-H90554AIR</t>
  </si>
  <si>
    <t xml:space="preserve">ADVANTEST air control unit</t>
  </si>
  <si>
    <t xml:space="preserve">Removed from working system,
Removed from Advantest T5335P tester, in good condition, located in our 
AVEZZANO 67051 ITALY warehouse. Includes guage, and air control with 6 air 
inputs
5Kgf/cm2
</t>
  </si>
  <si>
    <t xml:space="preserve">108993</t>
  </si>
  <si>
    <r>
      <rPr>
        <sz val="8"/>
        <rFont val="Arial"/>
        <family val="0"/>
      </rPr>
      <t xml:space="preserve">Advantest / </t>
    </r>
    <r>
      <rPr>
        <sz val="8"/>
        <rFont val="Noto Sans CJK SC"/>
        <family val="2"/>
      </rPr>
      <t xml:space="preserve">アドバンテスト</t>
    </r>
  </si>
  <si>
    <t xml:space="preserve">BGR-018823 REV X03</t>
  </si>
  <si>
    <t xml:space="preserve">PC BOARD FOR ADVANTEST T5335P</t>
  </si>
  <si>
    <t xml:space="preserve">PCB REMOVED FROM A WORKING T5335P TESTER SYSTEM
SEE PHOTOS FOR DETAILS</t>
  </si>
  <si>
    <t xml:space="preserve">107109</t>
  </si>
  <si>
    <t xml:space="preserve">AE</t>
  </si>
  <si>
    <t xml:space="preserve">Hilight 136</t>
  </si>
  <si>
    <t xml:space="preserve">Price is ex-works UK office</t>
  </si>
  <si>
    <t xml:space="preserve">107110</t>
  </si>
  <si>
    <t xml:space="preserve">61300027L
Price is ex-works UK office</t>
  </si>
  <si>
    <t xml:space="preserve">107258</t>
  </si>
  <si>
    <t xml:space="preserve">RFX II 3000</t>
  </si>
  <si>
    <t xml:space="preserve">3155047-000 B</t>
  </si>
  <si>
    <t xml:space="preserve">109824</t>
  </si>
  <si>
    <t xml:space="preserve">AE (Advanced Energy)</t>
  </si>
  <si>
    <t xml:space="preserve">PMH 400/2200</t>
  </si>
  <si>
    <t xml:space="preserve">Sold Ex-Works, UK Office , Part Number:3152291-000 , Secondary P/N:Power 
Sensor</t>
  </si>
  <si>
    <t xml:space="preserve">109825</t>
  </si>
  <si>
    <t xml:space="preserve">109826</t>
  </si>
  <si>
    <t xml:space="preserve">109827</t>
  </si>
  <si>
    <t xml:space="preserve">109828</t>
  </si>
  <si>
    <t xml:space="preserve">109829</t>
  </si>
  <si>
    <t xml:space="preserve">109830</t>
  </si>
  <si>
    <t xml:space="preserve">109831</t>
  </si>
  <si>
    <t xml:space="preserve">109832</t>
  </si>
  <si>
    <t xml:space="preserve">109833</t>
  </si>
  <si>
    <t xml:space="preserve">PMH13/3000</t>
  </si>
  <si>
    <t xml:space="preserve">Sold Ex-Works, UK Office , Part Number:3152290-000 C , Secondary P/N:Power 
Sensor</t>
  </si>
  <si>
    <t xml:space="preserve">109834</t>
  </si>
  <si>
    <t xml:space="preserve">109835</t>
  </si>
  <si>
    <t xml:space="preserve">109836</t>
  </si>
  <si>
    <t xml:space="preserve">Power Sensor</t>
  </si>
  <si>
    <t xml:space="preserve">Sold Ex-Works, UK Office , Part Number:2290-000C</t>
  </si>
  <si>
    <t xml:space="preserve">109837</t>
  </si>
  <si>
    <t xml:space="preserve">RF-20</t>
  </si>
  <si>
    <t xml:space="preserve">Sold Ex-Works, UK Office , Part Number:3150073-000</t>
  </si>
  <si>
    <t xml:space="preserve">109838</t>
  </si>
  <si>
    <t xml:space="preserve">RF-30P</t>
  </si>
  <si>
    <t xml:space="preserve">Sold Ex-Works, UK Office , Part Number:3150281-000</t>
  </si>
  <si>
    <t xml:space="preserve">109839</t>
  </si>
  <si>
    <t xml:space="preserve">RF-30S</t>
  </si>
  <si>
    <t xml:space="preserve">Sold Ex-Works, UK Office , Part Number:3150017-028</t>
  </si>
  <si>
    <t xml:space="preserve">109840</t>
  </si>
  <si>
    <t xml:space="preserve">Sold Ex-Works, UK Office , Part Number:3150077-000</t>
  </si>
  <si>
    <t xml:space="preserve">109841</t>
  </si>
  <si>
    <t xml:space="preserve">RF-5S</t>
  </si>
  <si>
    <t xml:space="preserve">Sold Ex-Works, UK Office , Part Number:3150004-012 G</t>
  </si>
  <si>
    <t xml:space="preserve">109842</t>
  </si>
  <si>
    <t xml:space="preserve">Sold Ex-Works, UK Office , Part Number:3150004-020</t>
  </si>
  <si>
    <t xml:space="preserve">109843</t>
  </si>
  <si>
    <t xml:space="preserve">Sold Ex-Works, UK Office , Part Number:3150853-000</t>
  </si>
  <si>
    <t xml:space="preserve">109844</t>
  </si>
  <si>
    <t xml:space="preserve">Sold Ex-Works, UK Office , Part Number:7510313017</t>
  </si>
  <si>
    <t xml:space="preserve">109845</t>
  </si>
  <si>
    <t xml:space="preserve">RFG 3000</t>
  </si>
  <si>
    <t xml:space="preserve">Sold Ex-Works, UK Office , Part Number:</t>
  </si>
  <si>
    <t xml:space="preserve">109846</t>
  </si>
  <si>
    <t xml:space="preserve">Sold Ex-Works, UK Office , Part Number:3155038-001 C</t>
  </si>
  <si>
    <t xml:space="preserve">109847</t>
  </si>
  <si>
    <t xml:space="preserve">RFG 3002</t>
  </si>
  <si>
    <t xml:space="preserve">Sold Ex-Works, UK Office , Part Number:3155089-010 B</t>
  </si>
  <si>
    <t xml:space="preserve">109848</t>
  </si>
  <si>
    <t xml:space="preserve">Sold Ex-Works, UK Office , Part Number:3155002-000 D</t>
  </si>
  <si>
    <t xml:space="preserve">109849</t>
  </si>
  <si>
    <t xml:space="preserve">Sold Ex-Works, UK Office , Part Number:3155002-032</t>
  </si>
  <si>
    <t xml:space="preserve">109850</t>
  </si>
  <si>
    <t xml:space="preserve">Sold Ex-Works, UK Office , Part Number:3155002-032 B</t>
  </si>
  <si>
    <t xml:space="preserve">109851</t>
  </si>
  <si>
    <t xml:space="preserve">109852</t>
  </si>
  <si>
    <t xml:space="preserve">109853</t>
  </si>
  <si>
    <t xml:space="preserve">109854</t>
  </si>
  <si>
    <t xml:space="preserve">Sold Ex-Works, UK Office , Part Number:3155002-032 C</t>
  </si>
  <si>
    <t xml:space="preserve">109855</t>
  </si>
  <si>
    <t xml:space="preserve">109856</t>
  </si>
  <si>
    <t xml:space="preserve">Sold Ex-Works, UK Office , Part Number:3155002-032 D</t>
  </si>
  <si>
    <t xml:space="preserve">109857</t>
  </si>
  <si>
    <t xml:space="preserve">109858</t>
  </si>
  <si>
    <t xml:space="preserve">109859</t>
  </si>
  <si>
    <t xml:space="preserve">109860</t>
  </si>
  <si>
    <t xml:space="preserve">Sold Ex-Works, UK Office , Part Number:5002-000 K</t>
  </si>
  <si>
    <t xml:space="preserve">109861</t>
  </si>
  <si>
    <t xml:space="preserve">Sold Ex-Works, UK Office , Part Number:5002-021 C</t>
  </si>
  <si>
    <t xml:space="preserve">109862</t>
  </si>
  <si>
    <t xml:space="preserve">Sold Ex-Works, UK Office , Part Number:3155082-000 J</t>
  </si>
  <si>
    <t xml:space="preserve">109863</t>
  </si>
  <si>
    <t xml:space="preserve">Sold Ex-Works, UK Office , Part Number:3155082-002 H</t>
  </si>
  <si>
    <t xml:space="preserve">109864</t>
  </si>
  <si>
    <t xml:space="preserve">Sold Ex-Works, UK Office , Part Number:3155082-200 F</t>
  </si>
  <si>
    <t xml:space="preserve">109865</t>
  </si>
  <si>
    <t xml:space="preserve">Sold Ex-Works, UK Office , Part Number:3155082-212 A</t>
  </si>
  <si>
    <t xml:space="preserve">109866</t>
  </si>
  <si>
    <t xml:space="preserve">109867</t>
  </si>
  <si>
    <t xml:space="preserve">Sold Ex-Works, UK Office , Part Number:3155082-220</t>
  </si>
  <si>
    <t xml:space="preserve">109868</t>
  </si>
  <si>
    <t xml:space="preserve">Sold Ex-Works, UK Office , Part Number:3155082-231 A</t>
  </si>
  <si>
    <t xml:space="preserve">109869</t>
  </si>
  <si>
    <t xml:space="preserve">Sold Ex-Works, UK Office , Part Number:3155082-331 D</t>
  </si>
  <si>
    <t xml:space="preserve">109870</t>
  </si>
  <si>
    <t xml:space="preserve">109871</t>
  </si>
  <si>
    <t xml:space="preserve">109872</t>
  </si>
  <si>
    <t xml:space="preserve">109873</t>
  </si>
  <si>
    <t xml:space="preserve">109874</t>
  </si>
  <si>
    <t xml:space="preserve">RFX II 1250</t>
  </si>
  <si>
    <t xml:space="preserve">Sold Ex-Works, UK Office , Part Number:5035-000 K</t>
  </si>
  <si>
    <t xml:space="preserve">109875</t>
  </si>
  <si>
    <t xml:space="preserve">Sold Ex-Works, UK Office , Part Number:3155047-000 B</t>
  </si>
  <si>
    <t xml:space="preserve">109876</t>
  </si>
  <si>
    <t xml:space="preserve">Sold Ex-Works, UK Office , Part Number:3155047-000 D</t>
  </si>
  <si>
    <t xml:space="preserve">109877</t>
  </si>
  <si>
    <t xml:space="preserve">109878</t>
  </si>
  <si>
    <t xml:space="preserve">Sold Ex-Works, UK Office , Part Number:3155047-005 C</t>
  </si>
  <si>
    <t xml:space="preserve">109879</t>
  </si>
  <si>
    <t xml:space="preserve">109880</t>
  </si>
  <si>
    <t xml:space="preserve">RFX II Controller</t>
  </si>
  <si>
    <t xml:space="preserve">Sold Ex-Works, UK Office , Part Number:3155043-001A</t>
  </si>
  <si>
    <t xml:space="preserve">109881</t>
  </si>
  <si>
    <t xml:space="preserve">Sparc-le 20</t>
  </si>
  <si>
    <t xml:space="preserve">Power Supply</t>
  </si>
  <si>
    <t xml:space="preserve">Sold Ex-Works, UK Office , Part Number:3152244-000B</t>
  </si>
  <si>
    <t xml:space="preserve">109882</t>
  </si>
  <si>
    <t xml:space="preserve">Sparc-le V</t>
  </si>
  <si>
    <t xml:space="preserve">Sold Ex-Works, UK Office , Part Number:3152330-003 B</t>
  </si>
  <si>
    <t xml:space="preserve">109883</t>
  </si>
  <si>
    <t xml:space="preserve">Sparc-le V </t>
  </si>
  <si>
    <t xml:space="preserve">Sold Ex-Works, UK Office , Part Number:3152330-203 E</t>
  </si>
  <si>
    <t xml:space="preserve">109884</t>
  </si>
  <si>
    <t xml:space="preserve">Sparc-le-V </t>
  </si>
  <si>
    <t xml:space="preserve">109885</t>
  </si>
  <si>
    <t xml:space="preserve">TCM Controller</t>
  </si>
  <si>
    <t xml:space="preserve">Sold Ex-Works, UK Office , Part Number:3155039-002 A , Secondary 
P/N:2106614-00</t>
  </si>
  <si>
    <t xml:space="preserve">109630</t>
  </si>
  <si>
    <t xml:space="preserve">AM-20</t>
  </si>
  <si>
    <t xml:space="preserve">Match</t>
  </si>
  <si>
    <t xml:space="preserve">Sold Ex-Works, UK Office , Part Number:3150171-000</t>
  </si>
  <si>
    <t xml:space="preserve">109886</t>
  </si>
  <si>
    <t xml:space="preserve">Verteq</t>
  </si>
  <si>
    <t xml:space="preserve">Sold Ex-Works, UK Office , Part Number:3156023-000 C , Secondary 
P/N:ST800-CC50-M2-QTZ</t>
  </si>
  <si>
    <t xml:space="preserve">109631</t>
  </si>
  <si>
    <t xml:space="preserve">AMNPS-2A Controller</t>
  </si>
  <si>
    <t xml:space="preserve">Sold Ex-Works, UK Office , Part Number:3150302-000 A</t>
  </si>
  <si>
    <t xml:space="preserve">109887</t>
  </si>
  <si>
    <t xml:space="preserve">109632</t>
  </si>
  <si>
    <t xml:space="preserve">109888</t>
  </si>
  <si>
    <t xml:space="preserve">109633</t>
  </si>
  <si>
    <t xml:space="preserve">Analog Control Fixture</t>
  </si>
  <si>
    <t xml:space="preserve">Sold Ex-Works, UK Office , Part Number:3155061-001 A</t>
  </si>
  <si>
    <t xml:space="preserve">109889</t>
  </si>
  <si>
    <t xml:space="preserve">VHF2060</t>
  </si>
  <si>
    <t xml:space="preserve">109634</t>
  </si>
  <si>
    <t xml:space="preserve">109890</t>
  </si>
  <si>
    <t xml:space="preserve">109635</t>
  </si>
  <si>
    <t xml:space="preserve">109891</t>
  </si>
  <si>
    <t xml:space="preserve">Sold Ex-Works, UK Office , Part Number:3150852-004</t>
  </si>
  <si>
    <t xml:space="preserve">109636</t>
  </si>
  <si>
    <t xml:space="preserve">109892</t>
  </si>
  <si>
    <t xml:space="preserve">VM 1000 A</t>
  </si>
  <si>
    <t xml:space="preserve">Sold Ex-Works, UK Office , Part Number:69000114</t>
  </si>
  <si>
    <t xml:space="preserve">109637</t>
  </si>
  <si>
    <t xml:space="preserve">Apex 1513</t>
  </si>
  <si>
    <t xml:space="preserve">Sold Ex-Works, UK Office , Part Number:3156111-003 D</t>
  </si>
  <si>
    <t xml:space="preserve">109893</t>
  </si>
  <si>
    <t xml:space="preserve">Z Scan</t>
  </si>
  <si>
    <t xml:space="preserve">109638</t>
  </si>
  <si>
    <t xml:space="preserve">Sold Ex-Works, UK Office , Part Number:3156111-004 C</t>
  </si>
  <si>
    <t xml:space="preserve">109639</t>
  </si>
  <si>
    <t xml:space="preserve">Sold Ex-Works, UK Office , Part Number:A3B2A000BA150D011A</t>
  </si>
  <si>
    <t xml:space="preserve">109640</t>
  </si>
  <si>
    <t xml:space="preserve">Sold Ex-Works, UK Office , Part Number:A3L5L000BA140D111A</t>
  </si>
  <si>
    <t xml:space="preserve">109641</t>
  </si>
  <si>
    <t xml:space="preserve">Apex 3013</t>
  </si>
  <si>
    <t xml:space="preserve">Sold Ex-Works, UK Office , Part Number:3156113-007 , Secondary 
P/N:27-278933-00</t>
  </si>
  <si>
    <t xml:space="preserve">109642</t>
  </si>
  <si>
    <t xml:space="preserve">109643</t>
  </si>
  <si>
    <t xml:space="preserve">Apex 5513</t>
  </si>
  <si>
    <t xml:space="preserve">Sold Ex-Works, UK Office , Part Number:3156116-203 A</t>
  </si>
  <si>
    <t xml:space="preserve">109644</t>
  </si>
  <si>
    <t xml:space="preserve">Aspect 2513</t>
  </si>
  <si>
    <t xml:space="preserve">Sold Ex-Works, UK Office , Part Number:Aspect 2513</t>
  </si>
  <si>
    <t xml:space="preserve">109645</t>
  </si>
  <si>
    <t xml:space="preserve">109646</t>
  </si>
  <si>
    <t xml:space="preserve">Aspect 5013</t>
  </si>
  <si>
    <t xml:space="preserve">109647</t>
  </si>
  <si>
    <t xml:space="preserve">ATN Match</t>
  </si>
  <si>
    <t xml:space="preserve">Sold Ex-Works, UK Office , Part Number:5026-001 B</t>
  </si>
  <si>
    <t xml:space="preserve">109648</t>
  </si>
  <si>
    <t xml:space="preserve">ATX 600</t>
  </si>
  <si>
    <t xml:space="preserve">Sold Ex-Works, UK Office , Part Number:3155017-000 L</t>
  </si>
  <si>
    <t xml:space="preserve">109649</t>
  </si>
  <si>
    <t xml:space="preserve">Sold Ex-Works, UK Office , Part Number:3155017-014 F</t>
  </si>
  <si>
    <t xml:space="preserve">109650</t>
  </si>
  <si>
    <t xml:space="preserve">109651</t>
  </si>
  <si>
    <t xml:space="preserve">109652</t>
  </si>
  <si>
    <t xml:space="preserve">ATX 600 Controller</t>
  </si>
  <si>
    <t xml:space="preserve">Sold Ex-Works, UK Office , Part Number:3155022-000 E</t>
  </si>
  <si>
    <t xml:space="preserve">109653</t>
  </si>
  <si>
    <t xml:space="preserve">AZX 10</t>
  </si>
  <si>
    <t xml:space="preserve">Sold Ex-Works, UK Office , Part Number:3155036-000 E</t>
  </si>
  <si>
    <t xml:space="preserve">109654</t>
  </si>
  <si>
    <t xml:space="preserve">109655</t>
  </si>
  <si>
    <t xml:space="preserve">Sold Ex-Works, UK Office , Part Number:3155036-006 A</t>
  </si>
  <si>
    <t xml:space="preserve">109656</t>
  </si>
  <si>
    <t xml:space="preserve">AZX 10 Controller</t>
  </si>
  <si>
    <t xml:space="preserve">Sold Ex-Works, UK Office , Part Number:3155050-000</t>
  </si>
  <si>
    <t xml:space="preserve">109657</t>
  </si>
  <si>
    <t xml:space="preserve">AZX 63 Bias</t>
  </si>
  <si>
    <t xml:space="preserve">Sold Ex-Works, UK Office , Part Number:3155031-000 G</t>
  </si>
  <si>
    <t xml:space="preserve">109658</t>
  </si>
  <si>
    <t xml:space="preserve">Sold Ex-Works, UK Office , Part Number:3155031-014 D</t>
  </si>
  <si>
    <t xml:space="preserve">109659</t>
  </si>
  <si>
    <t xml:space="preserve">Sold Ex-Works, UK Office , Part Number:1345193 D</t>
  </si>
  <si>
    <t xml:space="preserve">109660</t>
  </si>
  <si>
    <t xml:space="preserve">109661</t>
  </si>
  <si>
    <t xml:space="preserve">AZX Box Module</t>
  </si>
  <si>
    <t xml:space="preserve">Sold Ex-Works, UK Office , Part Number:3155037-000 C</t>
  </si>
  <si>
    <t xml:space="preserve">109662</t>
  </si>
  <si>
    <t xml:space="preserve">AZX Controller</t>
  </si>
  <si>
    <t xml:space="preserve">Sold Ex-Works, UK Office , Part Number:3155039-001 A</t>
  </si>
  <si>
    <t xml:space="preserve">109663</t>
  </si>
  <si>
    <t xml:space="preserve">109664</t>
  </si>
  <si>
    <t xml:space="preserve">Sold Ex-Works, UK Office , Part Number:3155050-000 C</t>
  </si>
  <si>
    <t xml:space="preserve">109665</t>
  </si>
  <si>
    <t xml:space="preserve">Sold Ex-Works, UK Office , Part Number:3155050-003 A</t>
  </si>
  <si>
    <t xml:space="preserve">109666</t>
  </si>
  <si>
    <t xml:space="preserve">Cesar </t>
  </si>
  <si>
    <t xml:space="preserve">Sold Ex-Works, UK Office , Part Number:61300057</t>
  </si>
  <si>
    <t xml:space="preserve">109667</t>
  </si>
  <si>
    <t xml:space="preserve">Cesar 0230</t>
  </si>
  <si>
    <t xml:space="preserve">Sold Ex-Works, UK Office , Part Number:60200061</t>
  </si>
  <si>
    <t xml:space="preserve">109668</t>
  </si>
  <si>
    <t xml:space="preserve">Cesar 1310</t>
  </si>
  <si>
    <t xml:space="preserve">Sold Ex-Works, UK Office , Part Number:61300050</t>
  </si>
  <si>
    <t xml:space="preserve">109669</t>
  </si>
  <si>
    <t xml:space="preserve">109670</t>
  </si>
  <si>
    <t xml:space="preserve">109671</t>
  </si>
  <si>
    <t xml:space="preserve">Cesar 136</t>
  </si>
  <si>
    <t xml:space="preserve">Sold Ex-Works, UK Office , Part Number:61300048</t>
  </si>
  <si>
    <t xml:space="preserve">109672</t>
  </si>
  <si>
    <t xml:space="preserve">109673</t>
  </si>
  <si>
    <t xml:space="preserve">Cesar 2710</t>
  </si>
  <si>
    <t xml:space="preserve">Sold Ex-Works, UK Office , Part Number:61400022</t>
  </si>
  <si>
    <t xml:space="preserve">109674</t>
  </si>
  <si>
    <t xml:space="preserve">Cesar 2720</t>
  </si>
  <si>
    <t xml:space="preserve">Sold Ex-Works, UK Office , Part Number:61400034</t>
  </si>
  <si>
    <t xml:space="preserve">109675</t>
  </si>
  <si>
    <t xml:space="preserve">109676</t>
  </si>
  <si>
    <t xml:space="preserve">109677</t>
  </si>
  <si>
    <t xml:space="preserve">Controller</t>
  </si>
  <si>
    <t xml:space="preserve">Sold Ex-Works, UK Office , Part Number:3150301-000</t>
  </si>
  <si>
    <t xml:space="preserve">109678</t>
  </si>
  <si>
    <t xml:space="preserve">Counter/Display</t>
  </si>
  <si>
    <t xml:space="preserve">Sold Ex-Works, UK Office , Part Number:3152328-000 B</t>
  </si>
  <si>
    <t xml:space="preserve">109679</t>
  </si>
  <si>
    <t xml:space="preserve">Dome Match</t>
  </si>
  <si>
    <t xml:space="preserve">Sold Ex-Works, UK Office , Part Number:3155086-102 , Secondary 
P/N:1110-01063W</t>
  </si>
  <si>
    <t xml:space="preserve">109680</t>
  </si>
  <si>
    <t xml:space="preserve">Sold Ex-Works, UK Office , Part Number:3155086-102 , Secondary 
P/N:1110-0106-102</t>
  </si>
  <si>
    <t xml:space="preserve">109681</t>
  </si>
  <si>
    <t xml:space="preserve">Dome Match </t>
  </si>
  <si>
    <t xml:space="preserve">Sold Ex-Works, UK Office , Part Number:3155086-604 , Secondary 
P/N:1110-00157</t>
  </si>
  <si>
    <t xml:space="preserve">109682</t>
  </si>
  <si>
    <t xml:space="preserve">109683</t>
  </si>
  <si>
    <t xml:space="preserve">Fixed Match</t>
  </si>
  <si>
    <t xml:space="preserve">Sold Ex-Works, UK Office , Part Number:EX1 / FP2241R1</t>
  </si>
  <si>
    <t xml:space="preserve">109684</t>
  </si>
  <si>
    <t xml:space="preserve">Sold Ex-Works, UK Office , Part Number:WATER COOLED 3155077-001A, Secondary 
P/N:20-J28</t>
  </si>
  <si>
    <t xml:space="preserve">109685</t>
  </si>
  <si>
    <t xml:space="preserve">Gencal Power Meter</t>
  </si>
  <si>
    <t xml:space="preserve">Sold Ex-Works, UK Office , Part Number:3152288-000 D</t>
  </si>
  <si>
    <t xml:space="preserve">109686</t>
  </si>
  <si>
    <t xml:space="preserve">Sold Ex-Works, UK Office , Part Number:3152288-000 E</t>
  </si>
  <si>
    <t xml:space="preserve">109687</t>
  </si>
  <si>
    <t xml:space="preserve">109688</t>
  </si>
  <si>
    <t xml:space="preserve">109689</t>
  </si>
  <si>
    <t xml:space="preserve">109690</t>
  </si>
  <si>
    <t xml:space="preserve">Sold Ex-Works, UK Office , Part Number:3152288-001 B</t>
  </si>
  <si>
    <t xml:space="preserve">109691</t>
  </si>
  <si>
    <t xml:space="preserve">GenCal Power Sensor</t>
  </si>
  <si>
    <t xml:space="preserve">109692</t>
  </si>
  <si>
    <t xml:space="preserve">109693</t>
  </si>
  <si>
    <t xml:space="preserve">Sold Ex-Works, UK Office , Part Number:3152289-000 C</t>
  </si>
  <si>
    <t xml:space="preserve">109694</t>
  </si>
  <si>
    <t xml:space="preserve">HFG 5000</t>
  </si>
  <si>
    <t xml:space="preserve">Sold Ex-Works, UK Office , Part Number:3155095-001 A</t>
  </si>
  <si>
    <t xml:space="preserve">109695</t>
  </si>
  <si>
    <t xml:space="preserve">HFV 8000</t>
  </si>
  <si>
    <t xml:space="preserve">Sold Ex-Works, UK Office , Part Number:3155083-180 A</t>
  </si>
  <si>
    <t xml:space="preserve">109696</t>
  </si>
  <si>
    <t xml:space="preserve">Sold Ex-Works, UK Office , Part Number:3155083-192 A</t>
  </si>
  <si>
    <t xml:space="preserve">109697</t>
  </si>
  <si>
    <t xml:space="preserve">Sold Ex-Works, UK Office , Part Number:3155083-192 A , Secondary 
P/N:0190-15553-002</t>
  </si>
  <si>
    <t xml:space="preserve">109698</t>
  </si>
  <si>
    <t xml:space="preserve">109699</t>
  </si>
  <si>
    <t xml:space="preserve">Sold Ex-Works, UK Office , Part Number:61300025</t>
  </si>
  <si>
    <t xml:space="preserve">109700</t>
  </si>
  <si>
    <t xml:space="preserve">109701</t>
  </si>
  <si>
    <t xml:space="preserve">109702</t>
  </si>
  <si>
    <t xml:space="preserve">109703</t>
  </si>
  <si>
    <t xml:space="preserve">109704</t>
  </si>
  <si>
    <t xml:space="preserve">Sold Ex-Works, UK Office , Part Number:61300027L</t>
  </si>
  <si>
    <t xml:space="preserve">109705</t>
  </si>
  <si>
    <t xml:space="preserve">ION Source Supply</t>
  </si>
  <si>
    <t xml:space="preserve">Sold Ex-Works, UK Office , Part Number:1101001 D</t>
  </si>
  <si>
    <t xml:space="preserve">109706</t>
  </si>
  <si>
    <t xml:space="preserve">Sold Ex-Works, UK Office , Part Number:3150011-000</t>
  </si>
  <si>
    <t xml:space="preserve">109707</t>
  </si>
  <si>
    <t xml:space="preserve">109708</t>
  </si>
  <si>
    <t xml:space="preserve">109709</t>
  </si>
  <si>
    <t xml:space="preserve">Sold Ex-Works, UK Office , Part Number:3150011-002</t>
  </si>
  <si>
    <t xml:space="preserve">109710</t>
  </si>
  <si>
    <t xml:space="preserve">Sold Ex-Works, UK Office , Part Number:3150012-000</t>
  </si>
  <si>
    <t xml:space="preserve">109711</t>
  </si>
  <si>
    <t xml:space="preserve">MDX 1.5</t>
  </si>
  <si>
    <t xml:space="preserve">Sold Ex-Works, UK Office , Part Number:3152240-007 C</t>
  </si>
  <si>
    <t xml:space="preserve">109712</t>
  </si>
  <si>
    <t xml:space="preserve">MDX 1.5K</t>
  </si>
  <si>
    <t xml:space="preserve">Sold Ex-Works, UK Office , Part Number:2164-000-A</t>
  </si>
  <si>
    <t xml:space="preserve">109713</t>
  </si>
  <si>
    <t xml:space="preserve">MDX 1.5K </t>
  </si>
  <si>
    <t xml:space="preserve">Sold Ex-Works, UK Office , Part Number:3152164-009 E</t>
  </si>
  <si>
    <t xml:space="preserve">109714</t>
  </si>
  <si>
    <t xml:space="preserve">MDX 10K</t>
  </si>
  <si>
    <t xml:space="preserve">109715</t>
  </si>
  <si>
    <t xml:space="preserve">MDX 20K Master</t>
  </si>
  <si>
    <t xml:space="preserve">Sold Ex-Works, UK Office , Part Number:3152223-032 B</t>
  </si>
  <si>
    <t xml:space="preserve">109716</t>
  </si>
  <si>
    <t xml:space="preserve">Sold Ex-Works, UK Office , Part Number:3152223-041 B</t>
  </si>
  <si>
    <t xml:space="preserve">109717</t>
  </si>
  <si>
    <t xml:space="preserve">109718</t>
  </si>
  <si>
    <t xml:space="preserve">Sold Ex-Works, UK Office , Part Number:3152223-044 A</t>
  </si>
  <si>
    <t xml:space="preserve">109719</t>
  </si>
  <si>
    <t xml:space="preserve">MDX Controller</t>
  </si>
  <si>
    <t xml:space="preserve">Sold Ex-Works, UK Office , Part Number:3152334-000 B</t>
  </si>
  <si>
    <t xml:space="preserve">109720</t>
  </si>
  <si>
    <t xml:space="preserve">MDX DELTA SLAVE </t>
  </si>
  <si>
    <t xml:space="preserve">Sold Ex-Works, UK Office , Part Number:3152194-008 Y</t>
  </si>
  <si>
    <t xml:space="preserve">109721</t>
  </si>
  <si>
    <t xml:space="preserve">MDX II Calibration Box</t>
  </si>
  <si>
    <t xml:space="preserve">Sold Ex-Works, UK Office , Part Number:2285 000 A</t>
  </si>
  <si>
    <t xml:space="preserve">109722</t>
  </si>
  <si>
    <t xml:space="preserve">MDX Magnetron</t>
  </si>
  <si>
    <t xml:space="preserve">Sold Ex-Works, UK Office , Part Number:3152011-011 C</t>
  </si>
  <si>
    <t xml:space="preserve">109723</t>
  </si>
  <si>
    <t xml:space="preserve">MDX Magnetron Drive</t>
  </si>
  <si>
    <t xml:space="preserve">Sold Ex-Works, UK Office , Part Number:3152194-016 W</t>
  </si>
  <si>
    <t xml:space="preserve">109724</t>
  </si>
  <si>
    <t xml:space="preserve">MDX Master</t>
  </si>
  <si>
    <t xml:space="preserve">Sold Ex-Works, UK Office , Part Number:2194-013 W</t>
  </si>
  <si>
    <t xml:space="preserve">109725</t>
  </si>
  <si>
    <t xml:space="preserve">MDX Slave</t>
  </si>
  <si>
    <t xml:space="preserve">Sold Ex-Works, UK Office , Part Number:2169-005-01</t>
  </si>
  <si>
    <t xml:space="preserve">109726</t>
  </si>
  <si>
    <t xml:space="preserve">MDX-10K Master</t>
  </si>
  <si>
    <t xml:space="preserve">109727</t>
  </si>
  <si>
    <t xml:space="preserve">Sold Ex-Works, UK Office , Part Number:2223-032 B</t>
  </si>
  <si>
    <t xml:space="preserve">109728</t>
  </si>
  <si>
    <t xml:space="preserve">MDX-10K Slave</t>
  </si>
  <si>
    <t xml:space="preserve">Sold Ex-Works, UK Office , Part Number:3152012–137 B</t>
  </si>
  <si>
    <t xml:space="preserve">109729</t>
  </si>
  <si>
    <t xml:space="preserve">MDX-20K Slave</t>
  </si>
  <si>
    <t xml:space="preserve">Sold Ex-Works, UK Office , Part Number:3152012-101 C</t>
  </si>
  <si>
    <t xml:space="preserve">109730</t>
  </si>
  <si>
    <t xml:space="preserve">109731</t>
  </si>
  <si>
    <t xml:space="preserve">109732</t>
  </si>
  <si>
    <t xml:space="preserve">Sold Ex-Works, UK Office , Part Number:3152012-114 B</t>
  </si>
  <si>
    <t xml:space="preserve">109733</t>
  </si>
  <si>
    <t xml:space="preserve">MDX-5K</t>
  </si>
  <si>
    <t xml:space="preserve">Sold Ex-Works, UK Office , Part Number:2011-029 C</t>
  </si>
  <si>
    <t xml:space="preserve">109734</t>
  </si>
  <si>
    <t xml:space="preserve">Sold Ex-Works, UK Office , Part Number:2011-029 G</t>
  </si>
  <si>
    <t xml:space="preserve">109735</t>
  </si>
  <si>
    <t xml:space="preserve">Sold Ex-Works, UK Office , Part Number:3152011-029 Y</t>
  </si>
  <si>
    <t xml:space="preserve">109736</t>
  </si>
  <si>
    <t xml:space="preserve">MDX-L Diagnostic Controller</t>
  </si>
  <si>
    <t xml:space="preserve">Sold Ex-Works, UK Office , Part Number:3152292-000 B</t>
  </si>
  <si>
    <t xml:space="preserve">109737</t>
  </si>
  <si>
    <t xml:space="preserve">109738</t>
  </si>
  <si>
    <t xml:space="preserve">109739</t>
  </si>
  <si>
    <t xml:space="preserve">Mercury 10013</t>
  </si>
  <si>
    <t xml:space="preserve">Sold Ex-Works, UK Office , Part Number:3150273-004 , Secondary 
P/N:27-256558-00</t>
  </si>
  <si>
    <t xml:space="preserve">109740</t>
  </si>
  <si>
    <t xml:space="preserve">Sold Ex-Works, UK Office , Part Number:3150273-004 , Secondary 
P/N:R27-256558-00</t>
  </si>
  <si>
    <t xml:space="preserve">109741</t>
  </si>
  <si>
    <t xml:space="preserve">Sold Ex-Works, UK Office , Part Number:3150273-004 B , Secondary 
P/N:27-256558-00</t>
  </si>
  <si>
    <t xml:space="preserve">109742</t>
  </si>
  <si>
    <t xml:space="preserve">Sold Ex-Works, UK Office , Part Number:3150273-005 A , Secondary 
P/N:27-256558-00</t>
  </si>
  <si>
    <t xml:space="preserve">109743</t>
  </si>
  <si>
    <t xml:space="preserve">Mercury d2</t>
  </si>
  <si>
    <t xml:space="preserve">Sold Ex-Works, UK Office , Part Number:3150272-006 , Secondary 
P/N:R1912078700</t>
  </si>
  <si>
    <t xml:space="preserve">109744</t>
  </si>
  <si>
    <t xml:space="preserve">Mini-Panel</t>
  </si>
  <si>
    <t xml:space="preserve">Sold Ex-Works, UK Office , Part Number:31522327-100 A</t>
  </si>
  <si>
    <t xml:space="preserve">109745</t>
  </si>
  <si>
    <t xml:space="preserve">109746</t>
  </si>
  <si>
    <t xml:space="preserve">Navigator </t>
  </si>
  <si>
    <t xml:space="preserve">Sold Ex-Works, UK Office , Part Number:3155162-002C</t>
  </si>
  <si>
    <t xml:space="preserve">109747</t>
  </si>
  <si>
    <t xml:space="preserve">Navigator 10013-L80</t>
  </si>
  <si>
    <t xml:space="preserve">Sold Ex-Works, UK Office , Part Number:3155162-002 E , Secondary 
P/N:27-279938-00</t>
  </si>
  <si>
    <t xml:space="preserve">109748</t>
  </si>
  <si>
    <t xml:space="preserve">Navigator Match</t>
  </si>
  <si>
    <t xml:space="preserve">Sold Ex-Works, UK Office , Part Number:3155162-002 F , Secondary 
P/N:27-279938-00</t>
  </si>
  <si>
    <t xml:space="preserve">109749</t>
  </si>
  <si>
    <t xml:space="preserve">Sold Ex-Works, UK Office , Part Number:3155162-037 B , Secondary 
P/N:27-368450-00</t>
  </si>
  <si>
    <t xml:space="preserve">109750</t>
  </si>
  <si>
    <t xml:space="preserve">Ovation 2060</t>
  </si>
  <si>
    <t xml:space="preserve">Sold Ex-Works, UK Office , Part Number:3150852-005</t>
  </si>
  <si>
    <t xml:space="preserve">109751</t>
  </si>
  <si>
    <t xml:space="preserve">Ovation 2760</t>
  </si>
  <si>
    <t xml:space="preserve">Sold Ex-Works, UK Office , Part Number:3150292-007 F , Secondary 
P/N:0190-17779-004</t>
  </si>
  <si>
    <t xml:space="preserve">109752</t>
  </si>
  <si>
    <t xml:space="preserve">Ovation 35162</t>
  </si>
  <si>
    <t xml:space="preserve">Sold Ex-Works, UK Office , Part Number:3150861-002 D , Secondary 
P/N:0190-27049-003</t>
  </si>
  <si>
    <t xml:space="preserve">109753</t>
  </si>
  <si>
    <t xml:space="preserve">109754</t>
  </si>
  <si>
    <t xml:space="preserve">109755</t>
  </si>
  <si>
    <t xml:space="preserve">Paramount 3013</t>
  </si>
  <si>
    <t xml:space="preserve">Sold Ex-Works, UK Office , Part Number:3156330-000 A</t>
  </si>
  <si>
    <t xml:space="preserve">109756</t>
  </si>
  <si>
    <t xml:space="preserve">Sold Ex-Works, UK Office , Part Number:3156330-025 B</t>
  </si>
  <si>
    <t xml:space="preserve">109757</t>
  </si>
  <si>
    <t xml:space="preserve">PDW 2200</t>
  </si>
  <si>
    <t xml:space="preserve">Sold Ex-Works, UK Office , Part Number:3156011-002 A , Secondary 
P/N:853-015516-004</t>
  </si>
  <si>
    <t xml:space="preserve">109758</t>
  </si>
  <si>
    <t xml:space="preserve">PDW 600</t>
  </si>
  <si>
    <t xml:space="preserve">Sold Ex-Works, UK Office , Part Number:3156014-000 B , Secondary 
P/N:853-015516-003</t>
  </si>
  <si>
    <t xml:space="preserve">109759</t>
  </si>
  <si>
    <t xml:space="preserve">Sold Ex-Works, UK Office , Part Number:6014-000 B</t>
  </si>
  <si>
    <t xml:space="preserve">109760</t>
  </si>
  <si>
    <t xml:space="preserve">PDW Controller</t>
  </si>
  <si>
    <t xml:space="preserve">Sold Ex-Works, UK Office , Part Number:6029-000-A</t>
  </si>
  <si>
    <t xml:space="preserve">109761</t>
  </si>
  <si>
    <t xml:space="preserve">109762</t>
  </si>
  <si>
    <t xml:space="preserve">Sold Ex-Works, UK Office , Part Number:6029-000-B</t>
  </si>
  <si>
    <t xml:space="preserve">109763</t>
  </si>
  <si>
    <t xml:space="preserve">Sold Ex-Works, UK Office , Part Number:3156012-201 B , Secondary 
P/N:27-155909-00</t>
  </si>
  <si>
    <t xml:space="preserve">109764</t>
  </si>
  <si>
    <t xml:space="preserve">109765</t>
  </si>
  <si>
    <t xml:space="preserve">Sold Ex-Works, UK Office , Part Number:3156012-201 C , Secondary 
P/N:27-293721-00</t>
  </si>
  <si>
    <t xml:space="preserve">109766</t>
  </si>
  <si>
    <t xml:space="preserve">109767</t>
  </si>
  <si>
    <t xml:space="preserve">109768</t>
  </si>
  <si>
    <t xml:space="preserve">Sold Ex-Works, UK Office , Part Number:3156012-201 C , Secondary 
P/N:27-155909-00</t>
  </si>
  <si>
    <t xml:space="preserve">109769</t>
  </si>
  <si>
    <t xml:space="preserve">Sold Ex-Works, UK Office , Part Number:3156012-201 D , Secondary 
P/N:27-293721-00</t>
  </si>
  <si>
    <t xml:space="preserve">109770</t>
  </si>
  <si>
    <t xml:space="preserve">109771</t>
  </si>
  <si>
    <t xml:space="preserve">109772</t>
  </si>
  <si>
    <t xml:space="preserve">PDX II PLASMA DRIVE 2000</t>
  </si>
  <si>
    <t xml:space="preserve">Sold Ex-Works, UK Office , Part Number:3150310-100 A , Secondary 
P/N:660-078400-002</t>
  </si>
  <si>
    <t xml:space="preserve">109773</t>
  </si>
  <si>
    <t xml:space="preserve">Sold Ex-Works, UK Office , Part Number:PE 1000</t>
  </si>
  <si>
    <t xml:space="preserve">109774</t>
  </si>
  <si>
    <t xml:space="preserve">PE-2500</t>
  </si>
  <si>
    <t xml:space="preserve">Sold Ex-Works, UK Office , Part Number:3157504-012</t>
  </si>
  <si>
    <t xml:space="preserve">109775</t>
  </si>
  <si>
    <t xml:space="preserve">109776</t>
  </si>
  <si>
    <t xml:space="preserve">109777</t>
  </si>
  <si>
    <t xml:space="preserve">Sold Ex-Works, UK Office , Part Number:3157504-012 F</t>
  </si>
  <si>
    <t xml:space="preserve">109778</t>
  </si>
  <si>
    <t xml:space="preserve">PEII 5K</t>
  </si>
  <si>
    <t xml:space="preserve">Sold Ex-Works, UK Office , Part Number:3157601-100 G</t>
  </si>
  <si>
    <t xml:space="preserve">109779</t>
  </si>
  <si>
    <t xml:space="preserve">Sold Ex-Works, UK Office , Part Number:3152414-122 J</t>
  </si>
  <si>
    <t xml:space="preserve">109780</t>
  </si>
  <si>
    <t xml:space="preserve">Sold Ex-Works, UK Office , Part Number:3152414-122 L</t>
  </si>
  <si>
    <t xml:space="preserve">109781</t>
  </si>
  <si>
    <t xml:space="preserve">Sold Ex-Works, UK Office , Part Number:3152414-122 M</t>
  </si>
  <si>
    <t xml:space="preserve">109782</t>
  </si>
  <si>
    <t xml:space="preserve">Sold Ex-Works, UK Office , Part Number:3152414-122 Q</t>
  </si>
  <si>
    <t xml:space="preserve">109783</t>
  </si>
  <si>
    <t xml:space="preserve">Sold Ex-Works, UK Office , Part Number:3152414-145 C</t>
  </si>
  <si>
    <t xml:space="preserve">109784</t>
  </si>
  <si>
    <t xml:space="preserve">Pinnacle 10K</t>
  </si>
  <si>
    <t xml:space="preserve">Sold Ex-Works, UK Office , Part Number:3152414-145 E</t>
  </si>
  <si>
    <t xml:space="preserve">109785</t>
  </si>
  <si>
    <t xml:space="preserve">109786</t>
  </si>
  <si>
    <t xml:space="preserve">109787</t>
  </si>
  <si>
    <t xml:space="preserve">109788</t>
  </si>
  <si>
    <t xml:space="preserve">Sold Ex-Works, UK Office , Part Number:3152414-222 A</t>
  </si>
  <si>
    <t xml:space="preserve">109789</t>
  </si>
  <si>
    <t xml:space="preserve">109790</t>
  </si>
  <si>
    <t xml:space="preserve">109791</t>
  </si>
  <si>
    <t xml:space="preserve">Pinnacle 12k</t>
  </si>
  <si>
    <t xml:space="preserve">Sold Ex-Works, UK Office , Part Number:3152363-015 A</t>
  </si>
  <si>
    <t xml:space="preserve">109792</t>
  </si>
  <si>
    <t xml:space="preserve">109793</t>
  </si>
  <si>
    <t xml:space="preserve">Sold Ex-Works, UK Office , Part Number:3152363-031 C</t>
  </si>
  <si>
    <t xml:space="preserve">109794</t>
  </si>
  <si>
    <t xml:space="preserve">Pinnacle 15k</t>
  </si>
  <si>
    <t xml:space="preserve">Sold Ex-Works, UK Office , Part Number:3152353-120 B , Secondary 
P/N:B5181854DG</t>
  </si>
  <si>
    <t xml:space="preserve">109795</t>
  </si>
  <si>
    <t xml:space="preserve">Sold Ex-Works, UK Office , Part Number:3152353-120 B</t>
  </si>
  <si>
    <t xml:space="preserve">109796</t>
  </si>
  <si>
    <t xml:space="preserve">Pinnacle 20k</t>
  </si>
  <si>
    <t xml:space="preserve">Sold Ex-Works, UK Office , Part Number:3152391-205 A</t>
  </si>
  <si>
    <t xml:space="preserve">109797</t>
  </si>
  <si>
    <t xml:space="preserve">109798</t>
  </si>
  <si>
    <t xml:space="preserve">109799</t>
  </si>
  <si>
    <t xml:space="preserve">109800</t>
  </si>
  <si>
    <t xml:space="preserve">109801</t>
  </si>
  <si>
    <t xml:space="preserve">109802</t>
  </si>
  <si>
    <t xml:space="preserve">Pinnacle 6k</t>
  </si>
  <si>
    <t xml:space="preserve">Sold Ex-Works, UK Office , Part Number:3152326-100 A</t>
  </si>
  <si>
    <t xml:space="preserve">109803</t>
  </si>
  <si>
    <t xml:space="preserve">Sold Ex-Works, UK Office , Part Number:3152326-100 B</t>
  </si>
  <si>
    <t xml:space="preserve">109804</t>
  </si>
  <si>
    <t xml:space="preserve">109805</t>
  </si>
  <si>
    <t xml:space="preserve">109806</t>
  </si>
  <si>
    <t xml:space="preserve">Sold Ex-Works, UK Office , Part Number:3152338-001 B</t>
  </si>
  <si>
    <t xml:space="preserve">109807</t>
  </si>
  <si>
    <t xml:space="preserve">Sold Ex-Works, UK Office , Part Number:3152338-019 A</t>
  </si>
  <si>
    <t xml:space="preserve">109808</t>
  </si>
  <si>
    <t xml:space="preserve">Sold Ex-Works, UK Office , Part Number:3152411-219 A , Secondary 
P/N:0190-34931-000</t>
  </si>
  <si>
    <t xml:space="preserve">109809</t>
  </si>
  <si>
    <t xml:space="preserve">Sold Ex-Works, UK Office , Part Number:3152429-129 K</t>
  </si>
  <si>
    <t xml:space="preserve">109810</t>
  </si>
  <si>
    <t xml:space="preserve">Pinnacle Controller</t>
  </si>
  <si>
    <t xml:space="preserve">Sold Ex-Works, UK Office , Part Number:3152327-000</t>
  </si>
  <si>
    <t xml:space="preserve">109811</t>
  </si>
  <si>
    <t xml:space="preserve">Sold Ex-Works, UK Office , Part Number:3152327-000 B</t>
  </si>
  <si>
    <t xml:space="preserve">109812</t>
  </si>
  <si>
    <t xml:space="preserve">109813</t>
  </si>
  <si>
    <t xml:space="preserve">109814</t>
  </si>
  <si>
    <t xml:space="preserve">Sold Ex-Works, UK Office , Part Number:3152327-000 C</t>
  </si>
  <si>
    <t xml:space="preserve">109815</t>
  </si>
  <si>
    <t xml:space="preserve">109816</t>
  </si>
  <si>
    <t xml:space="preserve">Sold Ex-Works, UK Office , Part Number:3152388-003 A</t>
  </si>
  <si>
    <t xml:space="preserve">109817</t>
  </si>
  <si>
    <t xml:space="preserve">Pinnacle Dual 6k</t>
  </si>
  <si>
    <t xml:space="preserve">Sold Ex-Works, UK Office , Part Number:3152427-114 A</t>
  </si>
  <si>
    <t xml:space="preserve">109818</t>
  </si>
  <si>
    <t xml:space="preserve">Pinnacle Plus 10k</t>
  </si>
  <si>
    <t xml:space="preserve">Sold Ex-Works, UK Office , Part Number:3152436-359 E</t>
  </si>
  <si>
    <t xml:space="preserve">109819</t>
  </si>
  <si>
    <t xml:space="preserve">Sold Ex-Works, UK Office , Part Number:3152436-359 J</t>
  </si>
  <si>
    <t xml:space="preserve">109820</t>
  </si>
  <si>
    <t xml:space="preserve">Sold Ex-Works, UK Office , Part Number:3152436-359 L</t>
  </si>
  <si>
    <t xml:space="preserve">109821</t>
  </si>
  <si>
    <t xml:space="preserve">Sold Ex-Works, UK Office , Part Number:3152436-359 N</t>
  </si>
  <si>
    <t xml:space="preserve">109822</t>
  </si>
  <si>
    <t xml:space="preserve">Sold Ex-Works, UK Office , Part Number:3152437-355 A</t>
  </si>
  <si>
    <t xml:space="preserve">109823</t>
  </si>
  <si>
    <t xml:space="preserve">PMH 13/3000</t>
  </si>
  <si>
    <t xml:space="preserve">Sold Ex-Works, UK Office , Part Number:3152290-000 D , Secondary P/N:Power 
Sensor</t>
  </si>
  <si>
    <t xml:space="preserve">81826</t>
  </si>
  <si>
    <t xml:space="preserve">AEG</t>
  </si>
  <si>
    <t xml:space="preserve">2A 400-100 H</t>
  </si>
  <si>
    <t xml:space="preserve">Power Driver Controller 2A</t>
  </si>
  <si>
    <t xml:space="preserve">  Used, removed in working condition
 </t>
  </si>
  <si>
    <t xml:space="preserve">108795</t>
  </si>
  <si>
    <t xml:space="preserve">AET TECHNOLOGIES</t>
  </si>
  <si>
    <t xml:space="preserve">Four de Recuit Rapide </t>
  </si>
  <si>
    <t xml:space="preserve">RTP Tool</t>
  </si>
  <si>
    <t xml:space="preserve">Does not include computer, otherwise in excellent condition</t>
  </si>
  <si>
    <t xml:space="preserve">108720</t>
  </si>
  <si>
    <t xml:space="preserve">AG Associates </t>
  </si>
  <si>
    <t xml:space="preserve">Heatpulse 410</t>
  </si>
  <si>
    <t xml:space="preserve">Rapid Thermal Processor</t>
  </si>
  <si>
    <t xml:space="preserve">Single wafer process for up to 4" wafers, guaranteed fully functional at 
consignment
PC controller with pCat S/W</t>
  </si>
  <si>
    <t xml:space="preserve">108796</t>
  </si>
  <si>
    <t xml:space="preserve">AG ASSOCIATES</t>
  </si>
  <si>
    <t xml:space="preserve">Benchtop RTP Tool </t>
  </si>
  <si>
    <t xml:space="preserve">108555</t>
  </si>
  <si>
    <t xml:space="preserve">Agilent</t>
  </si>
  <si>
    <t xml:space="preserve">16702A</t>
  </si>
  <si>
    <t xml:space="preserve">LOGIC ANALISYS SYSYEM</t>
  </si>
  <si>
    <t xml:space="preserve">    * 5-slot modular system
    * Color touch screen display
    * 2 slots for emulation modules</t>
  </si>
  <si>
    <t xml:space="preserve">109894</t>
  </si>
  <si>
    <t xml:space="preserve">Multimeter</t>
  </si>
  <si>
    <t xml:space="preserve">Sold Ex-Works, UK Office , Part Number:34401A</t>
  </si>
  <si>
    <t xml:space="preserve">109895</t>
  </si>
  <si>
    <t xml:space="preserve">109896</t>
  </si>
  <si>
    <t xml:space="preserve">101035</t>
  </si>
  <si>
    <t xml:space="preserve">N8241A, ATO‐S4744, 008 062</t>
  </si>
  <si>
    <t xml:space="preserve">Arbitrary Waveform Generator</t>
  </si>
  <si>
    <t xml:space="preserve">Agilent N8241A arbitrary waveform generator with high resolution and high 
sampling rates. Each channel provides modulation bandwidth of 250 MHz at 
625 MS/s (option 062). No cables included.</t>
  </si>
  <si>
    <t xml:space="preserve">101036</t>
  </si>
  <si>
    <t xml:space="preserve">18870</t>
  </si>
  <si>
    <t xml:space="preserve">AGILENT</t>
  </si>
  <si>
    <t xml:space="preserve">03577-90212</t>
  </si>
  <si>
    <t xml:space="preserve">AGILENT 3571A network analyzer service manual</t>
  </si>
  <si>
    <t xml:space="preserve">53031</t>
  </si>
  <si>
    <t xml:space="preserve">Agilent / HP / Verigy</t>
  </si>
  <si>
    <t xml:space="preserve">GPIB IEEE488 Cable</t>
  </si>
  <si>
    <t xml:space="preserve">Data cable IEEE488</t>
  </si>
  <si>
    <t xml:space="preserve">108897</t>
  </si>
  <si>
    <t xml:space="preserve">Agilent / Verigy</t>
  </si>
  <si>
    <t xml:space="preserve">4073B</t>
  </si>
  <si>
    <t xml:space="preserve">PARAMETRIC TEST SYSTEM</t>
  </si>
  <si>
    <t xml:space="preserve">De-installed, warehoused. Can be inspected by appointment. Further details 
are available on request
48pin, SMU7[MPSMU(4), HPSMU(1), HRSMU(2)], Digital Multi Meter (3458A), 
Z600 W/S, Pulse Generator (81110A), Spectrum Analyzer(E4411B)</t>
  </si>
  <si>
    <t xml:space="preserve">108899</t>
  </si>
  <si>
    <t xml:space="preserve">4073A</t>
  </si>
  <si>
    <t xml:space="preserve">De-installed, warehoused. Can be inspected by appointment. Further details 
are available on request
Configuration: 32pin(of 32pins, 4pins fail), MPSMU*1pcs, Pulse/Pattern 
Generator(81110A), Digit Nano Volt /Micro Ohm Meter(34420A), Digital Multi 
Meter(3458A), W/S(HDD  missing)</t>
  </si>
  <si>
    <t xml:space="preserve">10544</t>
  </si>
  <si>
    <t xml:space="preserve">Agilent / Verigy / Keysight</t>
  </si>
  <si>
    <t xml:space="preserve">4261A</t>
  </si>
  <si>
    <t xml:space="preserve">LCR METER</t>
  </si>
  <si>
    <t xml:space="preserve">serial number 2830J10531 dimensions 47cm x 22cm x 15 cm Weight 6 kg
WAREHOUSED IN AVEZZANO 67051 iTALY
IN WORKING CONDITION</t>
  </si>
  <si>
    <t xml:space="preserve">76605</t>
  </si>
  <si>
    <t xml:space="preserve">41501B</t>
  </si>
  <si>
    <t xml:space="preserve">SMU and Pulse Generator Expander 2 units</t>
  </si>
  <si>
    <t xml:space="preserve">The Keysight 41501B SMU and Pulse Generator Expander unit is available to 
augment the measurement capabilities of the 4155C and 4156C. The 41501B 
plugs into the rear of the 4155C/4156C, and its additional measurement 
resources are automatically recognized by the 4155C/4156C during boot-up. 
These additional resources appear in the 4155C/4156C “Channels: Channel 
Definition” page and they are treated exactly the same as the measurement 
resources of the 4155C/4156C
Config: HPSMU: 1Unit
PGU: 2Unit
 Parameter analyzer
Comments: Serial Number JP10E00262
Vintage 2001
OEM Agilent Technologies
Model 41501B
Measuring and analyzing the characteristics of Process semiconductor 
devices. SYSTEM CONFIGURATION
HPSMU: 1Unit
PGU: 2Unit
Spec. Options
HPSMU (High Power SMU) two pulse generator units (PGUs) (Option)
one high power source monitor unit (HPSMU: 10 fA/ V to 1 A/200 V)
or two MPSMUs (Option).
one ground unit (GNDU)
Voltage 0 V to 200 V
Current  1 pA to 1 A
Compliance accuracy Same as current (voltage) set accuracy.
GNDU (Ground Unit)
PGU (Pulse Generator Unit)
Output voltage 0 V  100 V
Sink current maximum 1.6 A
Output terminal/connection
Single triaxial connector,
Kelvin (remote sensing)
Modes pulse or constant
Amplitude 0 Vpp to 40 Vpp
Window -40.0 V to +40.0 V
Maximum current  200 mA (width: d 1 ms, average current d 100 mA)
100 mA
Output impedance 50  and low impedance (d 1  )
Burst count range 1 to 65535
Trigger output Level: TTL
Timing: same timing and width as PGU1 pulse output.</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</si>
  <si>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</si>
  <si>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</si>
  <si>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</si>
  <si>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</si>
  <si>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</si>
  <si>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</si>
  <si>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</si>
  <si>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Crystal impedance LCR meter</t>
  </si>
  <si>
    <t xml:space="preserve">Agilent Part Number E4915-90030</t>
  </si>
  <si>
    <t xml:space="preserve">79588</t>
  </si>
  <si>
    <t xml:space="preserve">1671G</t>
  </si>
  <si>
    <t xml:space="preserve">Logic Analyzer</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</si>
  <si>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</si>
  <si>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</si>
  <si>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</si>
  <si>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109897</t>
  </si>
  <si>
    <t xml:space="preserve">AGL Inc</t>
  </si>
  <si>
    <t xml:space="preserve">Microwave Generator</t>
  </si>
  <si>
    <t xml:space="preserve">Sold Ex-Works, UK Office , Part Number:C12932-2</t>
  </si>
  <si>
    <t xml:space="preserve">80267</t>
  </si>
  <si>
    <t xml:space="preserve">Air Products</t>
  </si>
  <si>
    <t xml:space="preserve">Precision Tool</t>
  </si>
  <si>
    <t xml:space="preserve">Manometer 1.5 Bar</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</si>
  <si>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</si>
  <si>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 xml:space="preserve">80268</t>
  </si>
  <si>
    <t xml:space="preserve">AIR PRODUCTS</t>
  </si>
  <si>
    <t xml:space="preserve">R-704-VCR</t>
  </si>
  <si>
    <t xml:space="preserve">PRESSURE REGULATORS TEST</t>
  </si>
  <si>
    <t xml:space="preserve">APSA46/2250</t>
  </si>
  <si>
    <t xml:space="preserve">83904</t>
  </si>
  <si>
    <t xml:space="preserve">F-074-VCR</t>
  </si>
  <si>
    <t xml:space="preserve">PRESSURE REGULATOR 10-50L MIN HCL</t>
  </si>
  <si>
    <t xml:space="preserve">P/N: 101203-2</t>
  </si>
  <si>
    <t xml:space="preserve">new</t>
  </si>
  <si>
    <t xml:space="preserve">INLET CONNECTION:1/4 VCRF
OUTLET CONNECTION:1/4 VCRF
MAX.INLET PRESSURE 210 BAR
MAX.OUTLET PRESSURE 210 BAR
10-50 L/M
HCL 888
FUNCTIONAL TEST: OK
TESTED BY: E. VERHASSELT ON 10/02/89
WEIGHT: GR.700
DIMENSION: 14 CM. X 5 CM. X 5 CM.(H)</t>
  </si>
  <si>
    <t xml:space="preserve">108721</t>
  </si>
  <si>
    <t xml:space="preserve">AIR SYSTEM INTL</t>
  </si>
  <si>
    <t xml:space="preserve">SVB-E8EXP</t>
  </si>
  <si>
    <t xml:space="preserve">Electric Blower, Explosion Proof</t>
  </si>
  <si>
    <t xml:space="preserve">FACILITIES</t>
  </si>
  <si>
    <t xml:space="preserve">* 3/4 HP UL listed motor, 115 VAC, 12 amp * Explosion proof switch 
installed and wired * 8" intake and exhaust flange * 1570 cfm free air 
delivery * 25' duct straight cfm 1222 * 25' duct 1-90 degree bend cfm 1047 
* Approved for Class 1, Div. 1, Groups C &amp; D, Class 2, Div. 1, Groups E, F, 
G * Aluminum non-sparking blower wheel * Powder coat steel frame * Steel 
safety guards weight 36 kg</t>
  </si>
  <si>
    <t xml:space="preserve">108797</t>
  </si>
  <si>
    <t xml:space="preserve">AIRCO TEMESCAL</t>
  </si>
  <si>
    <t xml:space="preserve">CV-8-210</t>
  </si>
  <si>
    <t xml:space="preserve">E Beam Power Supply Controller, 3ea Available - Parts Only</t>
  </si>
  <si>
    <t xml:space="preserve">109350</t>
  </si>
  <si>
    <t xml:space="preserve">AIXCON</t>
  </si>
  <si>
    <t xml:space="preserve">Y2000</t>
  </si>
  <si>
    <t xml:space="preserve">Part Number: 1700</t>
  </si>
  <si>
    <t xml:space="preserve">109351</t>
  </si>
  <si>
    <t xml:space="preserve">108709</t>
  </si>
  <si>
    <t xml:space="preserve">Akrion</t>
  </si>
  <si>
    <t xml:space="preserve">Goldfinger Velocity 4</t>
  </si>
  <si>
    <t xml:space="preserve">Single wafer cleaning system</t>
  </si>
  <si>
    <t xml:space="preserve">300 MM</t>
  </si>
  <si>
    <t xml:space="preserve">Single wafer cleaning system , 12", with 4 chambers and 3 x 300 mm FOUP 
load ports. Vintage 2007 Defectivity Improvement The Velocity single wafer 
product line is focused on improving defectivity. This includes removal of 
particle and residue contamination from the wafer frontside, backside and 
edge.Defects are removed without physical damage to sensitive structures 
and without film etching. This is accomplished using advanced physical 
clean technologies – Goldfinger Megasonics, Jetstream Nano and Backside 
Megasonics. Watermark-free performance is available with Sahara dry. The 
Velocity is available in 4 or 6 chamber versions, each with stacked 
chambers to minimize footprint. The technology and platform are used for 
particle removal (post deposition, sensitive structures, backside and post 
post CMP) and post etch/ash (FEOL and BEOL) applications.</t>
  </si>
  <si>
    <t xml:space="preserve">108722</t>
  </si>
  <si>
    <t xml:space="preserve">AKRION</t>
  </si>
  <si>
    <t xml:space="preserve">V2-SA.3200</t>
  </si>
  <si>
    <t xml:space="preserve">Wet Process Station Including Tanks</t>
  </si>
  <si>
    <t xml:space="preserve">150 mm</t>
  </si>
  <si>
    <t xml:space="preserve">Linear robotic transfer
Constructed of Corzan 4910 CPVC
Process tank interior dimensions are 3 ea - 16” x 9” x 10” (d).
  3 ea - QDR tank interior dimensions are 16” x 9” x 9” (d). 
Unused system
    * 3ea UP AKRION Model UP-ATA Robots w/Controllers
    * 4ea Temperature Controlled PVDF Process Baths 16” x 9” x 10”(id)
      w/Re-circulation and Filtration
    * 3ea PVDF QDR tanks 16” x 9” x 9” (id) w/Lid Spray
    * SIEMENS PLC Control System
    * 3ea IWAKI WALCHEM CORP. Model MD 100LFY-1 Magnet Pump
    * 1ea TREBOR Magnum 610 Pump
    * 4ea WAFAB Heat Exchangers</t>
  </si>
  <si>
    <t xml:space="preserve">108723</t>
  </si>
  <si>
    <t xml:space="preserve">V2-HL.2000</t>
  </si>
  <si>
    <t xml:space="preserve">Acid Wet Bench</t>
  </si>
  <si>
    <t xml:space="preserve">150  mm</t>
  </si>
  <si>
    <t xml:space="preserve">Hybrid-Linear Automatic Acid Wet Station with Robotic Transfer (New), for 
Dual 150mm Cassettes
No PC inc;luded
Wafer Size Range  	 
  Maximum  	200 mm
  Set Size  	150 mm
Number of Positions  	3
Number of Robots  	1
Automatic Wafer Transfer  	YES
Automatic Wafer Transfer Type  	Robotic
Controller Type  	PLC Controller Type
Other Information  	
    * Serial Number 5715-01
    * PLC Controlled
    * Constructed of Corzan 4910 CPVC
    * TANK 1: PVDF Dual 8” DI/Chrome Etch - Ambient Recirc Bath
    * TANK 2: PVDF Dual 6” DI Dragout - Ambient Static Bath
    * TANK 3: PVDF Dual 6” QDR - Cold
 </t>
  </si>
  <si>
    <t xml:space="preserve">84766</t>
  </si>
  <si>
    <t xml:space="preserve">AKT</t>
  </si>
  <si>
    <t xml:space="preserve">NAR 1800/8 G6 ITO</t>
  </si>
  <si>
    <t xml:space="preserve">Vertical In-line Sputtering Machine for LCD / TFT panel G6</t>
  </si>
  <si>
    <t xml:space="preserve">730 mm x 920 mm (G6)</t>
  </si>
  <si>
    <r>
      <rPr>
        <sz val="8"/>
        <rFont val="Arial"/>
        <family val="0"/>
      </rPr>
      <t xml:space="preserve">-Refer to attached photos for detailed specification and sputter process 
steps.
-Was de-installed mid-June 2017
-Available for immediate purchase.
System Layout and Physical dimensions (NOTE: cleaning section not included 
and no longer available):-
type 	 OEM 	 Model and Configuration 	 Chamber Height 	 Panel Size
Dimensions of Module 	 # Doors 	 voltage 	 Facilities 	 Tact
Time 	 comments
Cleaner 	 MANZ 	  	  	  	  	  	  	  	  	 
ROBOT 	 MANZ 	 H008 Revision 01 	 2,011 	 730*920 	 5000×4500×3600 	  	  	 
CDA
VAC 	 22
Sec 	 </t>
    </r>
    <r>
      <rPr>
        <sz val="8"/>
        <rFont val="Noto Sans CJK SC"/>
        <family val="2"/>
      </rPr>
      <t xml:space="preserve">雙</t>
    </r>
    <r>
      <rPr>
        <sz val="8"/>
        <rFont val="Arial"/>
        <family val="0"/>
      </rPr>
      <t xml:space="preserve">ROBOT
Robot Type: KR – 60CR3
Axis number: 6
Length of arms: 820mm
Sputter 	 AKT 	 NAR1800
AF-11062009-YP-rev07 	 2,011 	  	  	  	 400V 	 CDA
PCW
AR
O2
N2 	 22
Sec 	 G6
Entrance chamber SN 	 730*920 	 1950×1200×3036 	 4 	 400V 	  	  	 
N chamber 	 730*920 	 1950×1200×3036 	 4 	 400V 	  	  	 
RoCa chamber 	 730*920 	 2900×1200×3036 	 6 	 400V 	  	  	 
R chamber 	 730*920 	 2400×1600×3500 	 1 	 400V 	  	  	 
 </t>
    </r>
  </si>
  <si>
    <t xml:space="preserve">108712</t>
  </si>
  <si>
    <t xml:space="preserve">1600</t>
  </si>
  <si>
    <t xml:space="preserve">PECVD Gen 2 PECVD deposition system</t>
  </si>
  <si>
    <t xml:space="preserve">Gen 2</t>
  </si>
  <si>
    <t xml:space="preserve">Please find attached the pictures of the AKT 1600 machine we have 
available.
As you can see its a 100% complete machine including chillers interconnect 
cables and so on.
This machine is also equipped with remote plasma units that will 
significant reduce the amount of chamber PM’s and chemicals needed to 
operate.
Machine has been installed and running production (R&amp;D)  for 7 years in day 
shift operation, saying this parts like RF generators / matches are in good 
condition.
Configuration:-
Configuration:-
AKT 1600 PECVD
Software rev: AKT7.3
1. Mainframe
5 x CVD process chambers
2 x loadlocks
1 x AKT vacuum robot
ChA chamber controller
0240-67523
Rev 06
s/n 675230014
Date 9/6/05
ChB chamber controller
0240-67523
Rev 06
s/n 675230015
Date 9/6/05
ChC chamber controller
0240-67523
Rev 06
s/n 675230016
Date 9/6/05
ChD chamber controller
0240-67523
Rev 06
s/n 675230017
Date 9/6/05
ChE chamber controller
0240-67523
Rev 09
s/n 675230038
Date 2/5/08
2. Front end load station
4 x cassette load stations
1 x AKT track robot
3. System controller
VME, DIO, PSU &amp; circuit breakers
4. Gasboxes
2 x gasboxes with MFCs &amp; manual valves
Configuration:-
NF3   
Ar   
N2O   
NH3   
N2   
SiH4   
B2H6_H2    H2   
Ph3_H2
5. Heat exchanger
REX F900
6. Main AC box
208VAC input
Full load 240A
4 x RF generators
ChA Generator
AdTec AX2000 EUII
s/n 10124200585
ChB Generator
AdTec AX2000 EUII
s/n 10124200584
ChC Generator
AdTec AX2000 EUII
s/n 10124200582
ChD Generator
AdTec AX2000 EUII
s/n 10124200583
ChE Generator
AdTec AX2000 EUII
s/n 10124200656
7. Sun workstation controller    Sunblade 150 computer
</t>
  </si>
  <si>
    <t xml:space="preserve">108724</t>
  </si>
  <si>
    <t xml:space="preserve">Alcan Tech/Canon</t>
  </si>
  <si>
    <t xml:space="preserve">MAS-8000</t>
  </si>
  <si>
    <t xml:space="preserve">Microwave Ashing System</t>
  </si>
  <si>
    <t xml:space="preserve">Microwave Ashing System.
    * Heated &amp; Water Cooled Platen for up to 200mm Wafers
    * Dual Cassette Load/Unload Platforms
    * MECS UTW-3100P Three Axis Wafer Robot
    * MECS CS-1000 Robot Control System
    * NIHON KOSHUHA MKN-152-3S Microwave Power Supply
    * NIHON KOSHUHA MKN-152-384-OSC Microwave Oscillator Section
    * NIHON KOSHUHA MPA-HZ4SI Power Sensor Amplifier
    * NIHON KOSHUHA AMC-0604-15 Auto Matching Controller
    * NIHON KOSHUHA Microwave Waveguide
    * 3ea NIHON KOSHUHA MPS-60 Microwave Leak Detectors
    * MKS 253A-11321 Throttle Valve
    * MKS 252C-11009 Throttle Valve Controller
    * ALCAN TECH HC-1000 Heater Controller
    * ALCAN TECH PDA-801 Controller
    * ALCATEL ADS-301 Dry Vacuum Pump/Blower Package
    * Stainless Steel System Vacuum Plumbing
    * Facilities Plumbing Cabinet
    * Main Power Circuit Breaker Cabinet</t>
  </si>
  <si>
    <t xml:space="preserve">77087</t>
  </si>
  <si>
    <t xml:space="preserve">Alcatel</t>
  </si>
  <si>
    <t xml:space="preserve">flange</t>
  </si>
  <si>
    <t xml:space="preserve">Alcatel pump flange 4" ID 5 1/4" OD, SST</t>
  </si>
  <si>
    <t xml:space="preserve">108725</t>
  </si>
  <si>
    <t xml:space="preserve">ALCATEL</t>
  </si>
  <si>
    <t xml:space="preserve">5150CP</t>
  </si>
  <si>
    <t xml:space="preserve">Turbo Molecular Vacuum Pump</t>
  </si>
  <si>
    <t xml:space="preserve">    * Alcatel CFF 450 Turbo Controller
    * 140 L/S N2 Pumping Speed
    * 100 L/S He Pumping Speed
    * 80 L/S H2 Pumping Speed
    * 5 x 10-9 Ultimate Pressure (mbar) – Water Cooled
    * 27,000 RPM Rotational Speed
    * KF-25 Outlet Flange
    * Pump is Water Cooled
    * hours on controller: 33530</t>
  </si>
  <si>
    <t xml:space="preserve">109574</t>
  </si>
  <si>
    <t xml:space="preserve">Alcatel Adixen</t>
  </si>
  <si>
    <t xml:space="preserve">Dry vacuum Pump</t>
  </si>
  <si>
    <t xml:space="preserve">118</t>
  </si>
  <si>
    <t xml:space="preserve">-deinstalled and warehoused
-can be inspected by appointment</t>
  </si>
  <si>
    <t xml:space="preserve">108726</t>
  </si>
  <si>
    <t xml:space="preserve">ALESSI</t>
  </si>
  <si>
    <t xml:space="preserve">REL-4500</t>
  </si>
  <si>
    <t xml:space="preserve">Analytical Wafer Prober with 6" (dia.) Gold Plated Chuck</t>
  </si>
  <si>
    <t xml:space="preserve">     ·    6” (dia.) Gold Plated Wafer Vacuum Chuck
     ·    6” X 6” XY Movement with Manual Control
     ·    Magnetic Platen with Micropositioner Vacuum &amp; Signal Ports
     ·    3ea MICROPANIPULATOR Micropositioner
     ·    BAUSCH &amp; LOMB MicroZoom Microscope
      ·         2.25X, 8X &amp; 25X Long Working Distance Objective Lenses
      ·         Trinocular Viewing Head with Camera Port &amp; 10X Eyepieces
      ·         6V 20W Halogen Lamp Vertical Illuminator</t>
  </si>
  <si>
    <t xml:space="preserve">108798</t>
  </si>
  <si>
    <t xml:space="preserve">REL- Series 5000</t>
  </si>
  <si>
    <t xml:space="preserve">Analytical Prober with Mitutoyo FS-70 Zoom Microscope with LWD Objective Lenses, New Wave QuikLaze 532/355 Laser with 50X Lens, Missing Computer</t>
  </si>
  <si>
    <t xml:space="preserve">108799</t>
  </si>
  <si>
    <t xml:space="preserve">ALESSI </t>
  </si>
  <si>
    <t xml:space="preserve">REL-4100A</t>
  </si>
  <si>
    <t xml:space="preserve">Analytical Prober</t>
  </si>
  <si>
    <t xml:space="preserve">77093</t>
  </si>
  <si>
    <t xml:space="preserve">Allen Bradley</t>
  </si>
  <si>
    <t xml:space="preserve">800F-PN3GX11</t>
  </si>
  <si>
    <t xml:space="preserve">Contact module 24V, AMI S3320-15-1, pk of 3</t>
  </si>
  <si>
    <t xml:space="preserve">83564</t>
  </si>
  <si>
    <t xml:space="preserve">PanelView Plus 400</t>
  </si>
  <si>
    <t xml:space="preserve">Operator Panel, Serial</t>
  </si>
  <si>
    <t xml:space="preserve">Used, good condition</t>
  </si>
  <si>
    <t xml:space="preserve">83593</t>
  </si>
  <si>
    <t xml:space="preserve">Micro-Logix 1200</t>
  </si>
  <si>
    <t xml:space="preserve">PLC Module</t>
  </si>
  <si>
    <t xml:space="preserve">Allen-Bradley Micro-Logix 1200 1762-L24BWAR, Used </t>
  </si>
  <si>
    <t xml:space="preserve">83595</t>
  </si>
  <si>
    <t xml:space="preserve">1762-IF4</t>
  </si>
  <si>
    <t xml:space="preserve">PLC 4-ch input module</t>
  </si>
  <si>
    <t xml:space="preserve">Used 1762-IF4 4-ch input module</t>
  </si>
  <si>
    <t xml:space="preserve">100700</t>
  </si>
  <si>
    <t xml:space="preserve">Alphasem</t>
  </si>
  <si>
    <t xml:space="preserve">DB 608-PRL</t>
  </si>
  <si>
    <t xml:space="preserve">Die Sort System</t>
  </si>
  <si>
    <t xml:space="preserve">Assembly</t>
  </si>
  <si>
    <t xml:space="preserve">Width = 1700 mm
Height = 1550 mm
Depth = 1300 mm
Weight = 500 kg
 </t>
  </si>
  <si>
    <t xml:space="preserve">108727</t>
  </si>
  <si>
    <t xml:space="preserve">ALPHASEM</t>
  </si>
  <si>
    <t xml:space="preserve">Swissline 9006 (Spares)</t>
  </si>
  <si>
    <t xml:space="preserve">Automatic Epoxy Die Bonder, Parts Tool Only</t>
  </si>
  <si>
    <t xml:space="preserve">    * Volumetric Silver-Glass Dispense System With "Star Fish" Dispense
      Tool
    * PGA, Cerdip, LCC and Side Brazed Packages
    * Up to 200 mm (8") Wafers
    * 0.25 – 18 mm (10 – 750 mil) Die Size
    * 25 – 400 gr Pick/Bond Force
    * 0 – 10 secs Bond Time
    * 0.5 secs Cycle Time
    * Programmable Pitch and Adjustable Boat Width of 2", 3.1" or 4.3" With
      Universal Roller-Boat Feed System
    * Multi-magazine Input/Output
    * Quick Lock Vacuum Chucks
    * Cavity Depth Sensor for Automatic Adjustment of the Silver-Glass Bond
      Layer Thickness
    * Inline Automatic Jumper Chip Attach Unit</t>
  </si>
  <si>
    <t xml:space="preserve">109898</t>
  </si>
  <si>
    <t xml:space="preserve">ALTRONIC</t>
  </si>
  <si>
    <t xml:space="preserve">Dummy Load</t>
  </si>
  <si>
    <t xml:space="preserve">Sold Ex-Works, UK Office , Part Number:6401LN</t>
  </si>
  <si>
    <t xml:space="preserve">109899</t>
  </si>
  <si>
    <t xml:space="preserve">Sold Ex-Works, UK Office , Part Number:6405N</t>
  </si>
  <si>
    <t xml:space="preserve">109900</t>
  </si>
  <si>
    <t xml:space="preserve">109901</t>
  </si>
  <si>
    <t xml:space="preserve">109902</t>
  </si>
  <si>
    <t xml:space="preserve">109903</t>
  </si>
  <si>
    <t xml:space="preserve">109904</t>
  </si>
  <si>
    <t xml:space="preserve">109905</t>
  </si>
  <si>
    <t xml:space="preserve">109906</t>
  </si>
  <si>
    <t xml:space="preserve">109907</t>
  </si>
  <si>
    <t xml:space="preserve">86305</t>
  </si>
  <si>
    <t xml:space="preserve">AMAT</t>
  </si>
  <si>
    <t xml:space="preserve">0010-20422</t>
  </si>
  <si>
    <t xml:space="preserve">Endura 5500 PVD 8" Shield treatment and cover assembly</t>
  </si>
  <si>
    <t xml:space="preserve">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</si>
  <si>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 xml:space="preserve">107327</t>
  </si>
  <si>
    <t xml:space="preserve">Vectra Match</t>
  </si>
  <si>
    <t xml:space="preserve">RF Match</t>
  </si>
  <si>
    <t xml:space="preserve">0010-21675
Price is ex-works SDI Fabsurplus UK office with 3 month warranty</t>
  </si>
  <si>
    <t xml:space="preserve">84551</t>
  </si>
  <si>
    <t xml:space="preserve">0041-61611</t>
  </si>
  <si>
    <t xml:space="preserve">Retaining ring, Titan II, 8" *NEW*</t>
  </si>
  <si>
    <t xml:space="preserve">as new</t>
  </si>
  <si>
    <t xml:space="preserve">*NEW, sealed *
AMAT Titan II retaining ring, 8"
Still sealed in original AMAT Packaging</t>
  </si>
  <si>
    <t xml:space="preserve">109908</t>
  </si>
  <si>
    <t xml:space="preserve">2MHZ Ice Match </t>
  </si>
  <si>
    <t xml:space="preserve">Sold Ex-Works, UK Office , Part Number:0010-40991</t>
  </si>
  <si>
    <t xml:space="preserve">109909</t>
  </si>
  <si>
    <t xml:space="preserve">8300</t>
  </si>
  <si>
    <t xml:space="preserve">Sold Ex-Works, UK Office , Part Number:0010-00298 , Secondary P/N:8300N</t>
  </si>
  <si>
    <t xml:space="preserve">109910</t>
  </si>
  <si>
    <t xml:space="preserve">109911</t>
  </si>
  <si>
    <t xml:space="preserve">8300 </t>
  </si>
  <si>
    <t xml:space="preserve">Sold Ex-Works, UK Office , Part Number:0010-00800R</t>
  </si>
  <si>
    <t xml:space="preserve">109912</t>
  </si>
  <si>
    <t xml:space="preserve">DC Power Supply</t>
  </si>
  <si>
    <t xml:space="preserve">Sold Ex-Works, UK Office , Part Number:0010-09181</t>
  </si>
  <si>
    <t xml:space="preserve">109913</t>
  </si>
  <si>
    <t xml:space="preserve">Manual Controller</t>
  </si>
  <si>
    <t xml:space="preserve">Sold Ex-Works, UK Office , Part Number:0270-09062</t>
  </si>
  <si>
    <t xml:space="preserve">109914</t>
  </si>
  <si>
    <t xml:space="preserve">109915</t>
  </si>
  <si>
    <t xml:space="preserve">109916</t>
  </si>
  <si>
    <t xml:space="preserve">Micro Match</t>
  </si>
  <si>
    <t xml:space="preserve">Sold Ex-Works, UK Office , Part Number:0010-00799R</t>
  </si>
  <si>
    <t xml:space="preserve">109917</t>
  </si>
  <si>
    <t xml:space="preserve">P5000</t>
  </si>
  <si>
    <t xml:space="preserve">109918</t>
  </si>
  <si>
    <t xml:space="preserve">Sold Ex-Works, UK Office , Part Number:0010-09416</t>
  </si>
  <si>
    <t xml:space="preserve">109919</t>
  </si>
  <si>
    <t xml:space="preserve">Sold Ex-Works, UK Office , Part Number:0010-09416W , Secondary P/N:Etch</t>
  </si>
  <si>
    <t xml:space="preserve">109920</t>
  </si>
  <si>
    <t xml:space="preserve">109921</t>
  </si>
  <si>
    <t xml:space="preserve">Sold Ex-Works, UK Office , Part Number:0010-09750 , Secondary P/N:CVD</t>
  </si>
  <si>
    <t xml:space="preserve">109922</t>
  </si>
  <si>
    <t xml:space="preserve">109923</t>
  </si>
  <si>
    <t xml:space="preserve">Sold Ex-Works, UK Office , Part Number:0010-09750W , Secondary P/N:CVD</t>
  </si>
  <si>
    <t xml:space="preserve">109924</t>
  </si>
  <si>
    <t xml:space="preserve">109925</t>
  </si>
  <si>
    <t xml:space="preserve">109926</t>
  </si>
  <si>
    <t xml:space="preserve">Sold Ex-Works, UK Office , Part Number:0010-30686 , Secondary P/N:HE</t>
  </si>
  <si>
    <t xml:space="preserve">109927</t>
  </si>
  <si>
    <t xml:space="preserve">Sold Ex-Works, UK Office , Part Number:0010-52033 , Secondary P/N:HE</t>
  </si>
  <si>
    <t xml:space="preserve">109928</t>
  </si>
  <si>
    <t xml:space="preserve">P5000 Controller</t>
  </si>
  <si>
    <t xml:space="preserve">109929</t>
  </si>
  <si>
    <t xml:space="preserve">Sold Ex-Works, UK Office , Part Number:0010-21817</t>
  </si>
  <si>
    <t xml:space="preserve">109930</t>
  </si>
  <si>
    <t xml:space="preserve">109931</t>
  </si>
  <si>
    <t xml:space="preserve">Phase Mag Detector</t>
  </si>
  <si>
    <t xml:space="preserve">Sold Ex-Works, UK Office , Part Number:0010-00215</t>
  </si>
  <si>
    <t xml:space="preserve">109932</t>
  </si>
  <si>
    <t xml:space="preserve">Phase Mag Detector </t>
  </si>
  <si>
    <t xml:space="preserve">Sold Ex-Works, UK Office , Part Number:0010-00215R</t>
  </si>
  <si>
    <t xml:space="preserve">109933</t>
  </si>
  <si>
    <t xml:space="preserve">Sold Ex-Works, UK Office , Part Number:0010-00215W</t>
  </si>
  <si>
    <t xml:space="preserve">109934</t>
  </si>
  <si>
    <t xml:space="preserve">Sold Ex-Works, UK Office , Part Number:10008421 , Secondary P/N:0190-31270</t>
  </si>
  <si>
    <t xml:space="preserve">109935</t>
  </si>
  <si>
    <t xml:space="preserve">RF Match Controller</t>
  </si>
  <si>
    <t xml:space="preserve">Sold Ex-Works, UK Office , Part Number:100006469-170</t>
  </si>
  <si>
    <t xml:space="preserve">109936</t>
  </si>
  <si>
    <t xml:space="preserve">109937</t>
  </si>
  <si>
    <t xml:space="preserve">109938</t>
  </si>
  <si>
    <t xml:space="preserve">109939</t>
  </si>
  <si>
    <t xml:space="preserve">109940</t>
  </si>
  <si>
    <t xml:space="preserve">RF Match, VOR</t>
  </si>
  <si>
    <t xml:space="preserve">Sold Ex-Works, UK Office , Part Number:0010-31277</t>
  </si>
  <si>
    <t xml:space="preserve">109941</t>
  </si>
  <si>
    <t xml:space="preserve">Vectra IMP</t>
  </si>
  <si>
    <t xml:space="preserve">Sold Ex-Works, UK Office , Part Number:0010-27719</t>
  </si>
  <si>
    <t xml:space="preserve">83588</t>
  </si>
  <si>
    <t xml:space="preserve">0040-77544</t>
  </si>
  <si>
    <t xml:space="preserve">Rorze Ergo Loader Turn Plate Mirra CMP FABS-202 AMAT 0040-77544 </t>
  </si>
  <si>
    <t xml:space="preserve">                       
Rorze Ergo Loader Turn Plate Mirra CMP FABS-202 AMAT 0040-77544 
Used good condition, see photos
will ship from our Boerne, TX warehouse    </t>
  </si>
  <si>
    <t xml:space="preserve">108978</t>
  </si>
  <si>
    <t xml:space="preserve">0010-36736</t>
  </si>
  <si>
    <t xml:space="preserve">Heater</t>
  </si>
  <si>
    <t xml:space="preserve">New unit</t>
  </si>
  <si>
    <t xml:space="preserve">83669</t>
  </si>
  <si>
    <t xml:space="preserve">0190-24834-002</t>
  </si>
  <si>
    <t xml:space="preserve">MFC Celerity ufc-8165 1L H2</t>
  </si>
  <si>
    <t xml:space="preserve">   Used Celerity MFC UFC-8165
1L H2
n2 REF
DeviceNET capable
DNet FW:3.03
Version: 0001
Qty 3 available in Texas warehouse
</t>
  </si>
  <si>
    <t xml:space="preserve">108131</t>
  </si>
  <si>
    <t xml:space="preserve">AMEC</t>
  </si>
  <si>
    <t xml:space="preserve">PRIMO</t>
  </si>
  <si>
    <t xml:space="preserve">3CH Dry etcher</t>
  </si>
  <si>
    <t xml:space="preserve">De-installed, warehoused. Can be inspected by appointment</t>
  </si>
  <si>
    <t xml:space="preserve">109357</t>
  </si>
  <si>
    <t xml:space="preserve">AMETEK</t>
  </si>
  <si>
    <t xml:space="preserve">SGA200X25E-1DAA</t>
  </si>
  <si>
    <t xml:space="preserve">77090</t>
  </si>
  <si>
    <t xml:space="preserve">AMI</t>
  </si>
  <si>
    <t xml:space="preserve">B390.05</t>
  </si>
  <si>
    <t xml:space="preserve">belt</t>
  </si>
  <si>
    <t xml:space="preserve">77153</t>
  </si>
  <si>
    <t xml:space="preserve">885</t>
  </si>
  <si>
    <t xml:space="preserve">Screen printer Squeegee box lot</t>
  </si>
  <si>
    <t xml:space="preserve">SMT</t>
  </si>
  <si>
    <t xml:space="preserve">Brand new in the box;
1. Black Hardness squeegee 26" in length 18 pcs
2. White Hardness squeegee 26" length 64 pcs
For AMI PRESCO CP-885 screen printer, and others</t>
  </si>
  <si>
    <t xml:space="preserve">74261</t>
  </si>
  <si>
    <t xml:space="preserve">AMI Presco</t>
  </si>
  <si>
    <t xml:space="preserve">ACL-TS</t>
  </si>
  <si>
    <t xml:space="preserve">Solar wafer picker tool</t>
  </si>
  <si>
    <t xml:space="preserve">Dryer picker for solar. AMI Presco wrapped, crated and located in Boerne, 
TX Available for inspection More photos and details available upon request</t>
  </si>
  <si>
    <t xml:space="preserve">77188</t>
  </si>
  <si>
    <t xml:space="preserve">USP206-2E</t>
  </si>
  <si>
    <t xml:space="preserve">Solar wafer conveyor, 156mm for use with screen printers, etc.</t>
  </si>
  <si>
    <t xml:space="preserve">156mm</t>
  </si>
  <si>
    <t xml:space="preserve">Part of our 10MW Solar line is this conveyor that works with AMI Equipment 
to move solar wafers to pick and place or screen printer.  </t>
  </si>
  <si>
    <t xml:space="preserve">84241</t>
  </si>
  <si>
    <t xml:space="preserve">Anaheim Automation</t>
  </si>
  <si>
    <t xml:space="preserve">TM4500 AA4520</t>
  </si>
  <si>
    <t xml:space="preserve">Stepper controller/driver board</t>
  </si>
  <si>
    <t xml:space="preserve">Used   
Will  Ship from our Boerne, TX Warehouse  </t>
  </si>
  <si>
    <t xml:space="preserve">77162</t>
  </si>
  <si>
    <t xml:space="preserve">23D306S</t>
  </si>
  <si>
    <t xml:space="preserve">Stepper motor 3.4VDC 2.9A </t>
  </si>
  <si>
    <t xml:space="preserve">New in the box     
Will  Ship from our Boerne, TX Warehouse  </t>
  </si>
  <si>
    <t xml:space="preserve">79884</t>
  </si>
  <si>
    <t xml:space="preserve">ANDO</t>
  </si>
  <si>
    <t xml:space="preserve">AF9723</t>
  </si>
  <si>
    <t xml:space="preserve">Eprom Gang programmer w/ RAM expansion</t>
  </si>
  <si>
    <t xml:space="preserve">Ando AF9723 Gang programmer with AF9845 Gang Eprom unit
AF9836 RAM board expansion included
45cm x 35cm x 20cm - 5 Kg
In good working condition
Location: Avezzano, Italy
Warehoused
Can be inspected by appointment.
</t>
  </si>
  <si>
    <t xml:space="preserve">84221</t>
  </si>
  <si>
    <t xml:space="preserve">ANELVA</t>
  </si>
  <si>
    <t xml:space="preserve">954-7700</t>
  </si>
  <si>
    <t xml:space="preserve">Vacuum Feedthrough</t>
  </si>
  <si>
    <t xml:space="preserve">ANELVA 954-7700
WEIGHT: 1 KG.
DIMENSION: 8 X 8 X 13 (H)</t>
  </si>
  <si>
    <t xml:space="preserve">2669</t>
  </si>
  <si>
    <t xml:space="preserve">Angelantoni</t>
  </si>
  <si>
    <t xml:space="preserve">T600 TU5</t>
  </si>
  <si>
    <t xml:space="preserve">Large Clean-room Oven with internal blowers</t>
  </si>
  <si>
    <t xml:space="preserve">CE MARK 380V , 11kW, 3 phase.
SERIAL NUMBER 5573
internal dimensions 100 cm x 69 cm x 85 cm hight
temperature range +40 to +160 celcius +/- 1 celcius
external dimensions 182cm x 105 cm x 215 cm (height).
Stored at warehouse of SD-FABSURPLUSI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
The machine is configurable via the insertion of a series of alphanumerical 
characters. 3 digit LED display, with a readout sensitivity of either 0.1 C 
or 1 C Outputs: 2 relays (two way contacts) 8(3) A 20 VAC</t>
  </si>
  <si>
    <t xml:space="preserve">10637</t>
  </si>
  <si>
    <t xml:space="preserve">T600 TUS</t>
  </si>
  <si>
    <t xml:space="preserve">CE MARK 380V , 18A, 11kW, 3 phase. SERIAL NUMBER 5574 internal dimensions 
100 cm x 69 cm x 85 cm hight temperature range +40 to +160 celcius external 
dimensions 182cm x 105 cm x 215 cm (height). Stored at warehouse of 
SDI-Fabsurplus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start.The machine is configurable via the insertion of a series 
of alphanumerical characters. 3 digit LED display, with a readout 
sensitivity of either 0.1 C or 1 C Outputs: 2 relays (two way contacts) 
8(3) A 240 VAC</t>
  </si>
  <si>
    <t xml:space="preserve">34740</t>
  </si>
  <si>
    <t xml:space="preserve">AP &amp; S</t>
  </si>
  <si>
    <t xml:space="preserve">TwinStep-B H3P04</t>
  </si>
  <si>
    <t xml:space="preserve">Semi-Automatic Wet Bench, used for H3PO4 with a 2 stage Megasonic and QDR</t>
  </si>
  <si>
    <t xml:space="preserve">Supply Voltage: 3 phase N. PE. Nominal Voltage: 3 x 400 VAC 50 Hz 9A 3 KVA 
Ce marked
Deinstalled
Warehoused
can be inspected by appointment
Config: 2 x Metronics C1500-ME megasonic cleaning systems
includes manuals
Location: Avezzano (AQ) Italy 67051
The serial number is TS05447
I've got all the manuals here in our Naples Italy office.
It is a small wet processing system and the general description by the 
manufacturer AP and S is "Twinstep-B H3PO4"
The process is H3PO4 Megasonic QDR.
The system has two stages of baths of H3PO4 with Megasonic.
It is a bit difficult to get the information into a small size, but I took 
a copy of the system schematic diagrams and they are attached here.
The robotic handling system is an EF Werner profiLINE 115, the software is 
Logic intelliTOOL, pump is IWAKI FW-Series,Pressure regulator is TESCOM, 
serial type 04, dosing pre-mix cabinet pump is IWAKI Type EH, Gas filter 
for N2 is Millipore, wafergard II F6 inline.
The tool was manufactured in November 2005 and removed from production in 
March 2010.
Since removal, it has been at my warehouse in Avezzano Italy.
The tool has a decontamination certificate with it.
The tool has the overall following dimensions:-
L 900 mm D 1584 mm H 1800 mm (upper edge of cleanroom)
L 900 mm D 1584 mm H 2600 mm (upper edge of pre-mix cabinet)
This wet bench comes with all the documentation, as you would expect for a 
machine made in Germany.
We have scanned all the documents and uploaded them to google drive.
Here are links to all the documents.
You can browse them and download them if you like.
If you need to know any more technical information about any aspects, then, 
please let me know:-
Specifications, mechanical drawings and electrical schematics:
&lt;https://drive.google.com/file/d/1I3oSFibY6gcHm7PadE4iOpvCC7lA_vUa/view?usp=sharing&gt;
Operation Manual:
&lt;https://drive.google.com/file/d/1VzjaP-jHg0oL2pfecrkpumSspRTFVteO/view?usp=sharing&gt;
Maintenance Manual:
&lt;https://drive.google.com/file/d/1-L73w7Ws1DFf3p3BhXrbJ565rJMN2yrb/view?usp=sharing&gt;
 </t>
  </si>
  <si>
    <t xml:space="preserve">100908</t>
  </si>
  <si>
    <t xml:space="preserve">AP Systems</t>
  </si>
  <si>
    <t xml:space="preserve">KORONA-1200P</t>
  </si>
  <si>
    <t xml:space="preserve">METAL RTP</t>
  </si>
  <si>
    <t xml:space="preserve">Deinstalled, warehoused. Can be inspected by appointment in the warehouse.</t>
  </si>
  <si>
    <t xml:space="preserve">106883</t>
  </si>
  <si>
    <t xml:space="preserve">APEX</t>
  </si>
  <si>
    <t xml:space="preserve">5513</t>
  </si>
  <si>
    <t xml:space="preserve">-IN EXCELLENT CONDITION WITH NO KNOWN MISSING OR BROKEN PARTS.
-CAN BE INSPECTED BY APPOINTMENT.</t>
  </si>
  <si>
    <t xml:space="preserve">108132</t>
  </si>
  <si>
    <t xml:space="preserve">APPLIED BIOSYSTEM</t>
  </si>
  <si>
    <t xml:space="preserve">ABI-3700 ANALYZER</t>
  </si>
  <si>
    <t xml:space="preserve">Automatic Sequencer</t>
  </si>
  <si>
    <t xml:space="preserve">100868</t>
  </si>
  <si>
    <t xml:space="preserve">Applied Materials</t>
  </si>
  <si>
    <t xml:space="preserve">Mirra Mesa</t>
  </si>
  <si>
    <t xml:space="preserve">CMP System</t>
  </si>
  <si>
    <t xml:space="preserve">5 months</t>
  </si>
  <si>
    <t xml:space="preserve">Leadtime 4 to 5 months.</t>
  </si>
  <si>
    <t xml:space="preserve">108037</t>
  </si>
  <si>
    <t xml:space="preserve">Various Spare Parts</t>
  </si>
  <si>
    <t xml:space="preserve">Spare Parts for sale</t>
  </si>
  <si>
    <t xml:space="preserve">We have the following stock of Applied Materials spare parts for sale. See 
attached list in HTML, and , also attached in a PDF.
SDI ID 108037 Updated Feb 2023 	  	  	  	  	  	 
No. 	MAKER 	Part No. 	Description 	Q'ty 	Condition 	Remark
1 	AMAT 	0100-11002 	Digital I/O B/D (P5000) 	10 	Used 	P5000
2 	AMAT 	0100-00396 	ANALOG I/O Borad 	2 	Used 	 
3 	AMAT 	1400-00207 	Verity Instruments Spectrometer SD1024DL 	3 	Used 	 
4 	AMAT 	0190-28658 	 VERITY, SD1024F-2-S 	2 	Used 	 
5 	AMAT 	0190-06329 	Common Junction BOX, Chamber AC Power 	1 	Used 	 
6 	AMAT 	0010-13445 	System- Monitor Base Assy 	1 	Used 	 
7 	AMAT 	0190-17272 	4-Channel Magnet Driver 	1 	Used 	 
8 	AMAT 	0010-25469 	  	4 	Used 	P5000
9 	AMAT 	0190-19143 	HEATING PLATE 	2 	Used 	 
10 	AMAT 	0010-25481 	e-Max CT+, CH Controller 	1 	Used 	e-MAX CT+
CHAMBER
Controller B/D
11 	0190-02076 	Wafer Leak Detector 	1 	Used
12 	AS00800-02 	MKS TeNTA cPCI SCOM-0800 	1 	Used
13 	AS00700-02 	MKS TeNTA cPCI AIAO-0700 	1 	Used
14 	0190-05410 	Card Dual Industry Pack Carrier cPCI Bus 	1 	Used
15 	0190-10156 	DeviceNET Scanner B/D 	1 	Used
16 	AS00720-02 	MKS TeNTA cPCI PWRS-0720 	1 	Used
17 	AMAT 	220980106 	LFS 	1 	Used 	 
18 	AMAT 	0010-17261 	  	1 	Used 	 
19 	AMAT 	4250-5E 	  	2 	NEW 	 
20 	AMAT 	0227-56392 	AMAT 1 Heat Exchangeer 	1 	Used 	 
21 	AMAT 	0190-22205 	ENG SPECIFICATION Temp Controller 	2 	Used 	 
22 	AMAT 	0190-26463 	Temp Controller 	2 	Used 	 
23 	AMAT 	0190-26495 	Temp Controller 	3 	Used 	 
24 	AMAT 	0190-23623-001 	AE Navigator Match 	1 	Used 	 
25 	AMAT 	0200-36425 	Applicator Tube 	1 	NEW 	 
26 	AMAT 	0226-97904 	THROTTLE VALVE 	1 	NEW 	 
27 	AMAT 	0040-20146 	BELLOWS WAFER ORIENTER 	1 	NEW 	 
28 	AMAT 	0090-04247 	Power Supply 	2 	Used 	 
29 	AMAT 	0190-26769 	Universal Gauge 	1 	Used 	 
30 	AMAT 	0190-72235 	Capacitance Manometer 1000Torr 	1 	Used 	 
31 	AMAT 	0190-72680 	Capacitance Manometer 10Torr 	7 	Used 	 
32 	AMAT 	0090-06453 	PRODUCER SE MF CNTRL 	1 	Used 	 
33 	AMAT 	0140-70416 	HARNESS ASSY PH II FAC 	1 	NEW 	 
34 	AMAT 	0140-35414 	Harness MFCS CHAMBER D 	1 	NEW 	 
35 	AMAT 	0150-13084 	CABLE ASSY, GAS PANEL POWER (40FT) 	1 	NEW 	 
36 	AMAT 	0242-36268 	KIT, CABLES, DPS CHAMBER 	3 	NEW 	 
37 	AMAT 	0140-70395 	ASSY DOME CABLE 	1 	NEW 	 
38 	AMAT 	0140-12547 	HARNESS, PC TO KVM WITH
EVC IN TERFACE (15FT) 	1 	NEW 	 
39 	AMAT 	0140-10098 	HARNESS, CONTROL BOX POWER DISTRIB 	1 	NEW 	 
40 	AMAT 	0240-49281 	KVM EMULA SWITCH CABLE SET 	1 	NEW 	 
41 	AMAT 	0150-35739 	CABLE, ASSY,
RF GENERATOR INTERCONNECT (75FT) 	1 	NEW 	 
42 	  	E32000676 	VALVE, FLOW CONTROL,
500 PSIG, DOWN PORTED. 	2 	NEW 	 
43 	  	E23000582 	CONTROLLER, MASS FLOW,
GF120, HP, H2, 200 sccm 	1 	NEW 	 
44 	  	E33000499 	TRANSDUCERS, PR, 1500 Torr 	2 	NEW 	 
45 	  	E32000658 	AP3000SM-2P-FB-IS 	1 	NEW 	 
46 	  	IGM402 HORNET 	HOT CATHODE IONIZATION VACUUM GAUGE
WITH DUAL CONVACTION 	1 	NEW 	 
47 	AMAT 	0150-76116 	ROBOT CALIBRATION CABLE 	1 	NEW 	 
48 	AMAT 	0150-08018 	CABLE ASSY SERIAL ADAPTER 	3 	NEW 	 
49 	AMAT 	0150-25586 	CABLE ASSEMBLY 	2 	NEW 	 
50 	AMAT 	0090-02606 	ASSY, PC SELECT SWITCH 	1 	NEW 	 
51 	AMAT 	0150-16797 	CABLE ASSY USB 4POS PLUG 	2 	NEW 	 
52 	AMAT 	0150-06915 	C/A FE PC POWER INPUT IEC 	2 	NEW 	 
53 	AMAT 	0620-00977 	CABLE ASSY ETHERNET SHLD RJ45 CAT5E 	4 	NEW 	 
54 	AMAT 	0620-04348 	USB TO PS2 ADAPTER,
AMAT KVM SWITCH COMPATIBLE 	1 	NEW 	 
55 	AMAT 	0620-04412 	CABLE 6 INCH PS2 ADAPTER 6PIN 	4 	NEW 	 
56 	AMAT 	0620-05364 	CABLE, PS/2, MOUSE OR KEYBOARD, 6FT, M-M 	8 	NEW 	 
57 	AMAT 	0140-14753 	CABLE ASSY UPS SHUTDOW 	2 	NEW 	 
58 	AMAT 	0150-11357 	CABLE ASSY EXTENSION, SER 	2 	NEW 	 
59 	AMAT 	0150-14395 	CORD, 208VAC UPS, UPS C14 	1 	NEW 	 
60 	AMAT 	3020-00225 	NCDQ2WB50-50DC-XB13 / CYL,
Compact D/ROD L/Speed,S-W 	1 	NEW 	 
61 	AMAT 	EL6485000 	  	1 	NEW 	 
62 	AMAT 	0010-33814 	  	1 	NEW 	E-MAX CT+ 300MM
63 	AMAT 	0190-17546 	  	1 	NEW 	 
64 	AMAT 	3320-01049 	GSKT SHLD RF .125DIA 2LB/LIN-IN LOW-FOR (24FT) 	1 	
NEW 	 
65 	AMAT 	1004208-079 	MIN BEND RADIUS 4.8"(12CM) REV.J 	12 	NEW 	 
66 	AMAT 	0242-24198 	KIT, OPTIONAL, CHAMBER OPTIC CABLE MOUNT,
EYED IEP, 200MM DPS POLY 	1 	NEW 	 
67 	AMAT 	0020-09588 	BRAKET, BACK FOR UPS ON SYSNETICS FFU 	4 	NEW 	 
68 	AMAT 	0850-00088 	THRU-WALL MOUNT 	2 	NEW 	 
69 	AMAT 	0190-12908 	FACEPLATE, 4U, 4HP, WITH HARDWARE 	4 	NEW 	 
70 	AMAT 	0190-12909 	BLANKOFF, PCMIP 	4 	NEW 	 
71 	AMAT 	0190-17081 	TeNTA CPCI PWRS-0721 	1 	NEW 	 
72 	AMAT 	0190-23509 	TeNTA Quad Serial B/D 	3 	NEW 	 
73 	AMAT 	0090-20043 	4WAY SINGLE VALVE 	5 	NEW 	 
74 	AMAT 	0190-08875 	CARD 100W MESA UPS 3U 	2 	NEW 	 
75 	AMAT 	0100-13024 	ASSY, PCB INTERFACE PROCESSOR DIST 	6 	NEW 	 
76 	AMAT 	3070-00032 	BLWS SECTION FLEX NW40 X NW40 3.94L,
SST304, LEYBOL 	2 	NEW 	 
77 	AMAT 	0190-08663 	EXTERNAL USB 3.25IN FLOPPY DRIVER 	2 	NEW 	 
78 	AMAT 	0200-35957 	WINDOW, 2.750 DIA, SAPPHIRE 	1 	NEW 	 
79 	AMAT 	3700-01515 	LIP SEAL 1/8 FLANGED 	8 	NEW 	 
80 	AMAT 	0720-04379 	CONNJACK MODULAR PHONE 8CONT 	3 	NEW 	 
81 	AMAT 	0720-08319 	20NN ADAPTER, SERAL NULL MODEM, DB9 	3 	NEW 	 
82 	AMAT 	0010-00859 	ASSY, MIRROR HSG, HI-TEMP,DOME WINDOW. I 	1 	NEW 	 
83 	AMAT 	0040-89716 	E-CLEAN MTG BKT, SHELF B RETROFIT, FFU, 5.3 FI 	3 	
NEW 	 
84 	AMAT 	0200-00207 	TIP, SUSCEPTOR SHAFT OUTSIDE 	3 	NEW 	 
85 	AMAT 	0021-36222 	BRAKET, BAR CLAMP 	1 	NEW 	 
86 	AMAT 	0021-36040 	BAR,, SUPPORT BALL VALVE 	1 	NEW 	 
87 	AMAT 	0190-26019 	SPECIFICATION, POWER WAVE UPS 5115 1U RM,
208VAC UPS 	1 	NEW 	 
88 	AMAT 	0190-33823 	AE PARAMOUNT 1513 	1 	NEW 	 
89 	AMAT 	0190-10028 	AE PDX 900-2V_3156024-133A 	1 	Used 	 
90 	AMAT 	0190-19021 	APEX 3013_3156113-006C
APEX 3013_3156113-012A 	2
1 	Used 	 
91 	AMAT 	0190-17779-001 	AE OVATION 2760,
M/N : 3140292-007 E 	2 	USED 	 
92 	AMAT 	0090-06587 	ASSEMBLY, SERVER FES,
SM-1U-2.33-4GB-500GB-HWR-SERAL 	1 	NEW 	 
93 	AMAT 	0090-07485 	ASSEMBLY, SERVER SM-1U-2.33-4GB-250GB-SR 	2 	NEW 	 
94 	AMAT 	0090-04958 	FES IBM eServer 	1 	NEW 	 
95 	AMAT 	0190-29389W 	AE OVATION 35162 	1 	NEW 	 
96 	AMAT 	0190-37753 	EyeD CONTROL PC 2.5GHz Quad Core 1TB HDD 	1 	NEW 	 
97 	AMAT 	0040-09595 	HOOP, CHUCK,SUPPORT WAFE 	3 	NEW 	 
98 	AMAT 	0090-09244 	COIL, MAGNET, SYMMETRICAL, 1.33 X 1.55 	1 	NEW 	 
99 	AMAT 	0040-09893 	Mxp+ chamber Ass'y poly type:B 	2 	NEW 	 
100 	AMAT 	0242-03087 	KIT, SHIPPING CART, DPS 	1 	NEW 	 
101 	AMAT 	0190-19429 	IPC-6908 	1 	USED 	 
102 	AMAT 	0010-27073 	SLIT DOOR ASSEMBLY DPSII ADVANTEDGE 	2 	NEW 	 
103 	AMAT 	0920-00130W 	AE RAPID-OE PLASMA SOURCE //
M/N : 3151802-003 	1 	USED 	 
104 	AMAT 	0190-09761 	VALVE.PNEUMATIC BALL N/C 	2 	NEW 	 
105 	AMAT 	0090-07168 	CABLE ASSY, RECEPTACLE, GENERATOR,
300MM EMAX CTS 	3 	NEW 	 
106 	AMAT 	0020-48839 	UPPER HARNESS RACEWAY TRAY, FFU, 5.3FI 	2 	NEW 	 
107 	AMAT 	3870-04672 	TBV-IQD-150-NW-40 	2 	NEW 	 
108 	AMAT 	0010-36850 	ASSY ATM CLAMP RING SST FIT 	2 	NEW 	 
109 	AMAT 	0010-44242 	DUAL DISPLAY ASSY.17" W/TOUCHPAD,
GUI &amp; EYE D 	1 	NEW 	 
110 	AMAT 	0242-46557 	BPC-1701-01-01-LPE-KIT-MON-MON 	2 	NEW 	 
111 	AMAT 	0190-27952-04 	SPECIFICATION, ETHERNET TO SER 	3 	NEW 	 
112 	AMAT 	0200-35688 	CHAMBERLINER 	3 	NEW 	 
113 	AMAT 	0242-48211 	KIT, SHELDING CLAMP, GAS LINES,
EMAX 300MM I3DB 	1 	NEW 	E-MAX
114 	AMAT 	0190-45045 	SBC, ADLINK PENTIUM M 1.0GHZ
512MB RAM 512MB CF 	1 	NEW 	 
115 	AMAT 	0010-30277 	ESC, Assy 300mm DPSⅡ 	1 	NEW 	 
116 	AMAT 	0200-39137 	CERAMIC DPS-POLY DOME 	1 	Used 	 
117 	AMAT 	0090-04736 	RF FILTER BOX 	1 	Used 	 
118 	AMAT 	1140-00620 	P/S module HF10-937 	1 	Used 	 
119 	AMAT 	0230-A1772 	EFF &amp; TB MAPPER OPTION 	1 	Used 	 
120 	AMAT 	0190-10318 	KAWASAKI P/N : 50480-1089 	1 	NEW 	 
121 	AMAT 	0200-05678 	BLADE, CERAMIC OPEN FORK 	1 	NEW 	 
122 	AMAT 	0021-37344 REV.P1 	6" PEDSTAL 	1 	Used 	 
123 	AMAT 	0100-00003 	STEPPER DRIVE 	2 	Used 	 
124 	AMAT 	0190-24008 REV 002 	SBC C400MHz 3U 4HP 64M RAM FRO 	1 	NEW 	 
125 	AMAT 	0190-24007 REV 001 	MKS-TENTA AS3720-23 REV 01 	3 	NEW 	 
126 	AMAT 	0090-40772 REV 001 	SBC P1.6GHz 1GB RAM 80GB HDD,
CPCI-3840/AMA//PM16 	1 	NEW 	 
127 	AMAT 	0240-14507 	PIK, VDS SENSOR, ASP+ 200MM 	1 	NEW 	 
128 	AMAT 	0195-04829 	FLOUR OPTIC TEMPERATURE MONITOR
300MM E-MAX, DUAL ZONE ESC 	1 	NEW 	E-MAX
129 	AMAT 	0200-04317-003-831 	258-00618 QUARTZ PART 	1 	NEW 	 
130 	AMAT 	0200-04317-003-831 	288-00638 QUARTZ PART 	1 	NEW 	 
131 	AMAT 	0200-02747 	LID CERAMIC DUAL GAS FLAT IEP 300MM 	1 	Used 	 
132 	AMAT 	0021-02395 	INSERT RING ALUMINUM DXZ SACVD 	2 	USED 	P5000
133 	AMAT 	0200-36418 	COVER CERAMIC PUMPING CHANNEL DXZ SAC 	2 	USED 	
P5000
134 	AMAT 	0200-00278 	RING, EDGE, SLIT, NITRIDE 550 	2 	USED 	 
135 	AMAT 	0200-36415 	PUMPING RING CERAMIC C-SHAPE DXZ SACVD 	2 	USED 	
P5000
136 	AMAT 	0200-36416 	PUMPING RING CERAMIC DXZ SACVD 	2 	USED 	P5000
137 	AMAT 	0200-36417 	PUMPING RING, CERAMIC TOP, DXZ SACVD 	2 	USED 	
P5000
138 	AMAT 	0040-79927 	SGD OUTER COOL PLATE 300MM EMAX CTS 	2 	USED 	E-MAX
139 	AMAT 	0040-79926 	SGD INNER COOL PLATE 300MM EMAX CTS 	2 	USED 	E-MAX
140 	AMAT 	0242-02653 	1:1 LOCKOUT VALVE KIT CENTURA 	2 	NEW 	 
141 	AMAT 	0100-09169 	P5000 EPD / 8115 CPU 	1 	USED 	 
142 	AMAT 	0100-09009 	BUFFER I/O BOARD 	1 	USED 	 
143 	AMAT 	0190-25905 	 Analog I/O VME PCB Card 	1 	USED 	 
144 	AMAT 	0100-09196 	 E Chuck Controller PCB Card 	2 	USED 	 
145 	AMAT 	0190-17964 	ETCH DPS INTLK MODULE 	1 	Used 	 
146 	AMAT 	0090-01810 	MAIN FRAME INTERFACE 	1 	Used 	 
147 	AMAT 	0100-20458 	Configurable InterLock 	2 	Used 	 
148 	AMAT 	0190-24115 	MKS CND391r Digital I/O 	1 	Used 	 
149 	AMAT 	0190-07750 	CDN391 Digital I/O 	1 	Used 	 
150 	AMAT 	0190-06279 	CDN391 Digital I/O 	1 	Used 	 
151 	AMAT 	0190-01270 	CDN396 Analog I/O 	3 	Used 	 
152 	AMAT 	0660-01809 	Square D VME / SPX VME6U1V2 	7 	Used 	 
153 	AMAT 	0900-01067 	FLTR EMI CONN ADPTR 15 POS D 	2 	Used 	 
154 	AMAT 	0900-01117 	FLTR EMI CONN ADPTR 25 POS DUS 	1 	Used 	 
155 	AMAT 	0900-01112 	  	5 	Used 	 
156 	AMAT 	0041-10491 	Lower Clamp Center HUB 	1 	Used 	 
157 	AMAT 	0900-01017 	TYCO 10VS1 Filter 	1 	Used 	 
158 	AMAT 	0200-01195 	Window, IEP 300MM DPS2 	3 	Used 	DPS G5 MESA
159 	AMAT 	0010-32005 	FEED THRU, HELIUM DUAL ZONE, AS 	1 	Used 	DPS G5 
MESA
160 	AMAT 	0200-07102 	Ceramic Nozzle G5 (MESA_Blocked_Type Nozzle) 	1 	
Used 	DPS G5 MESA
161 	AMAT 	0200-06616 	Nozzle Insert TGN/MESA Quantum Clean 	1 	Used 	DPS 
G5 MESA
162 	AMAT 	0200-36034 	INSULATOR Quarz 300MM Simple CATHODE 	1 	Used 	DPS 
G5 MESA
163 	AMAT 	0200-05959 	Single Ring Quarz, 09 Height, 12 Recessdbsh 	5 	
Used 	DPS G5 MESA
164 	AMAT 	0200-05080 	Cover MIN Contact High Purity STI 300MM Ultima X 	3 	
Used 	DPS G5 MESA
165 	AMAT 	0200-00933 	Cover Screw Cathode Liner 300MM DPS II 	1 	Used 	
DPS G5 MESA
166 	AMAT 	0020-87845-05 	Yttria Coated Anodized Liner Cathode With Screen, 
300mm
(Liner Cathode Y203 W/Screen DPS II) 	1 	Used 	DPS G5 MESA
167 	AMAT 	0021-82435 REV. 01 	301391-0911-A003 	1 	Used 	DPS G5 MESA
168 	AMAT 	0041-10490 	Clamp Upper Dual AL203 Gas Side Feed 	1 	Used 	DPS 
G5 MESA
169 	AMAT 	0021-23765 	  	1 	Used 	DPS G5 MESA
170 	AMAT 	0020-89739-03 	Door, Slit Valve Y203 Coat 300mm DPS 232 	1 	
Used 	DPS G5 MESA
171 	AMAT 	0021-44786-06 	Yttria Coated, Anodized Aluminum, Nickel Plated, 
Plasma Screen, Flow EQ
(ESC Ring Liner W/Hardware Part Of Centura Centris) 	1 	Used 	DPS G5 MESA
172 	AMAT 	0041-24850 	Mouning - Ring - DG - With - Flat - 300 	1 	Used 	
DPS G5 MESA
173 	AMAT 	0200-07988 	Ceramic Ring 	1 	Used 	DPS G5 MESA
174 	AMAT 	0040-76368 	Maniford Short 	1 	Used 	DPS G5 MESA
175 	AMAT 	0200-06615 	LID HPM Dual Gas Flat IEP 300MM DPS 232 	1 	Used 	
DPS G5 MESA
176 	AMAT 	0010-10033 	PECVD Ceramic Wafer Lift Hoop 	1 	Used 	6" P5000
177 	AMAT 	  	Ceramic Shield 	1 	Used 	6" P5000
178 	AMAT 	0200-09734 	Cover, PEDESTAL, 150mm Ceramic 	1 	Used 	6" P5000
179 	AMAT 	0020-03423 	RIE ETCH Pedestal 	2 	Used 	6" P5000
180 	AMAT 	0020-10771 	CVD Shower Head
/ PERF PLATE 150MM 	3 	Used 	6" P5000
181 	AMAT 	0020-34118 	Clamp Vespel OX/MLR/NIT Scored Fingers / Clamp Ring 	
2 	Used 	6" P5000
182 	AMAT 	  	Bare Aluminum Faceplate (For SiH4) 	1 	Used 	6" P5000
183 	AMAT 	0020-31613 	Cylinder, Lift, Alum, 150mm
/ Anodized AL Covering Pipe (RIE ETCH) 	2 	Used 	6" P5000
184 	AMAT 	0020-31774 	Cylinder HOT Inner 	1 	Used 	6" P5000
185 	AMAT 	0020-30481 	Carrier Assembly 	2 	Used 	6" P5000
186 	AMAT 	  	RIE Sputter ETCH Spacer 	2 	Used 	6" P5000
187 	AMAT 	0020-30347 	Cylinder, External 	1 	Used 	6" P5000
188 	AMAT 	  	PECVD GAS Distribufer Ceramic Shield 	2 	Used 	6" P5000
189 	AMAT 	0020-30085 	Pumping Plate CVD Chamber 	2 	Used 	6" P5000
190 	AMAT 	0010-02862 	150mm Susceptor 	4 	Used 	6" P5000
191 	AMAT 	0010-70386 	Stand Alone VGA Monitor Base 	1 	Used 	P5000
192 	AMAT 	  	CVD Chamber LID 	1 	Used 	P5000
193 	AMAT 	  	Chamber Slit Valve 	2 	Used 	P5000
194 	AMAT 	0010-75100 	ETCH Throttle Valve 	1 	Used 	P5000
195 	AMAT 	12040-FE44-1007 	ETCH Heated Gate Valve 	1 	Used 	P5000
196 	AMAT 	0010-09340 	Susceptor Lift 	1 	Used 	P5000
197 	AMAT 	0100-09340 	Susceptor Lift 	1 	Used 	P5000
198 	AMAT 	0010-30029 	P-Chuck Lift 	1 	Used 	P5000
199 	AMAT 	0010-10033 	Wafer Lift 	1 	Used 	P5000
200 	AMAT 	0010-09341 	Wafer Lift 	1 	Used 	P5000
201 	AMAT 	0010-09341 	Wafer Lift 	1 	Used 	P5000
202 	AMAT 	3870-01212 	VALVE PNEU NW 40 / Load Lock Isolation Valve 	2 	
Used 	P5000
203 	AMAT 	3870-01215 	Pneumatic Right Angle Valve / ETCH Bypass Isolation 
Valve 	1 	Used 	P5000
204 	AMAT 	ESVP-1002-NWB-98 	Pneumatic Right Angle Poppet Valves 	1 	Used 	
P5000
205 	AMAT 	AIV-1002-NWB 	Manual Angle Valve 	1 	Used 	P5000
206 	AMAT 	ILVP-1002-NWB 	Pneumatic Inline Valve 	2 	Used 	P5000
207 	MKS 	L2-40-AK-225-CLVNH 	MKS Pneumatic Inline Valve 	1 	Used 	P5000
208 	AMAT 	0100-09126 	Remote Wiring Distribution Board 	1 	Used 	P5000
209 	AMAT 	0010-76036 	Mini Controller 	1 	Used 	P5000
210 	AMAT 	0015-09091 	MCVD Lamp Driver / Asembly Lamp Driver 	2 	Used 	
P5000
211 	AMAT 	0010-76535 	Logic Box 	1 	Used 	P5000
212 	AMAT 	0010-09750 	CVD RF Match 	2 	Used 	P5000
213 	AMAT 	0100-09107 	TEOS GAS Interface BD 	1 	Used 	P5000
214 	AMAT 	0100-09106 	Expanded GAS Panel Interface BD 	1 	Used 	P5000
215 	AMAT 	0100-09099 	Chamber Interconnect BD 	2 	Used 	P5000
216 	ENI 	OEM-6AM-1-B 	OEM-6 	1 	Used 	P5000
217 	AMAT 	0021-09758 	Manifold Output 	1 	NEW 	P5000
218 	AMAT 	0021-23550 	Manifold Input 	1 	NEW 	P5000
219 	AMAT 	0020-30335 	Quartz Tube Housing 	1 	NEW 	P5000
220 	AMAT 	0015-09056 	Bellows Assy, Wafer Solid 	5 	NEW 	P5000
221 	AMAT 	0015-09055 	Bellows Assy, Susceptor Hollow 	5 	NEW 	P5000
222 	AMAT 	0021-10191 	Plate Blocker Nitride / TEOS USG 200mm 	2 	NEW 	
P5000
223 	AMAT 	0200-09072 	Ceramic Shield, 200mm, Ceramic Ring 	1 	USED 	P5000
224 	AMAT 	0200-09035 ? 	PIN Wafer Lift 6" 	10 	NEW 	P5000
225 	AMAT 	0020-31659 	Cover Vespel 	12 	NEW 	P5000
226 	AMAT 	0200-09637 	Plug, Sic, Tapered Straight 	1 	NEW 	P5000
227 	AMAT 	0020-03696 	FLNGER, Flange_P5000 	2 	NEW 	P5000
228 	AMAT 	0020-09069 	Lifting Pin, Viton TIP 	4 	NEW 	P5000
229 	AMAT 	0020-03597 	Carrier 8" W/Flex 	1 	USED 	P5000
230 	AMAT 	0020-10728 	Ceramic Shield Clamp 	18 	USED 	P5000
 </t>
  </si>
  <si>
    <t xml:space="preserve">109063</t>
  </si>
  <si>
    <t xml:space="preserve">Oxide CMP system, with SMIF</t>
  </si>
  <si>
    <t xml:space="preserve">1 month</t>
  </si>
  <si>
    <t xml:space="preserve">-Completely refurbished to your specification.
-See attached photos for current condition.
-See the pdf attached for the configuration in detail, also shown below in 
html:-
Wafer Size 	200 mm 	  	 
Purpose 	CMP Chemical Mechanical Polishing 	  	 
System Name 	Mirra Mesa with SMIF FAB 	  	 
Deatailed System requirement 	MIRRA MESA CMP SYSTEM FOR OXIDE POLISHING 	  	
Basic Mirra System including: 	  	  	 
Process 	Oxide CMP 	  	 
Tool type 	Mirra Mesa with SMIF FAB 	  	 
HSMS/Serial 	  	HSMS, SECS II - GEM interface
Hardisk (SCSI/SSD) 	RAID 2 Bay HDD (SSD) 	  	 
Software 	System OS 	Window NT
  	Polisher Software Ver 	NA
  	Optical endpoint 	NA
  	Cleaner Software Ver 	NA
  	Main board 	Pentium III 400MHZ 128MB
Mirra Hardware configuration 	Pad Conditioner (X3) 	PC Base arm hub
  	  	DDF3 Head
  	  	Standard Universal Holder
  	  	Clear Pad Conditioner arm Cover
  	Platen 	Teflon coated platen with Platen shield
  	HCLU (X1) 	Standard HCLU
  	Robot (X1) 	Wet robot with long blade
  	Cross 	Kollmorgen head rotation Motor (X4), NSK replacement
  	  	Wafer Loss Sensor Assembly (X4)
  	ISRM 	Legacy for Platen 1,2 3
UPA 	Upper Pneumatic Assembly (Regulator) /
SMC Upper Pneumatic Assembly
Waterfall design Upper Polisher Electrical/Pneumatics
  	  	3 Port Rotary Union include refurbishment
  	Head 	Standard Titan I Head
Slurry Delivery 	Slurry line setup [2 delivery lines],
Platen1 &amp; 2 (line1), Platen3 (line2 )
  	  	-Extended rinse slurry dispense arm (2 slurry lines)
  	  	peristaltic pump
Controller 	* Start/Stop Button on Controller
  	  	* Smoke detector for Controller
  	  	* 3 Poles breaker
  	  	* 200 - 230 VAC PS
  	  	* 100 VAC Convenience outlet
  	  	Separate controller with 30 feets umbilicals
Miscellaneous 	Transparent skins for full machine
  	  	* 2 sets of keyboard and mouse (PS2 type) with KVM switch system
  	  	Through the wall configuration
  	  	* EMO button, Blank label, CE compliant
  	  	* Guard rings on all EMO Buttons
  	  	* English safety labels
  	  	* Drain 4 line system
  	  	* Drip Pan
  	  	* 8” Upper Exhaust Flange
  	  	* Lower Exhaust with main exit by the top
  	  	* Single spray Gun. Clear window in System skin.
Mesa 	
Megasonic 	Megasonic Generator
  	  	Megasonic Transducer Plate (New)
  	  	Megasonic tank includes gasket, rollers replacement
  	  	Megasonic Orion Heater includes refurbishment
  	  	Megasonic Pump includes refurbishment
  	  	Chemical Vessel setup (x2)
Brush Unit 1 and 2 	Chemical Vessel setup for both Brush 1 &amp; 2
  	  	Brush open/close assembly ( Zaytran - Fixed brush gap type)
  	SRD 	SRD module with lamp
  	Output 	Separate Output module and SRD module Exhaust
SMIF Fab
Hardware Configuration 	
SMIF 	3 SMIF port stations
  	  	SMIF Fab with Mini Environment
  	  	Ceramic robot blade with filter
  	  	Patlite 4 color Light tower with buzzer (Red, Green, White, Yellow)
 </t>
  </si>
  <si>
    <t xml:space="preserve">100873</t>
  </si>
  <si>
    <t xml:space="preserve">Mirra Mesa Integrated</t>
  </si>
  <si>
    <t xml:space="preserve">Oxide/STI CMP</t>
  </si>
  <si>
    <t xml:space="preserve">THIS EQUIPMENT IS AVAILABLE IN COMPLETELY REFURBISHED CONDITION, RE-BUILT 
TO YOUR REQUIRED SPECIFICATION.
THE FOLLOWING IS AN EXAMPLE OF A SPECIFICATION WHICH CAN BE PROVIDED:-
System configuration 	 
General information 	Selected Option
Technology 	Oxide/STI/WCMP/CUCMP
Platform Type 	Mirra Mesa
Wafer Specification 	Selected Option
Wafer Size 	200mm
Wafer Shape 	Notch Type
Mirra 3400 CMP System
System Information 	Selected Option
Application 	Oxide/STI/WCMP/CUCMP
System 	DRY IN-DRY OUT
Process Type 	All Process
Cleaner Type 	Mesa
Wet Robot Type 	Standard Refurbished
Wet Queue Tank 	NA
System Skins 	Clear Skins
Load Cup 	Full Contact HCLU, Overhauled
Cassette Type 	8 inch
Performance Enhancement Options 	Selected Option
Daily PM Reduction Kit (Clean Kit) 	Optional
Pad Conditioner Head1~3 	DDF3
Pad Conditioner Disk Holder 	Universal - Screw type
Pad Conditioner Sweep Hard Stop 	Yes
Pad Conditioner retrofit 	Normal DDF3
Pad Conditioner Gear Assembly Overhaul 	Yes
Waterfall Spray Cleaning System 	Optional
Factory Interface Options 	Selected Option
Platen 1 ISRM 	Legacy
Platen 2 ISRM 	Legacy
Platen 3 ISRM 	Legacy
In Line Metrology 	NA
SECS GEM Interface 	Yes
High Speed Messaging System (HSMS) 	Optional
Installation Type 	RORZE FABS202
Integrated System Basic FABS 	Yes (FFU included)
FABS Robot Blade 	YES, OEM new or overhauled
Cassette Tank 	YES
Factory Automation 	Yes
Polisher Options 	Selected Option
Polishing Head (Head1~4) 	TITAN 1 x 4ea
Upper Pneumatics Assembly (UPA) 	TITAN1 UPA
UPA Location 	External Relocated
Pad Wafer Loss Sensor 	Dual Sensor
Platen Temperature Control 	No
Platen Temp Control Cable 	No
Upper Platen Coating 	Teflon Coating
Platen Gear Assembly Overhaul 	Yes, Greaseless Type
Slurry Delivery Options 	Selected Option
Slurry Delivery 	3 Slurries
Slurry Flow Rate 	Standard Flow
Slurry Flow Controller (CLC) 	Tokyo Keiso CLC x 3
Slurry Pump Head 	Yes (Not Applicable if CLC model is chosen)
Slurry Containment Bulkhead 	Double Containment
Slurry Facilities 	None
Slurry Loop Line 	No
Slurry Loop Line A 	Slurry (PL1, PL2, PL3)
Slurry Loop Line B 	Optional
Slurry Loop Line C 	Optional
Slurry Dispense Arm 	Standard Length Platen1~3
High Pressure Rinse
Slurry Leak Detector 	Yes
Cleaner Plumbing 	Not Applicable
DI Water 	Standard
Slurry Tube 	Yes
Slurry Filter &amp; Housing 	NO
Slip Out Sensor Slurry Cover Per Head 	Yes
FACILITIES OPTIONS
System Safety 	Selected Option
EMO Guard Ring 	Yes
EMO IO 	No
System Labels 	English
System User Labels 	English
LOTO Box 	NO
Smoke Detector 	Yes
Polisher Slurry Leak Sensor 	Yes
Electrical Requirements 	Selected Option
Line Frequency 	50 HZ
Line Voltage 	200/208 VAC
Uninterruptible Power Supply 	None
Power Lamp 	Green Lamp
Power Connected Lamp 	No
Circuit Breaker 	200A
Controller Top Panel 	Holes Punched Out for AC Power Cables Entry
Configurable IO 	No
GFI Type 	Standard 30mA
Isolation Transformer 	No
Umbilical's 	Selected Option
CAT Track Style 	WaterFall
Polisher to Controller Cable 	Standard 30ft
Controller to Monitor Cable 	Standard
Slurry System Interface Cable 	None
Factory Hookup 	Selected Option
Upper Exhaust 	Standard
Upper Exhaust Material 	Stainless Steel
Lower Exhaust 	None
Process Exhaust Vent Interlock Sensor 	Yes
Upper Exhaust Connection 	No Flange
Drain Manifold 	Options:
1 Line or 4 Lines to Facilities
Drain Adapter 	NPT Fittings
Internal Vacuum Venturi 	Yes
 </t>
  </si>
  <si>
    <t xml:space="preserve">108556</t>
  </si>
  <si>
    <t xml:space="preserve">Uvision 600SP</t>
  </si>
  <si>
    <t xml:space="preserve">Brightfield Inspection System</t>
  </si>
  <si>
    <t xml:space="preserve">108557</t>
  </si>
  <si>
    <t xml:space="preserve">Centura EPI</t>
  </si>
  <si>
    <t xml:space="preserve">Epitaxial Deposition, reduced pressure, 2 chamber</t>
  </si>
  <si>
    <t xml:space="preserve">Deinstalled, warehoused. Can be inspected by appointment.
Platform Type: 300mm Centura
Application Level 1 : Reduced Pressure
Application Level 2 : Reduced Pressure
First in Fab System or Apps : No
Ch-A : (RH3) Reduced PRESSURE EPI
Ch-B : (RH3) Reduced PRESSURE EPI
Ch-C : Empty
Ch-D : Empty
Electrical: SEMI
Chamber A Configuration
Thickness Control Option AccuSETT 2
Recipe Control AccuSETT Yes
Lamp Type
Ushio BNA8
Chamber B Configuration
Thickness Control Option AccuSETT 2
Recipe Control AccuSETT Yes
Lamp Type
Ushio BNA8
Gas Delivery Configuration
Pump Purge: Yes
Regulator and Displays: Transducers and Regulators
Transducer Display Type: SI (KPA)
H2 Leak Detector: SINGLE
MFC Configuration
#        CH A       CH B
Slot 1   N2          N2
Slot 2   HCL         HCL
Slot 3   SiH4        SiH4
Slot 5   Si2H6       D-DOP#1
Slot 6   HCL         D-DOP#2
Slot 7   DCS         DCS
Slot 8   GeH4        GeH4
Slot 9   M-DOP#1     M-DOP#1
Slot 10  M-DOP#2     M-DOP#2
Mainframe Configuration
Mainframe Type: STD CENTURA
Loadlocks:BATCH LOAD LOCK
Upper Frame H2 Leak Detector:Present
Mass Flow Verification: YES
Multi Water Clean: NO MVC FOR 4 CHAMBER SYSTEM
Wafer Transfer Robot: YASKAWA
ORIENTER: PRE ALIGNER
End effecter: Edge grip PEEK material
Wafer storage: 2 Slot
Wafer Mapping: LED sensor Detection
Number of Load Parts: Two</t>
  </si>
  <si>
    <t xml:space="preserve">108558</t>
  </si>
  <si>
    <t xml:space="preserve">ENDURA CL</t>
  </si>
  <si>
    <t xml:space="preserve">PVD Cluster tool</t>
  </si>
  <si>
    <t xml:space="preserve">Deinstalled, warehoused. Can be inspected by appointment. The detailed 
configuration is available on request.</t>
  </si>
  <si>
    <t xml:space="preserve">109582</t>
  </si>
  <si>
    <t xml:space="preserve">CVD SiN Process with 2 x CVD chambers</t>
  </si>
  <si>
    <t xml:space="preserve">150 MM</t>
  </si>
  <si>
    <t xml:space="preserve">108559</t>
  </si>
  <si>
    <t xml:space="preserve">ENDURA  II  Chamber</t>
  </si>
  <si>
    <t xml:space="preserve">PVD</t>
  </si>
  <si>
    <t xml:space="preserve">109583</t>
  </si>
  <si>
    <t xml:space="preserve">CVD TEOS Process with 2 x CVD chambers</t>
  </si>
  <si>
    <t xml:space="preserve">Included:
-Main Body with qty 2 Standard CVD chambers
-TEOS Autofill system
-RF Rack with 2 x ENI RF Generators
-Heat exchanger
-Power Box
-Electronics Rack</t>
  </si>
  <si>
    <t xml:space="preserve">108560</t>
  </si>
  <si>
    <t xml:space="preserve">108561</t>
  </si>
  <si>
    <t xml:space="preserve">91158</t>
  </si>
  <si>
    <t xml:space="preserve">Centura WCVD</t>
  </si>
  <si>
    <t xml:space="preserve">WSIX(OPTIMA)</t>
  </si>
  <si>
    <t xml:space="preserve">De-installed, warehoused. Can be inspected by appointment.
WILL BE SOLD IN REFURBISHED CONDITION.</t>
  </si>
  <si>
    <t xml:space="preserve">96534</t>
  </si>
  <si>
    <t xml:space="preserve">CMP system</t>
  </si>
  <si>
    <t xml:space="preserve">-Completely refurbished to your specification.
-See attached photo for current condition.
-See the pdf attached for the configuration in detail.</t>
  </si>
  <si>
    <t xml:space="preserve">91159</t>
  </si>
  <si>
    <t xml:space="preserve">De-installed, warehoused. Can be inspected by appointment.
REFURBISHED</t>
  </si>
  <si>
    <t xml:space="preserve">91160</t>
  </si>
  <si>
    <t xml:space="preserve">WxZ Optima</t>
  </si>
  <si>
    <t xml:space="preserve">96537</t>
  </si>
  <si>
    <t xml:space="preserve">Mirra Ontrak</t>
  </si>
  <si>
    <t xml:space="preserve">Poly/STI CMP</t>
  </si>
  <si>
    <t xml:space="preserve">THIS EQUIPMENT IS AVAILABLE IN COMPLETELY REFURBISHED CONDITION, RE-BUILT 
TO YOUR REQUIRED SPECIFICATION.
EQUIPMENT DETAILS:
System configuration 	Preferred system configuration
General information 	Selected Option
Technology 	Oxide/STI/WCMP/CUCMP
Platform Type 	Mirra Ontrak
Wafer Specification 	Selected Option
Wafer Size 	200mm
Wafer Shape 	Notch Type
Mirra 3400 CMP System
System Information 	Selected Option
Application 	Oxide/STI/WCMP/CUCMP
System 	Dry-In-Dry-Out
Process Type 	All Process
Cleaner Type 	Ontrak Integra
Wet Robot Type 	Standard
Wet Queue Tank 	Yes
System Skins 	
Clear Skins
Load Cup 	Full Contact HCLU, Overhauled
Cassette Type 	8 inch
Performance Enhancement Options 	Selected Option
Daily PM Reduction Kit (Clean Kit) 	NA
Pad Conditioner Head 1~3 	DDF3
Pad Conditioner Disk Holder 	Universal, Screw type
Pad Conditioner Retrofit 	
Normal DDF3
Pad Conditioner Gear Assembly Overhaul 	Yes
Factory Interface Options 	Selected Option
Platen 1 ISRM 	Legacy
Platen 2 ISRM 	Legacy
Platen 3 ISRM 	Legacy
In Line Metrology 	Not Applicable
SECS GEM Interface 	Yes
Installation Type 	FABS202
Integrated System Basic FABS 	Yes (FFU included)
FABS Robot Blade 	Yes, OEM new or overhauled
Cassette Tank 	Yes
Factory Automation 	Yes
Polisher Options 	Selected Option
Polishing Head (Head1~4) 	TITAN 1 x 4
Upper Pneumatics Assembly (UPA) 	TITAN1 UPA
UPA Location 	External Relocated
Pad Wafer Loss Sensor 	Dual Sensor
Platen Temperature Control 	No
Platen Temp Control Cable 	No
Upper Platen Coating 	Teflon Coating
Platen Gear Assembly Overhaul 	Yes, Greaseless Type
Slurry Delivery Options 	Selected Option
Slurry Delivery 	3 Slurries
Slurry Flow Rate 	Standard Flow
Slurry Flow Controller (CLC) 	Tokyo Keiso CLC x 3
Slurry Pump Head 	Yes (Not applicable, if CLC model is selected)
Slurry Containment Bulkhead 	Double Containment
Slurry Facilities 	None
Slurry Loop Line 	No
Slurry Loop Line A 	Slurry (PL1, PL2, PL3)
Slurry Loop Line B 	Optional
Slurry Loop Line C 	Optional
Slurry Dispense Arm 	Standard Length, Platen1~3
  	High Pressure Rinse
Slurry Leak Detector 	Yes
Cleaner Plumbing 	Not Applicable
DI Water 	Standard
Slurry Tube 	Yes
Slurry Filter &amp; Housing 	Optional
Slip Out Sensor Slurry Cover Per Head 	Yes
FACILITIES OPERATIONS
EMO Guard Ring 	Yes
EMO IO 	No
System Labels 	English
System User Labels 	English
LOTO Box 	No
Smoke Detector 	Yes
Polisher Slurry Leak Sensor 	Yes
Electrical Requirements 	Selected Option
Line Frequency 	50 HZ
Line Voltage 	200/208 VAC
Uninterruptible Power Supply 	None
Power Lamp 	Green Lamp
Power Connected Lamp 	No
Circuit Breaker 	200A
Controller Top Panel 	Holes Punched Out for AC Power Cables Entry
Configurable IO 	No
GFI Type 	Standard 30mA
Isolation Transformer 	No
Umbilical's 	Selected Option
CAT Track Style 	Water Fall
Polisher to Controller Cable 	Standard
Controller to Monitor Cable 	Standard 30 ft
Slurry System Interface Cable 	None
Factory Hookup 	Selected Option
Upper Exhaust 	Standard
Upper Exhaust Material 	Stainless Steel
Lower Exhaust 	None
Process Exhaust Vent Interlock Sensor 	Yes
Upper Exhaust Connection 	No Flange
Drain Manifold 	Options:
1 Line or 4 Lines to Facilities
Drain Adapter 	NPT Fittings
Internal Vacuum Venturi 	Yes
OPERATOR INTERFACE OPTIONS
Operating Hardware &amp; Software 	Selected Option
Hard disk 	Dual Harddisk
Memory 	128M or above
CPU 	PIII CPU or above
Fabs Software 	Fabs Daemon 1.35
Operating System 	Windows NT 4.00.1381 or above
Software Version 	MB60a1 or above
Endpoint 	IB11h8
Cleaner Software 	2.3.8
User Interface 	Selected Option
Monitor Selection 	1 FPD
Monitor 1 Location 	Front FPD On Cart
Mouse or Trackball 	Mouse (include keyboard)
Start Stop Button 	Controller
Light Towers Selection 	Polisher and Controller
Polisher Light Tower 	Selected Option
Polisher Tower Mounting Type 	Pole Mounted
Polisher Tower No of Colors 	3 Color
Polisher Tower Lamp Type 	Incandescent
Polisher Tower Colors Sequence 	RYG
Controller Light Tower 	Selected Option
Controller Tower Mounting Type 	Pole Mounted
Controller Tower No of Colors 	3 Color
Controller Tower Lamp Type 	Incandescent
Controller Colors Sequence 	RYG
Cleaner Options 	Selected Option
Ontrak Cleaner 	Yes
Touch Screen 	Yes
Controller Box 	Yes
Input Station 	Yes
Brush 1 Station 	Yes
Brush 2 Station 	Yes
Spin Station 	Yes
Megasonics 	No
Leak Detector 	Yes
Roller &amp; Brush Rotation Detector 	Yes</t>
  </si>
  <si>
    <t xml:space="preserve">91162</t>
  </si>
  <si>
    <t xml:space="preserve">96538</t>
  </si>
  <si>
    <t xml:space="preserve">THIS EQUIPMENT IS AVAILABLE IN COMPLETELY REFURBISHED CONDITION, RE-BUILT 
TO YOUR REQUIRED SPECIFICATION.
EQUIPMENT DETAILS:
-  Wafer Size (inches) : 8
-  Install Type : Through-the-wall
-  Year of Manufacture: 1999
-  Software Version : MB60A1
-  CPU Board Type : Pentium 3      400MHz or Higher : Yes
-  Electrical Requirements : 200/208VAC
-  Process Type: Polysilicon
-  Mainframe: Mirra Track
o Dry In/Dry Out
o Signal Lamp Tower
o Integrated SMIF (qty 3 loaders)
o Cassette Tank : Standard
o Robot Type : 112”
o Cleaner Type : Ontrak
o Cleaner Chemicals Used : NH4OH
o E-Chain Lifetime : Since installation
o Cleaning Package : No
o Spray Gun : Single
o In-Situ Removal Rate Monitor : Motor Torque
o Metrology Option : None
o IPM : No
-  Mirra Polish Heads
o Titan 1 Polish Heads
o PPS Retaining Rings
o Standard Wafer Loss Sensor
-  Mirra Platens
o Teflon Coated Platens : No
o Pad Type : IC 1000
o Pad Conditioner Head : P4 Intel
o Pad Conditioner Disc : EWHA  
o Universal Disk Holder : No
o Temperature Control : None
-  Slurrieso Slurries/Platen Used : 1
o Chemicals Used : Oxide Slurry
o Flow Rate : Standard  
o Dispense Arm : Standard  
o Slurry Flow Monitors : Yes</t>
  </si>
  <si>
    <t xml:space="preserve">108059</t>
  </si>
  <si>
    <t xml:space="preserve">CENTURA 2  DPS</t>
  </si>
  <si>
    <t xml:space="preserve">Deep Trench Etcher, 2 chambers</t>
  </si>
  <si>
    <t xml:space="preserve">2ch</t>
  </si>
  <si>
    <t xml:space="preserve">108060</t>
  </si>
  <si>
    <t xml:space="preserve">Centura 5300 HDP Omega</t>
  </si>
  <si>
    <t xml:space="preserve">Dry etch cluster tool with 2 Chambers SIO2 etch</t>
  </si>
  <si>
    <t xml:space="preserve">2ch:SiO2 D/E CH-A/B</t>
  </si>
  <si>
    <t xml:space="preserve">110620</t>
  </si>
  <si>
    <t xml:space="preserve">Centura Enabler</t>
  </si>
  <si>
    <t xml:space="preserve">Dry etcher</t>
  </si>
  <si>
    <t xml:space="preserve">Deinstalled and warehoused. Can be inspected by appointment. Sold in "As 
Is" condition.</t>
  </si>
  <si>
    <t xml:space="preserve">97053</t>
  </si>
  <si>
    <t xml:space="preserve">ENDURA2 Chamber only</t>
  </si>
  <si>
    <t xml:space="preserve">Amber-(Ti) chamber</t>
  </si>
  <si>
    <t xml:space="preserve">De-installed and warehoused. Can be inspected by appointment. Please refer 
to the attached photos for details.</t>
  </si>
  <si>
    <t xml:space="preserve">97054</t>
  </si>
  <si>
    <t xml:space="preserve">ESIP chamber</t>
  </si>
  <si>
    <t xml:space="preserve">91168</t>
  </si>
  <si>
    <t xml:space="preserve">De-installed, warehoused. Can be inspected by appointment.
TO BE SOLD IN REFURBISHED CONDITION.
for current "as is" condition, please refer to the attached photos.</t>
  </si>
  <si>
    <t xml:space="preserve">109088</t>
  </si>
  <si>
    <t xml:space="preserve">SEMVISION G3 Lite</t>
  </si>
  <si>
    <t xml:space="preserve">Defect Review SEM</t>
  </si>
  <si>
    <t xml:space="preserve">6 months</t>
  </si>
  <si>
    <t xml:space="preserve">Software Version: 5.3.100
Loadport type: TDK ADO with RFID
Number of load ports: Qty 2
Wafer Handling Robot: Brooks ABM, Single Blade
Column Type: G3 Column, FEI / Denka Tip
Optical system configuration: Optical Microscope with 5x, 20x and 100x
EDX system: Not included
Stage Tilt system: Not included
Wafer rotation option: Included
Stage Wafer holder type: Electrostatic chuck
Performance Specifications
Prealigner accuracy: Delta XY &lt; 500 uM
ITU Repeatability:   Delta XY &lt;  20 uM
Stage Accuracy:      Delta XY &lt; 1.5 uM
Resolution:          3 nm @ 1.0 KeV
Focus Map / Offset:  90% within &lt; 3 uM
Auto Defect Offset:  95% within &lt; 1.5 uM
Throughput:          15 WPH
-Computers qty 3 (IP MEC WHC)
Operator Console (OC) with:
-qty 2 LCD (high-resolution) Monitors
-Keyboard/Mouse/Trackball
-Qty 1 Computer (WS)
Note: Stock Photo is attached</t>
  </si>
  <si>
    <t xml:space="preserve">97057</t>
  </si>
  <si>
    <t xml:space="preserve">MOALD (IMP Ti) Chamber</t>
  </si>
  <si>
    <t xml:space="preserve">97059</t>
  </si>
  <si>
    <t xml:space="preserve">RfxT_CU Chamber</t>
  </si>
  <si>
    <t xml:space="preserve">97061</t>
  </si>
  <si>
    <t xml:space="preserve">ENDURA2 Chamber Only</t>
  </si>
  <si>
    <t xml:space="preserve">WSI chamber only</t>
  </si>
  <si>
    <t xml:space="preserve">97062</t>
  </si>
  <si>
    <t xml:space="preserve">109095</t>
  </si>
  <si>
    <t xml:space="preserve">0010-10527</t>
  </si>
  <si>
    <t xml:space="preserve">Polyimide ESC PEDESTAL, MxP-5200 Poly 8" Flat</t>
  </si>
  <si>
    <t xml:space="preserve">-New OEM part
-The description of this part is exactly:
0010-10527
pdstl assy, 200 mm flat, is , ni, list 3, hv, ce</t>
  </si>
  <si>
    <t xml:space="preserve">109352</t>
  </si>
  <si>
    <t xml:space="preserve">0090-05530</t>
  </si>
  <si>
    <t xml:space="preserve">Part Number: 0090-05530</t>
  </si>
  <si>
    <t xml:space="preserve">109353</t>
  </si>
  <si>
    <t xml:space="preserve">109354</t>
  </si>
  <si>
    <t xml:space="preserve">P-5000</t>
  </si>
  <si>
    <t xml:space="preserve">Part Number: 0010-00854</t>
  </si>
  <si>
    <t xml:space="preserve">109355</t>
  </si>
  <si>
    <t xml:space="preserve">Part Number: 0010-36408</t>
  </si>
  <si>
    <t xml:space="preserve">109356</t>
  </si>
  <si>
    <t xml:space="preserve">PVD RF MATCH</t>
  </si>
  <si>
    <t xml:space="preserve">Part Number: 0010-02372</t>
  </si>
  <si>
    <t xml:space="preserve">100909</t>
  </si>
  <si>
    <t xml:space="preserve">CENTURA DPS ll MESA T2</t>
  </si>
  <si>
    <t xml:space="preserve">Poly Etcher</t>
  </si>
  <si>
    <t xml:space="preserve">91182</t>
  </si>
  <si>
    <t xml:space="preserve">P5000 CVD</t>
  </si>
  <si>
    <t xml:space="preserve">Delta Teos</t>
  </si>
  <si>
    <t xml:space="preserve">100910</t>
  </si>
  <si>
    <t xml:space="preserve">109358</t>
  </si>
  <si>
    <t xml:space="preserve">e-MAX RF MATCH</t>
  </si>
  <si>
    <t xml:space="preserve">Part Number: 0010-39207</t>
  </si>
  <si>
    <t xml:space="preserve">91183</t>
  </si>
  <si>
    <t xml:space="preserve">TEOS, DxL</t>
  </si>
  <si>
    <t xml:space="preserve">100911</t>
  </si>
  <si>
    <t xml:space="preserve">109359</t>
  </si>
  <si>
    <t xml:space="preserve">HDP-TOP</t>
  </si>
  <si>
    <t xml:space="preserve">Part Number: 0010-02849</t>
  </si>
  <si>
    <t xml:space="preserve">109360</t>
  </si>
  <si>
    <t xml:space="preserve">MARKⅡDPS</t>
  </si>
  <si>
    <t xml:space="preserve">Part Number: M0010-36408</t>
  </si>
  <si>
    <t xml:space="preserve">91185</t>
  </si>
  <si>
    <t xml:space="preserve">DxL</t>
  </si>
  <si>
    <t xml:space="preserve">100913</t>
  </si>
  <si>
    <t xml:space="preserve">DPS II </t>
  </si>
  <si>
    <t xml:space="preserve">AE Poly G3 dry etcher</t>
  </si>
  <si>
    <t xml:space="preserve">103473</t>
  </si>
  <si>
    <t xml:space="preserve">CENTURA DPS G3</t>
  </si>
  <si>
    <t xml:space="preserve">Poly 1ch / Mesa 1ch</t>
  </si>
  <si>
    <t xml:space="preserve">Equipment is De-installed and Warehoused. Inspection is available upon 
request.</t>
  </si>
  <si>
    <t xml:space="preserve">108337</t>
  </si>
  <si>
    <t xml:space="preserve">Centris AdvantEdge G5 Mesa T2 Poly</t>
  </si>
  <si>
    <t xml:space="preserve">Polysilicon Etch with qty 6 MESA 2 chambers</t>
  </si>
  <si>
    <t xml:space="preserve">Applied Materials (AMAT)
Centris AdvantEdge G5 Mesa T2 Poly
System Power Rating: 208 AC 3-Phase
Chamber A1: MESA2; Chamber Chemicals Gases Used:O2, SF6, C4F6, CF4, Cl2, 
HBr, SO2, CH2F2, BCl3, N2, CHF3. Ar. He
Chamber A2: MESA2; Chamber Chemicals Gases Used:O2, SF6, C4F6, CF4, Cl2, 
HBr, SO2, CH2F2, BCl3, N2, CHF3. Ar. He
Chamber B1: MESA2; Chamber Chemicals Gases Used:O2, SF6, C4F6, CF4, Cl2, 
HBr, SO2, CH2F2, BCl3, N2, CHF3. Ar. He
Chamber B2: MESA2; Chamber Chemicals Gases Used:O2, SF6, C4F6, CF4, Cl2, 
HBr, SO2, CH2F2, BCl3, N2, CHF3. Ar. He
Chamber C1: MESA2; Chamber Chemicals Gases Used:O2, SF6, C4F6, CF4, Cl2, 
HBr, SO2, CH2F2, BCl3, N2, CHF3. Ar. He
Chamber C2: MESA2; Chamber Chemicals Gases Used:O2, SF6, C4F6, CF4, Cl2, 
HBr, SO2, CH2F2, BCl3, N2, CHF3. Ar. He
Chamber D1: AxiSWLL; Chamber Chemicals Gases Used: N2, O2, H2/N2
Chamber D2: AxiSWLL; Chamber Chemicals Gases Used: N2, O2, H2/N2
Optional Gas
#1: O2, 15sccm
#2: SF6, 30sccm
#3: C4F6, 50sccm
#4: CF4, 50sccm
#5: Cl2, 100sccm
#6: HBr, 100sccm
#7: SO2, 100sccm
#8: CH2F2, 100sccm
#9: SF6, 200sccm
#10: BCl3, 200sccm
#11: HBr, 600sccm
#12: Cl2, 600sccm
#13: O2, 150sccm
#14: N2, 200sccm
#15: CF4, 300sccm
#16: CHF3, 400sccm
#17: Ar, 500sccm
#18: He, 1000sccm
Dry pumps and customer provided items not included</t>
  </si>
  <si>
    <t xml:space="preserve">109361</t>
  </si>
  <si>
    <t xml:space="preserve">P-5000 POLY</t>
  </si>
  <si>
    <t xml:space="preserve">Part Number: 0010-09416R</t>
  </si>
  <si>
    <t xml:space="preserve">100914</t>
  </si>
  <si>
    <t xml:space="preserve">103474</t>
  </si>
  <si>
    <t xml:space="preserve">CENTURA DPS G5 MESA</t>
  </si>
  <si>
    <t xml:space="preserve">MESA 3ch / Axiom 1ch</t>
  </si>
  <si>
    <t xml:space="preserve">109362</t>
  </si>
  <si>
    <t xml:space="preserve">RF MATCH3</t>
  </si>
  <si>
    <t xml:space="preserve">Part Number: 02-169181-00</t>
  </si>
  <si>
    <t xml:space="preserve">103475</t>
  </si>
  <si>
    <t xml:space="preserve">103476</t>
  </si>
  <si>
    <t xml:space="preserve">91189</t>
  </si>
  <si>
    <t xml:space="preserve">DxL </t>
  </si>
  <si>
    <t xml:space="preserve">103477</t>
  </si>
  <si>
    <t xml:space="preserve">91190</t>
  </si>
  <si>
    <t xml:space="preserve">103478</t>
  </si>
  <si>
    <t xml:space="preserve">91192</t>
  </si>
  <si>
    <t xml:space="preserve">P5000 Mark-II CVD</t>
  </si>
  <si>
    <t xml:space="preserve">TEOS</t>
  </si>
  <si>
    <t xml:space="preserve">109112</t>
  </si>
  <si>
    <t xml:space="preserve">Verity 2</t>
  </si>
  <si>
    <t xml:space="preserve">CD MEASUREMENT SEM</t>
  </si>
  <si>
    <t xml:space="preserve">91193</t>
  </si>
  <si>
    <t xml:space="preserve">108345</t>
  </si>
  <si>
    <t xml:space="preserve">Centura AP AdvantEdge G5 Metal</t>
  </si>
  <si>
    <t xml:space="preserve">Metal Etch</t>
  </si>
  <si>
    <t xml:space="preserve">83514</t>
  </si>
  <si>
    <t xml:space="preserve">Opal 7830i Enhanced</t>
  </si>
  <si>
    <t xml:space="preserve">CD-SEM</t>
  </si>
  <si>
    <t xml:space="preserve">100 mm to 200 mm</t>
  </si>
  <si>
    <t xml:space="preserve">-De-installed.
-Warehoused.
-Crated.
-See attached the photos
-CE marked
- In excellent condition and was de-installed from working condition.
- Has only been used for 3 years and then stored in crates.
Includes:
Genmark model Arm Gen IV 
Controller S08RV21
Controller SM Robot S08R
Varian Turbo V250 "Macro-Torr"
Olympus scope
Varian 929-6004 Multivac ion pump controller
General Performance Specifications:
CD measurement range 0.10 um to 9.50 um
Wafer Size Range Minimum 100 mm Maximum 200 mm
Acceleration Voltage Minimum 5 kV Maximum 3 kV
Number of Steps 6
Critical Dimension Measurement Range 0.10 µm - 9.50 µm
CD Measurement Resolution 50 Å
Cassette to Cassette YES
Power Requirements 120/208 V 50/60 Hz 3 Phase
-Includes manual
-Includes all accessories and spare parts
-See attached photos for details</t>
  </si>
  <si>
    <t xml:space="preserve">91194</t>
  </si>
  <si>
    <t xml:space="preserve">103482</t>
  </si>
  <si>
    <t xml:space="preserve">DPS SILVIA</t>
  </si>
  <si>
    <t xml:space="preserve">Silvia 2ch / Axiom 1ch</t>
  </si>
  <si>
    <t xml:space="preserve">11579</t>
  </si>
  <si>
    <t xml:space="preserve">9200 (Spares for)</t>
  </si>
  <si>
    <t xml:space="preserve">IMPLANTER 6 INCH TO 8 INCH CONVERSION KIT</t>
  </si>
  <si>
    <t xml:space="preserve">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</si>
  <si>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 xml:space="preserve">91195</t>
  </si>
  <si>
    <t xml:space="preserve">103483</t>
  </si>
  <si>
    <t xml:space="preserve">DPS2 </t>
  </si>
  <si>
    <t xml:space="preserve">108347</t>
  </si>
  <si>
    <t xml:space="preserve">Centura AP AdvantEdge G5 Poly</t>
  </si>
  <si>
    <t xml:space="preserve">Polysilicon Etch</t>
  </si>
  <si>
    <t xml:space="preserve">91196</t>
  </si>
  <si>
    <t xml:space="preserve">P5000 Mark-II CVD+Etch</t>
  </si>
  <si>
    <t xml:space="preserve">Sputter</t>
  </si>
  <si>
    <t xml:space="preserve">103484</t>
  </si>
  <si>
    <t xml:space="preserve">Poly Mesa 3ch / Axiom 1ch</t>
  </si>
  <si>
    <t xml:space="preserve">108348</t>
  </si>
  <si>
    <t xml:space="preserve">Centura AP ASP II - Chamber Only</t>
  </si>
  <si>
    <t xml:space="preserve">103485</t>
  </si>
  <si>
    <t xml:space="preserve">DPS2 AE</t>
  </si>
  <si>
    <t xml:space="preserve">108349</t>
  </si>
  <si>
    <t xml:space="preserve">Centura AP DPS AdvantEdge G2 Metal</t>
  </si>
  <si>
    <t xml:space="preserve">103486</t>
  </si>
  <si>
    <t xml:space="preserve">91199</t>
  </si>
  <si>
    <t xml:space="preserve">P5000 Mark-II CVD+PVD</t>
  </si>
  <si>
    <t xml:space="preserve">TEOS 2Ch, SPUTTER 2Ch</t>
  </si>
  <si>
    <t xml:space="preserve">103487</t>
  </si>
  <si>
    <t xml:space="preserve">103488</t>
  </si>
  <si>
    <t xml:space="preserve">91201</t>
  </si>
  <si>
    <t xml:space="preserve">TEOS 2Ch, Sputter 2Ch</t>
  </si>
  <si>
    <t xml:space="preserve">103489</t>
  </si>
  <si>
    <t xml:space="preserve">103490</t>
  </si>
  <si>
    <t xml:space="preserve">103491</t>
  </si>
  <si>
    <t xml:space="preserve">MESA (Dry Etch)</t>
  </si>
  <si>
    <t xml:space="preserve">91204</t>
  </si>
  <si>
    <t xml:space="preserve">P5000 WCVD</t>
  </si>
  <si>
    <t xml:space="preserve">WxL</t>
  </si>
  <si>
    <t xml:space="preserve">103492</t>
  </si>
  <si>
    <t xml:space="preserve">MINOS (Dry Etch)</t>
  </si>
  <si>
    <t xml:space="preserve">108356</t>
  </si>
  <si>
    <t xml:space="preserve">Endura II Chamber: CIP W PVD</t>
  </si>
  <si>
    <t xml:space="preserve">PVD (Physical Vapor Deposition)</t>
  </si>
  <si>
    <t xml:space="preserve">91205</t>
  </si>
  <si>
    <t xml:space="preserve">103493</t>
  </si>
  <si>
    <t xml:space="preserve">108357</t>
  </si>
  <si>
    <t xml:space="preserve">Endura II Front-End Metallization</t>
  </si>
  <si>
    <t xml:space="preserve">110661</t>
  </si>
  <si>
    <t xml:space="preserve">APPLIED MATERIALS</t>
  </si>
  <si>
    <t xml:space="preserve">UVISION 5</t>
  </si>
  <si>
    <t xml:space="preserve">Bright Field Inspection</t>
  </si>
  <si>
    <t xml:space="preserve">fair</t>
  </si>
  <si>
    <t xml:space="preserve">Still installed, Idled, in the fab.
Missing / Faulty parts:
1.Stage controller
2.Zygo controller
3.Pre turret Y ministage
4.Swift cage
5.GF CLC unit
6.Zygo laser head
7.PDU to EPDU 24v power cable
8AWG wave generator</t>
  </si>
  <si>
    <t xml:space="preserve">103494</t>
  </si>
  <si>
    <t xml:space="preserve">103495</t>
  </si>
  <si>
    <t xml:space="preserve">108359</t>
  </si>
  <si>
    <t xml:space="preserve">Oasis Clean</t>
  </si>
  <si>
    <t xml:space="preserve">Batch Wafer Processing</t>
  </si>
  <si>
    <t xml:space="preserve">91208</t>
  </si>
  <si>
    <t xml:space="preserve">Producer GT Chamber (A)</t>
  </si>
  <si>
    <t xml:space="preserve">SICONI Chamber only</t>
  </si>
  <si>
    <t xml:space="preserve">103496</t>
  </si>
  <si>
    <t xml:space="preserve">108360</t>
  </si>
  <si>
    <t xml:space="preserve">Producer Etch eXT Dielectric</t>
  </si>
  <si>
    <t xml:space="preserve">Dielectric Etch</t>
  </si>
  <si>
    <t xml:space="preserve">91209</t>
  </si>
  <si>
    <t xml:space="preserve">Producer GT Chamber (B)</t>
  </si>
  <si>
    <t xml:space="preserve">103499</t>
  </si>
  <si>
    <t xml:space="preserve">ENDURA 2</t>
  </si>
  <si>
    <t xml:space="preserve">CH-1_TTN/CH-2_AL/CH-3_TTN/ CH-C&amp;D_PCXT/CH-E&amp;F_Degas </t>
  </si>
  <si>
    <t xml:space="preserve">103500</t>
  </si>
  <si>
    <t xml:space="preserve">ENDURA 2 CH</t>
  </si>
  <si>
    <t xml:space="preserve">Preclean XT Chamber</t>
  </si>
  <si>
    <t xml:space="preserve">103501</t>
  </si>
  <si>
    <t xml:space="preserve">109133</t>
  </si>
  <si>
    <t xml:space="preserve">AERA 4</t>
  </si>
  <si>
    <t xml:space="preserve">Reticle Inspection</t>
  </si>
  <si>
    <t xml:space="preserve">RETICLE</t>
  </si>
  <si>
    <t xml:space="preserve">103502</t>
  </si>
  <si>
    <t xml:space="preserve">109134</t>
  </si>
  <si>
    <t xml:space="preserve">Centura 5200 Ti/TiN MCVD</t>
  </si>
  <si>
    <t xml:space="preserve">Metal CVD (Chemical Vapor Deposition)</t>
  </si>
  <si>
    <t xml:space="preserve">200mm</t>
  </si>
  <si>
    <t xml:space="preserve">103503</t>
  </si>
  <si>
    <t xml:space="preserve">ENDURA 2 CHAMBER ONLY</t>
  </si>
  <si>
    <t xml:space="preserve">Remote Plasma Clean Chamber</t>
  </si>
  <si>
    <t xml:space="preserve">106575</t>
  </si>
  <si>
    <t xml:space="preserve">Centura AP Ultima Chamber</t>
  </si>
  <si>
    <t xml:space="preserve">HDPCVD Chamber only</t>
  </si>
  <si>
    <t xml:space="preserve">109135</t>
  </si>
  <si>
    <t xml:space="preserve">103504</t>
  </si>
  <si>
    <t xml:space="preserve">106576</t>
  </si>
  <si>
    <t xml:space="preserve">Poly 2ch / Mesa 1ch</t>
  </si>
  <si>
    <t xml:space="preserve">109136</t>
  </si>
  <si>
    <t xml:space="preserve">Centura AP AdvantEdge G5 Mesa Poly</t>
  </si>
  <si>
    <t xml:space="preserve">103505</t>
  </si>
  <si>
    <t xml:space="preserve">106065</t>
  </si>
  <si>
    <t xml:space="preserve">Mirra ® 3400</t>
  </si>
  <si>
    <t xml:space="preserve">Stand-Alone CMP System</t>
  </si>
  <si>
    <t xml:space="preserve">Refurbished; being sold as is.
See attached photos for details</t>
  </si>
  <si>
    <t xml:space="preserve">106577</t>
  </si>
  <si>
    <t xml:space="preserve">Poly 3ch</t>
  </si>
  <si>
    <t xml:space="preserve">109137</t>
  </si>
  <si>
    <t xml:space="preserve">Centura AP AdvantEdge G5 Mesa T2 Poly</t>
  </si>
  <si>
    <t xml:space="preserve">103506</t>
  </si>
  <si>
    <t xml:space="preserve">106578</t>
  </si>
  <si>
    <t xml:space="preserve">109138</t>
  </si>
  <si>
    <t xml:space="preserve">106579</t>
  </si>
  <si>
    <t xml:space="preserve">Poly 3ch / Axiom 1ch</t>
  </si>
  <si>
    <t xml:space="preserve">109139</t>
  </si>
  <si>
    <t xml:space="preserve">103508</t>
  </si>
  <si>
    <t xml:space="preserve">PRODUCER GT</t>
  </si>
  <si>
    <t xml:space="preserve">Ht ACL 3ch / Server OS Type</t>
  </si>
  <si>
    <t xml:space="preserve">106580</t>
  </si>
  <si>
    <t xml:space="preserve">109140</t>
  </si>
  <si>
    <t xml:space="preserve">103509</t>
  </si>
  <si>
    <t xml:space="preserve">BD2_CU</t>
  </si>
  <si>
    <t xml:space="preserve">106581</t>
  </si>
  <si>
    <t xml:space="preserve">Poly 3ch / AXIOM 1ch / Server OS Type</t>
  </si>
  <si>
    <t xml:space="preserve">109141</t>
  </si>
  <si>
    <t xml:space="preserve">103510</t>
  </si>
  <si>
    <t xml:space="preserve">PRODUCER SE</t>
  </si>
  <si>
    <t xml:space="preserve">CH_A_ACL / CH_B_PE-Sin / CH_C_PE-Teos / Server OS Type</t>
  </si>
  <si>
    <t xml:space="preserve">106582</t>
  </si>
  <si>
    <t xml:space="preserve">CENTURA MCVD</t>
  </si>
  <si>
    <t xml:space="preserve">4C/H Deinstalled, warehoused. Can be inspected by appointment</t>
  </si>
  <si>
    <t xml:space="preserve">109142</t>
  </si>
  <si>
    <t xml:space="preserve">103511</t>
  </si>
  <si>
    <t xml:space="preserve">Ht_SiN 2ch / Server OS Type</t>
  </si>
  <si>
    <t xml:space="preserve">106583</t>
  </si>
  <si>
    <t xml:space="preserve">CENTURA 5200 DPS</t>
  </si>
  <si>
    <t xml:space="preserve">109143</t>
  </si>
  <si>
    <t xml:space="preserve">103512</t>
  </si>
  <si>
    <t xml:space="preserve">RAIDER</t>
  </si>
  <si>
    <t xml:space="preserve">ECD Copper Electroplating System</t>
  </si>
  <si>
    <t xml:space="preserve">106584</t>
  </si>
  <si>
    <t xml:space="preserve">ENDURA 2 (Gray Rack)</t>
  </si>
  <si>
    <t xml:space="preserve">3CH (WxZ)</t>
  </si>
  <si>
    <t xml:space="preserve">109144</t>
  </si>
  <si>
    <t xml:space="preserve">103513</t>
  </si>
  <si>
    <t xml:space="preserve">106585</t>
  </si>
  <si>
    <t xml:space="preserve">ENDURA 2 Chamber Only</t>
  </si>
  <si>
    <t xml:space="preserve">ALPS</t>
  </si>
  <si>
    <t xml:space="preserve">109145</t>
  </si>
  <si>
    <t xml:space="preserve">106586</t>
  </si>
  <si>
    <t xml:space="preserve">MOALD (IMP TiN)</t>
  </si>
  <si>
    <t xml:space="preserve">109146</t>
  </si>
  <si>
    <t xml:space="preserve">Centura AP DPS AdvantEdge G2 Poly</t>
  </si>
  <si>
    <t xml:space="preserve">103515</t>
  </si>
  <si>
    <t xml:space="preserve">VANTAGE HYBRID</t>
  </si>
  <si>
    <t xml:space="preserve">RTP / Server OS Type</t>
  </si>
  <si>
    <t xml:space="preserve">106587</t>
  </si>
  <si>
    <t xml:space="preserve">PCXT</t>
  </si>
  <si>
    <t xml:space="preserve">109147</t>
  </si>
  <si>
    <t xml:space="preserve">103516</t>
  </si>
  <si>
    <t xml:space="preserve">VANTAGE RADIANCE</t>
  </si>
  <si>
    <t xml:space="preserve">RTP</t>
  </si>
  <si>
    <t xml:space="preserve">106588</t>
  </si>
  <si>
    <t xml:space="preserve">109148</t>
  </si>
  <si>
    <t xml:space="preserve">106589</t>
  </si>
  <si>
    <t xml:space="preserve">109149</t>
  </si>
  <si>
    <t xml:space="preserve">ComPLUS MP</t>
  </si>
  <si>
    <t xml:space="preserve">Darkfield Inspection</t>
  </si>
  <si>
    <t xml:space="preserve">106590</t>
  </si>
  <si>
    <t xml:space="preserve">109150</t>
  </si>
  <si>
    <t xml:space="preserve">106591</t>
  </si>
  <si>
    <t xml:space="preserve">109151</t>
  </si>
  <si>
    <t xml:space="preserve">Endura II Chambers: Multiple</t>
  </si>
  <si>
    <t xml:space="preserve">106592</t>
  </si>
  <si>
    <t xml:space="preserve">RPC</t>
  </si>
  <si>
    <t xml:space="preserve">109152</t>
  </si>
  <si>
    <t xml:space="preserve">Producer SE PECVD SILANE</t>
  </si>
  <si>
    <t xml:space="preserve">PECVD (Chemical Vapor Deposition)</t>
  </si>
  <si>
    <t xml:space="preserve">106593</t>
  </si>
  <si>
    <t xml:space="preserve">SIP Ti</t>
  </si>
  <si>
    <t xml:space="preserve">109153</t>
  </si>
  <si>
    <t xml:space="preserve">Reflexion - Dielectric</t>
  </si>
  <si>
    <t xml:space="preserve">Dielectric CMP</t>
  </si>
  <si>
    <t xml:space="preserve">106594</t>
  </si>
  <si>
    <t xml:space="preserve">109154</t>
  </si>
  <si>
    <t xml:space="preserve">Reflexion LK Oxide</t>
  </si>
  <si>
    <t xml:space="preserve">106595</t>
  </si>
  <si>
    <t xml:space="preserve">106596</t>
  </si>
  <si>
    <t xml:space="preserve">106597</t>
  </si>
  <si>
    <t xml:space="preserve">108133</t>
  </si>
  <si>
    <t xml:space="preserve">106598</t>
  </si>
  <si>
    <t xml:space="preserve">108134</t>
  </si>
  <si>
    <t xml:space="preserve">ENDURA 2 CHAMBER Only</t>
  </si>
  <si>
    <t xml:space="preserve">EnCoRe1(Cu) Chamber only</t>
  </si>
  <si>
    <t xml:space="preserve">106599</t>
  </si>
  <si>
    <t xml:space="preserve">TXZ ALD chamber</t>
  </si>
  <si>
    <t xml:space="preserve">Deinstalled, warehoused. Can be inspected by appointment.
-Was used in the Chamber 2 position
-Has CE Mark
-Turbo Pump: Shimadzu TMP-03LMC (A1)
Please refer to the attached photos for the details of the condition.</t>
  </si>
  <si>
    <t xml:space="preserve">108135</t>
  </si>
  <si>
    <t xml:space="preserve">93032</t>
  </si>
  <si>
    <t xml:space="preserve">CENTRIS DPS MESA</t>
  </si>
  <si>
    <t xml:space="preserve">Dry Etch, Twin 3chamber</t>
  </si>
  <si>
    <t xml:space="preserve">106600</t>
  </si>
  <si>
    <t xml:space="preserve">ENDURA CL Chamber Only</t>
  </si>
  <si>
    <t xml:space="preserve">CVD AL(AXZ)</t>
  </si>
  <si>
    <t xml:space="preserve">108136</t>
  </si>
  <si>
    <t xml:space="preserve">EnCoRe1(Ta) Chamber only</t>
  </si>
  <si>
    <t xml:space="preserve">106601</t>
  </si>
  <si>
    <t xml:space="preserve">108137</t>
  </si>
  <si>
    <t xml:space="preserve">93034</t>
  </si>
  <si>
    <t xml:space="preserve">CENTURA ENABLER E2</t>
  </si>
  <si>
    <t xml:space="preserve">Oxide Etcher /server OS PC</t>
  </si>
  <si>
    <t xml:space="preserve">106602</t>
  </si>
  <si>
    <t xml:space="preserve">Degas Chamber only</t>
  </si>
  <si>
    <t xml:space="preserve">108138</t>
  </si>
  <si>
    <t xml:space="preserve">PCXT Chamber only</t>
  </si>
  <si>
    <t xml:space="preserve">93035</t>
  </si>
  <si>
    <t xml:space="preserve">CENTURA ENABLER E5</t>
  </si>
  <si>
    <t xml:space="preserve">106603</t>
  </si>
  <si>
    <t xml:space="preserve">108139</t>
  </si>
  <si>
    <t xml:space="preserve">Not include XP Robot</t>
  </si>
  <si>
    <t xml:space="preserve">De-installed, warehoused. Can be inspected by appointment 3C/H</t>
  </si>
  <si>
    <t xml:space="preserve">93036</t>
  </si>
  <si>
    <t xml:space="preserve">P5000 Etch</t>
  </si>
  <si>
    <t xml:space="preserve">no chamber (PLIS type)</t>
  </si>
  <si>
    <t xml:space="preserve">N/a</t>
  </si>
  <si>
    <t xml:space="preserve">106604</t>
  </si>
  <si>
    <t xml:space="preserve">108140</t>
  </si>
  <si>
    <t xml:space="preserve">106605</t>
  </si>
  <si>
    <t xml:space="preserve">108141</t>
  </si>
  <si>
    <t xml:space="preserve">ESIP TAN (No Target) Chamber only</t>
  </si>
  <si>
    <t xml:space="preserve">106606</t>
  </si>
  <si>
    <t xml:space="preserve">108142</t>
  </si>
  <si>
    <t xml:space="preserve">Olympia</t>
  </si>
  <si>
    <t xml:space="preserve">ALD</t>
  </si>
  <si>
    <t xml:space="preserve">De-installed, warehoused. Can be inspected by appointment 2C/H</t>
  </si>
  <si>
    <t xml:space="preserve">106607</t>
  </si>
  <si>
    <t xml:space="preserve">PRECLEAN</t>
  </si>
  <si>
    <t xml:space="preserve">108143</t>
  </si>
  <si>
    <t xml:space="preserve">Delta Dlh 3chCVD</t>
  </si>
  <si>
    <t xml:space="preserve">106608</t>
  </si>
  <si>
    <t xml:space="preserve">108144</t>
  </si>
  <si>
    <t xml:space="preserve">Mark II Metal ETCH</t>
  </si>
  <si>
    <t xml:space="preserve">106609</t>
  </si>
  <si>
    <t xml:space="preserve">108145</t>
  </si>
  <si>
    <t xml:space="preserve">Teos dlh 3ch CVD</t>
  </si>
  <si>
    <t xml:space="preserve">106610</t>
  </si>
  <si>
    <t xml:space="preserve">108146</t>
  </si>
  <si>
    <t xml:space="preserve">Producer GT Chamber</t>
  </si>
  <si>
    <t xml:space="preserve">SICONI Chamber only </t>
  </si>
  <si>
    <t xml:space="preserve">106611</t>
  </si>
  <si>
    <t xml:space="preserve">108147</t>
  </si>
  <si>
    <t xml:space="preserve">70004</t>
  </si>
  <si>
    <t xml:space="preserve">Misc parts For Baccini Solar Line - see attached list</t>
  </si>
  <si>
    <t xml:space="preserve">new unused</t>
  </si>
  <si>
    <t xml:space="preserve">Applied Materials Parts
58141008263 E306
Driver Clamp
58141008263
Clarinet Ampl Brush motor
52275112000
Plate for Buttons
52860003100
Double Encoder
CK59 55440111728
Crimped female contactor
55440116580
Female Contactor weld distelec
116 52860003100
Double Encoder CK59</t>
  </si>
  <si>
    <t xml:space="preserve">108148</t>
  </si>
  <si>
    <t xml:space="preserve">Producer SE Chamber</t>
  </si>
  <si>
    <t xml:space="preserve">LLTO Chamber only</t>
  </si>
  <si>
    <t xml:space="preserve">106613</t>
  </si>
  <si>
    <t xml:space="preserve">ENDURA2 CHAMBER ONLY</t>
  </si>
  <si>
    <t xml:space="preserve">PVD CHAMBER</t>
  </si>
  <si>
    <t xml:space="preserve">108149</t>
  </si>
  <si>
    <t xml:space="preserve">PRODUCER SE CHAMBER</t>
  </si>
  <si>
    <t xml:space="preserve">PECVD Silane Chamber Only  </t>
  </si>
  <si>
    <t xml:space="preserve">106614</t>
  </si>
  <si>
    <t xml:space="preserve">ENDURA2 VOLTA CO</t>
  </si>
  <si>
    <t xml:space="preserve">CHAMBER QTY 2 SETS</t>
  </si>
  <si>
    <t xml:space="preserve">108150</t>
  </si>
  <si>
    <t xml:space="preserve">PECVD TEOS Chamber Only</t>
  </si>
  <si>
    <t xml:space="preserve">106615</t>
  </si>
  <si>
    <t xml:space="preserve">G5-MESA</t>
  </si>
  <si>
    <t xml:space="preserve">DRY ETCH EFEM</t>
  </si>
  <si>
    <t xml:space="preserve">106616</t>
  </si>
  <si>
    <t xml:space="preserve">MESA CHAMBER ONLY</t>
  </si>
  <si>
    <t xml:space="preserve">DRY ETCH CHAMBER</t>
  </si>
  <si>
    <t xml:space="preserve">106617</t>
  </si>
  <si>
    <t xml:space="preserve">106618</t>
  </si>
  <si>
    <t xml:space="preserve">93051</t>
  </si>
  <si>
    <t xml:space="preserve">WXL</t>
  </si>
  <si>
    <t xml:space="preserve">3C/H</t>
  </si>
  <si>
    <t xml:space="preserve">106619</t>
  </si>
  <si>
    <t xml:space="preserve">106620</t>
  </si>
  <si>
    <t xml:space="preserve">93053</t>
  </si>
  <si>
    <t xml:space="preserve">LLTO</t>
  </si>
  <si>
    <t xml:space="preserve">106621</t>
  </si>
  <si>
    <t xml:space="preserve">Delta Teos 3ch, Sputter 1ch</t>
  </si>
  <si>
    <t xml:space="preserve">106622</t>
  </si>
  <si>
    <t xml:space="preserve">105855</t>
  </si>
  <si>
    <t xml:space="preserve">0040-35966-P1</t>
  </si>
  <si>
    <t xml:space="preserve">WLDMT,LAMP HOUSING,RTP CHMBR</t>
  </si>
  <si>
    <t xml:space="preserve">Chamber lamp housing for AMAT MOD 1 RTP chamber, 200 mm.
Condition is good - as shown in the photos. Gold plated.
Packed Weight 15 kg
Packed dimensions: 50 cm x 50 cm x 50 cm
Packed dims 42 cm x 52 cm x 25 cm (h)</t>
  </si>
  <si>
    <t xml:space="preserve">106623</t>
  </si>
  <si>
    <t xml:space="preserve">DxL 2ch</t>
  </si>
  <si>
    <t xml:space="preserve">2C/H Deinstalled, warehoused. Can be inspected by appointment</t>
  </si>
  <si>
    <t xml:space="preserve">106624</t>
  </si>
  <si>
    <t xml:space="preserve">ACL 1ch /  Server X</t>
  </si>
  <si>
    <t xml:space="preserve">106625</t>
  </si>
  <si>
    <t xml:space="preserve">CH_A_FOX / CH_B_eHARP / Server OS Type</t>
  </si>
  <si>
    <t xml:space="preserve">106626</t>
  </si>
  <si>
    <t xml:space="preserve">Ht_Acl 3ch / Server OS Type</t>
  </si>
  <si>
    <t xml:space="preserve">106627</t>
  </si>
  <si>
    <t xml:space="preserve">Siconi 3ch</t>
  </si>
  <si>
    <t xml:space="preserve">108931</t>
  </si>
  <si>
    <t xml:space="preserve">SEMVISION G5 MAX</t>
  </si>
  <si>
    <t xml:space="preserve">Equipment is De-installed and Warehoused. Inspection is available upon 
request.
Consists of:-
Main System Active damping subsystem 1 OK
Main System LoadLock 1 OK
Main System Main chamber G5 1 OK
Handler System 300 mm X-Y stage &amp; motion
controller 1 OK
Handler System Brooks ETU with True Beam Mapper 1 OK
Handler System E-chuck wafer holder &amp; controller 1 OK
Factory Interface SMIF 1 OK
Missing/Faulty Parts
PAL Analog board 1
HVPS 1
ITU distribution
board 1
VAC Dist. Board 1
scintillator blade 1
PAL Digital board 1
CCS board 1
CVC Board 1
ITU controller 1
Column 1
ITU driver 1
OM module 1
OM P.S 1
DMD sensor 1
Cage 1
LFS 1
IPU 1
ETU Controller 1</t>
  </si>
  <si>
    <t xml:space="preserve">106628</t>
  </si>
  <si>
    <t xml:space="preserve">HARP</t>
  </si>
  <si>
    <t xml:space="preserve">91269</t>
  </si>
  <si>
    <t xml:space="preserve">CENTURA 5200</t>
  </si>
  <si>
    <t xml:space="preserve">MxP Poly</t>
  </si>
  <si>
    <t xml:space="preserve">106629</t>
  </si>
  <si>
    <t xml:space="preserve">106630</t>
  </si>
  <si>
    <t xml:space="preserve">36487</t>
  </si>
  <si>
    <t xml:space="preserve">P-5000 DxL </t>
  </si>
  <si>
    <t xml:space="preserve">DxL, TEOS</t>
  </si>
  <si>
    <t xml:space="preserve">150mm</t>
  </si>
  <si>
    <t xml:space="preserve">2C/H</t>
  </si>
  <si>
    <t xml:space="preserve">106631</t>
  </si>
  <si>
    <t xml:space="preserve">SIH4</t>
  </si>
  <si>
    <t xml:space="preserve">101768</t>
  </si>
  <si>
    <t xml:space="preserve">0010-00557 REV A</t>
  </si>
  <si>
    <t xml:space="preserve">Heat Exchanger</t>
  </si>
  <si>
    <t xml:space="preserve">Type: 0010-00557 rev A
UNIT DIMENSIONS: 51 CM X 73 CM X 70 CM (H)
ESTIMATED CRATE DIMENSIONS: 61 CM X 83 CM X 100 CM (H)
ESTIMATED CRATED WEIGHT: 200 KGS</t>
  </si>
  <si>
    <t xml:space="preserve">106632</t>
  </si>
  <si>
    <t xml:space="preserve">Producer GT Chamber only</t>
  </si>
  <si>
    <t xml:space="preserve">106633</t>
  </si>
  <si>
    <t xml:space="preserve">106634</t>
  </si>
  <si>
    <t xml:space="preserve">106635</t>
  </si>
  <si>
    <t xml:space="preserve">SILANE 2ch / Server OS Type</t>
  </si>
  <si>
    <t xml:space="preserve">106636</t>
  </si>
  <si>
    <t xml:space="preserve">Teos 2ch / Server OS Type</t>
  </si>
  <si>
    <t xml:space="preserve">91277</t>
  </si>
  <si>
    <t xml:space="preserve">Centura DPS II CHAMBER</t>
  </si>
  <si>
    <t xml:space="preserve">Chamber only</t>
  </si>
  <si>
    <t xml:space="preserve">106637</t>
  </si>
  <si>
    <t xml:space="preserve">Applied Materials </t>
  </si>
  <si>
    <t xml:space="preserve">(IMP Ti)</t>
  </si>
  <si>
    <t xml:space="preserve">106638</t>
  </si>
  <si>
    <t xml:space="preserve">EXTENSA Ti</t>
  </si>
  <si>
    <t xml:space="preserve">91279</t>
  </si>
  <si>
    <t xml:space="preserve">CENTURA ENABLER</t>
  </si>
  <si>
    <t xml:space="preserve">91280</t>
  </si>
  <si>
    <t xml:space="preserve">91281</t>
  </si>
  <si>
    <t xml:space="preserve">91282</t>
  </si>
  <si>
    <t xml:space="preserve">91283</t>
  </si>
  <si>
    <t xml:space="preserve">91284</t>
  </si>
  <si>
    <t xml:space="preserve">Etch dry chamber Only</t>
  </si>
  <si>
    <t xml:space="preserve">AXIOM, DPS</t>
  </si>
  <si>
    <t xml:space="preserve">91285</t>
  </si>
  <si>
    <t xml:space="preserve">91286</t>
  </si>
  <si>
    <t xml:space="preserve">DELTA DLH</t>
  </si>
  <si>
    <t xml:space="preserve">91287</t>
  </si>
  <si>
    <t xml:space="preserve">18840</t>
  </si>
  <si>
    <t xml:space="preserve">0230-00101</t>
  </si>
  <si>
    <t xml:space="preserve">Precision etch 8300</t>
  </si>
  <si>
    <t xml:space="preserve">18841</t>
  </si>
  <si>
    <t xml:space="preserve">0230-09130</t>
  </si>
  <si>
    <t xml:space="preserve">Precision 5000 Mark II spare part identified</t>
  </si>
  <si>
    <t xml:space="preserve">105881</t>
  </si>
  <si>
    <t xml:space="preserve">Reflexion GT</t>
  </si>
  <si>
    <t xml:space="preserve">CMP system with integrated cleaner</t>
  </si>
  <si>
    <t xml:space="preserve">General features of the Applied Reflexion GT CMP system
-The Reflexion GT CMP (Chemical Mechanical Polishing) system was introduced 
to the market in 2009.
-It allows polishing of 2 wafers at the same time on a larger 42 inch 
diameter platen (Single wafer heads have 30 inch diameter).
-Consumes around 30% less slurry per wafer
-The two polishing heads are controlled independently, and can be used for 
a 2 step process, or for identical polishing.
-The throughput of wafers is approximately doubled with the Reflexion GT 
system, compared with the standard Reflexion.
Tool-specific information
-Currently de-installed and warehoused.
-Vintage Jun 2011
-Was removed from production in December 2020
Packing List:-
1.EFEM
-Fitted with 4 x 300 mm load ports
-EFEM Robot type: Kawasaki 3NT410B-B004, AMAT P/N 0190-34337 Rev 01
2. Polisher Module
3. Cleaner Module
4.Platen Motor 1
5.Platen Motor 2
6. Parts, Panels etc.
7.Parts , Panels etc.</t>
  </si>
  <si>
    <t xml:space="preserve">18842</t>
  </si>
  <si>
    <t xml:space="preserve">0230-09259</t>
  </si>
  <si>
    <t xml:space="preserve">Precision 5000 Mark II Mainframe and support equipment manual</t>
  </si>
  <si>
    <t xml:space="preserve">18843</t>
  </si>
  <si>
    <t xml:space="preserve">079-1202-0D</t>
  </si>
  <si>
    <t xml:space="preserve">PR 5000 Advanced prev. And corrective main</t>
  </si>
  <si>
    <t xml:space="preserve">108699</t>
  </si>
  <si>
    <t xml:space="preserve">Oasis</t>
  </si>
  <si>
    <t xml:space="preserve">HF Wafer cleaning system</t>
  </si>
  <si>
    <t xml:space="preserve">Software revision:OA_B3.0_38
ChA Axiom (Dry strip)
ChB Tempest (Wet etch, NH4OH, H2O2, HF)
ChD Tempest (Wet etch, NH4OH, H2O2, HF)
Modules:
Mainframe
FI (Yaskawa robot)
Bulkfill Chemical cabinet
Rotary vacuum pump (for ChA)
Main AC box
Generator rack
Connection details:208V 3phase 50/60Hz 240A</t>
  </si>
  <si>
    <t xml:space="preserve">4252</t>
  </si>
  <si>
    <t xml:space="preserve">P5000 SPARE PARTS IDENTIFIER</t>
  </si>
  <si>
    <t xml:space="preserve">18844</t>
  </si>
  <si>
    <t xml:space="preserve">026-110-0B1</t>
  </si>
  <si>
    <t xml:space="preserve">PR 5000 Func desc. Practice exercici and basic prev. maintenance procedures</t>
  </si>
  <si>
    <t xml:space="preserve">108701</t>
  </si>
  <si>
    <t xml:space="preserve">Centura 5200 High K CVD Process Chamber</t>
  </si>
  <si>
    <t xml:space="preserve">CVD Process Chamber</t>
  </si>
  <si>
    <t xml:space="preserve">Process chamber is 100% complete, and was fully operational prior 
decommissioning. Incl gasbox and remote frame and all interfacing Condition 
"As Is" Parts included:- Generator rack Gasbox Precursor gasbox Microwave 
generator &amp; waveguide</t>
  </si>
  <si>
    <t xml:space="preserve">108705</t>
  </si>
  <si>
    <t xml:space="preserve">Centura 5200 MxP Chamber</t>
  </si>
  <si>
    <t xml:space="preserve">MxP Etching Chamber</t>
  </si>
  <si>
    <t xml:space="preserve">200mm , with ESC . Complete incl Edwards/Seiko Seiki Turbo, RF-Match</t>
  </si>
  <si>
    <t xml:space="preserve">91316</t>
  </si>
  <si>
    <t xml:space="preserve">93108</t>
  </si>
  <si>
    <t xml:space="preserve">UV Bake Photostabilizer </t>
  </si>
  <si>
    <t xml:space="preserve">91317</t>
  </si>
  <si>
    <t xml:space="preserve">93109</t>
  </si>
  <si>
    <t xml:space="preserve">106944</t>
  </si>
  <si>
    <t xml:space="preserve">Endura 5500 (spare parts)</t>
  </si>
  <si>
    <t xml:space="preserve">Endura 6" process kit for Degas Chamber, NEW, in AMAT box , including 0020-28140 and other parts</t>
  </si>
  <si>
    <t xml:space="preserve">Used AMAT Endura 6" process kit
Still in original AMAT Box
    * Box Model No: 84-9502-280
    * Shield Degas ARC Part No: 0020-28140
    * 6 INCH SHIELD DEGAS ARC SPRAYED
    * Clamp Ring DEGAS CHAMBER ARC SPRAYED Part No: 0020-28997
    * SS DC BIAS QTY 2
    * RETAINER RING QTY 4
    * SCREW SHOULDER QTY 2
    * INSULATOR DC BIAS CERAMIC QTY 2
    * System/Tool: AMAT Endura
    *  
    * SHIPPING WEIGHT AND DIMS: 16 KG 38 CM X 47 CM X 52 CM H</t>
  </si>
  <si>
    <t xml:space="preserve">91602</t>
  </si>
  <si>
    <t xml:space="preserve">AxZ</t>
  </si>
  <si>
    <t xml:space="preserve">91603</t>
  </si>
  <si>
    <t xml:space="preserve">91604</t>
  </si>
  <si>
    <t xml:space="preserve">91605</t>
  </si>
  <si>
    <t xml:space="preserve">91606</t>
  </si>
  <si>
    <t xml:space="preserve">91607</t>
  </si>
  <si>
    <t xml:space="preserve">91608</t>
  </si>
  <si>
    <t xml:space="preserve">98264</t>
  </si>
  <si>
    <t xml:space="preserve">VANTAGE (Rediance 3.x)</t>
  </si>
  <si>
    <t xml:space="preserve">106203</t>
  </si>
  <si>
    <t xml:space="preserve">Mirra 3400 Stand-Alone</t>
  </si>
  <si>
    <r>
      <rPr>
        <sz val="8"/>
        <rFont val="Arial"/>
        <family val="0"/>
      </rPr>
      <t xml:space="preserve">THIS EQUIPMENT IS AVAILABLE IN COMPLETELY REFURBISHED CONDITION, RE-BUILT 
TO YOUR REQUIRED SPECIFICATION.
AMAT MIRRA 3400 STAND-ALONE CONFIGURATION
Technology    Oxide/STI/WCMP/CUCMP
Platform Type    MIRRA 3400
Wafer Specification    Selected Option
Wafer Size    200mm
Wafer Shape    Notch Type
Mirra 3400 CMP System   
System Information    Selected Option
Application    Oxide/STI/WCMP/CUCMP
System    Wet-In-Wet-Out
Process Type    All Process
Cleaner Type    NIL
Wet Robot Type    Standard, Refurbished
Wet Queue Tank    Yes
System Skins    Clear Skins
Load Cup    Full Contact HCLU, Overhauled
Cassette Type    8 inch
Performance Enhancement Options    Selected Option
Daily PM Reduction Kit (Clean Kit)    Yes
Pad Conditioner Head 1~3    DDF3
Pad Conditioner Disk Holder    Universal
Pad Conditioner Sweep Hard Stop    Yes
Pad Conditioner Retrofit    Normal DDF3
Pad Conditioner Gear Assembly Overhaul    Yes
Factory Interface Options    Selected Option
Platen 1 ISRM    Legacy ISRM
Platen 2 ISRM    Legacy ISRM
Platen 3 ISRM    Legacy ISRM
In Line Metrology    Not Applicable
SECS GEM Interface    Yes
Installation Type    Wet in Wet Out
Integrated System Basic FABS    Not included
FABS Robot Blade    NA
Cassette Tank    Optional
Factory Automation    No
Polisher Options    Selected Option
Polishing Head (Head1~4)    TITAN 1 x 4ea
Upper Pneumatics Assembly (UPA)    TITAN1 UPA
UPA Location    External Relocated
Pad Wafer Loss Sensor    Dual Sensor
Platen Temperature Control    No
Platen Temp Control Cable    No
Upper Platen Coating    Teflon Coating
Platen Gear Assembly Overhaul    Yes, Greaseless type
Slurry Delivery Options    Selected Option
Slurry Delivery    3 Slurries
Slurry Flow Rate    Standard Flow
Slurry Flow Controller (CLC)    Tokyo Keiso CLC x 3ea
Slurry Pump Head    Yes (Not Applicable, if CLC model)
Slurry Containment Bulkhead    Double Containment
Slurry Facilities    None
Slurry Loop Line    No
Slurry Loop Line A    Slurry (PL1, PL2, PL3)
Slurry Loop Line B    Optional
Slurry Loop Line C    Optional
Slurry Dispense Arm    Standard Length, Platen1~3 High Pressure Rinse
Slurry Leak Detector    Yes
Cleaner Plumbing    Not Applicable
DI Water    Standard
Slurry Tube    Yes
Slurry Filter &amp; Housing    Optional
Slip Out Sensor Slurry Cover Each Head    Yes
FACILITIES OPTIONS   
System Safety    Selected Option
EMO Guard Ring    Yes
EMO IO    No
System Labels    English
System User Labels    English
LOTO Box    No
Smoke Detector    Yes
Polisher Slurry Leak Sensor    Yes
Electrical Requirements    Selected Option
Line Frequency    50 HZ
Line Voltage    200/208 VAC
Uninterruptible Power Supply    None
Power Lamp    Green Lamp
Power Connected Lamp    No
Circuit Breaker    200A
Controller Top Panel    Holes punched out for AC Power Cables Entry
Configurable IO    No
GFI Type    Standard 30mA
Isolation Transformer    No
Umbilical's    Selected Option
CAT Track Style    Water Fall
Polisher to Controller Cable    Standard 30ft
Controller to Monitor Cable    Standard
Slurry System Interface Cable    None
Factory Hookup    Selected Option
Upper Exhaust    Standard
Upper Exhaust Material    Stainless Steel
Lower Exhaust    None
Process Exhaust Vent Interlock Sensor    Yes
Upper Exhaust Connection    No Flange
Drain Manifold    4 Lines to Facilities
Drain Adapter    NPT Fittings
Internal Vacuum Venturi    Yes
OPERATOR INTERFACE OPTIONS   
Operating Hardware &amp; Software    Selected Option
Hard Disk    Dual Hard Disk
Memory    128M or above
CPU    PIII CPU or above
Fabs Software    Fabs Daemon 1.35
Operating System    Windows NT 4.00.1381 or above
Software Version    MB60a1 or above
Endpoint    IB11h8
Cleaner Software    2.3.8
User Interface    Selected Option
Monitor Selection    1 FPD
Monitor 1 Location    Front FPD On Cart
Mouse or Trackball    Mouse (include keyboard</t>
    </r>
    <r>
      <rPr>
        <sz val="8"/>
        <rFont val="Noto Sans CJK SC"/>
        <family val="2"/>
      </rPr>
      <t xml:space="preserve">）
</t>
    </r>
    <r>
      <rPr>
        <sz val="8"/>
        <rFont val="Arial"/>
        <family val="0"/>
      </rPr>
      <t xml:space="preserve">Start Stop Button    Controller
Light Towers Selection    Polisher and Controller
Polisher Light Tower    Selected Option
Polisher Tower Mounting Type    Pole Mounted
Polisher Tower No of Colors    3 Color
Polisher Tower Lamp Type    Incandescent
Polisher Tower Colors Sequence    RYG
Controller Light Tower    Selected Option
Controller Tower Mounting Type    Pole Mounted
Controller Tower No of Colors    3 Color
Controller Tower Lamp Type    Incandescent
Controller Colors Sequence    RYG
</t>
    </r>
  </si>
  <si>
    <t xml:space="preserve">108254</t>
  </si>
  <si>
    <t xml:space="preserve">CVD system with 4 x DXZ chambers, Silane process</t>
  </si>
  <si>
    <t xml:space="preserve">ce marked. Was refurbished in 2001.</t>
  </si>
  <si>
    <t xml:space="preserve">109534</t>
  </si>
  <si>
    <t xml:space="preserve">990-004763-015</t>
  </si>
  <si>
    <t xml:space="preserve">Pad Con Analog Pneumatic Unit</t>
  </si>
  <si>
    <t xml:space="preserve">-Please refer to the attached photo for details.
-This is a used part.</t>
  </si>
  <si>
    <t xml:space="preserve">106207</t>
  </si>
  <si>
    <t xml:space="preserve">0240-20611 REV E</t>
  </si>
  <si>
    <t xml:space="preserve">KIT SLIT VALVE PER CHAMBER REV E</t>
  </si>
  <si>
    <t xml:space="preserve">UNUSED AND IN ORIGINAL SEALED PACKING
SEE PHOTOS FOR DETAILS</t>
  </si>
  <si>
    <t xml:space="preserve">109535</t>
  </si>
  <si>
    <t xml:space="preserve">990-004763-015 (Upgrade)</t>
  </si>
  <si>
    <t xml:space="preserve">Upgrade for Pad Con Analog Pneumatic Assembly</t>
  </si>
  <si>
    <t xml:space="preserve">-This is a 3rd party upgrade for the AMAT Analog Pneumatic Board for Pad 
Con Arm of Mirra and Mira Mesa CMP system.
-Installation is not included.
-Warranty: 6 months from delivery.
-More details available on request.</t>
  </si>
  <si>
    <t xml:space="preserve">91616</t>
  </si>
  <si>
    <t xml:space="preserve">AL</t>
  </si>
  <si>
    <t xml:space="preserve">106208</t>
  </si>
  <si>
    <t xml:space="preserve">0040-13659 REV P1</t>
  </si>
  <si>
    <t xml:space="preserve">BLOCK, MTG</t>
  </si>
  <si>
    <t xml:space="preserve">UNUSED AND IN ORIGINAL SEALED PACKING
SEE PHOTO FOR DETAILS</t>
  </si>
  <si>
    <t xml:space="preserve">91617</t>
  </si>
  <si>
    <t xml:space="preserve">106209</t>
  </si>
  <si>
    <t xml:space="preserve">0020-21089</t>
  </si>
  <si>
    <t xml:space="preserve">SHIELD</t>
  </si>
  <si>
    <t xml:space="preserve">CLEANED AND SEALED IN PLASTIC BAG
SEE PHOTOS FOR DETAILS</t>
  </si>
  <si>
    <t xml:space="preserve">91618</t>
  </si>
  <si>
    <t xml:space="preserve">ENDURA CL Chamber Only </t>
  </si>
  <si>
    <t xml:space="preserve">Chamber 1 (Ver. 001) CPI-VMO</t>
  </si>
  <si>
    <t xml:space="preserve">106210</t>
  </si>
  <si>
    <t xml:space="preserve">0190-20015 REV E</t>
  </si>
  <si>
    <t xml:space="preserve">GAS LINE NO. 3 PRECLEAN CHAMBER REACTIVE PR</t>
  </si>
  <si>
    <t xml:space="preserve">106211</t>
  </si>
  <si>
    <t xml:space="preserve">0050-20072 REV B</t>
  </si>
  <si>
    <t xml:space="preserve">GAS LINE CHAMBER 3 HEATER MFC 1 VCR</t>
  </si>
  <si>
    <t xml:space="preserve">91620</t>
  </si>
  <si>
    <t xml:space="preserve">SOURCE D (Ver. 003) CPI-VMO</t>
  </si>
  <si>
    <t xml:space="preserve">94436</t>
  </si>
  <si>
    <t xml:space="preserve">CENTURA MOCVD</t>
  </si>
  <si>
    <t xml:space="preserve">NLighten NEON</t>
  </si>
  <si>
    <t xml:space="preserve">4C/H
-Configured for GaN on Silicon Epitaxy
-Deinstalled, warehoused, can be inspected by appointment. See attached 
photos for details.</t>
  </si>
  <si>
    <t xml:space="preserve">106212</t>
  </si>
  <si>
    <t xml:space="preserve">0050-76652 REV A</t>
  </si>
  <si>
    <t xml:space="preserve">GAS LINE CHAMBER 2 PROCESS MFC 19 MIXED</t>
  </si>
  <si>
    <t xml:space="preserve">106980</t>
  </si>
  <si>
    <t xml:space="preserve">Reflexion</t>
  </si>
  <si>
    <t xml:space="preserve">106213</t>
  </si>
  <si>
    <t xml:space="preserve">0020-20626 REV C</t>
  </si>
  <si>
    <t xml:space="preserve">BLOCK MOUNTING SHUT-OFF VALVE</t>
  </si>
  <si>
    <t xml:space="preserve">106981</t>
  </si>
  <si>
    <t xml:space="preserve">Reflexion LK</t>
  </si>
  <si>
    <t xml:space="preserve">109541</t>
  </si>
  <si>
    <t xml:space="preserve">Centura AP DPS 2 G5</t>
  </si>
  <si>
    <t xml:space="preserve">Polysilicon etcher, 3 chamber</t>
  </si>
  <si>
    <t xml:space="preserve">The equipment has been professionally de-installed, and inspection of the 
equipment is welcomed by appointment in the warehouse.
For details about the tool's condition, please refer to the attached 
photos.
Configuration: Fitted with qty 3 of DPS2 G5 chambers.
Packing List:
1. EFEM
2. TM
3. A CHAMBER DPS 2 G5
4. B CHAMBER DPS 2 G5
5. C CHAMBER DPS 2 G5
6. MONITOR PANEL
7. PARTS BOX 1
8. PARTS BOX 2
9. PARTS BOX 3
10. PARTS BOX 4
11. COVERS
12. FFU
13. SIDE STORAGE 1
14. SIDE STORAGE 2
15. AC RACK
16. UPS
Gas Panel Config:
Gas 1 Cl2
Gas 2 CHF3
Gas 3 HBr
Gas 4 NF3
Gas 5 SF6
Gas 6 ??</t>
  </si>
  <si>
    <t xml:space="preserve">106214</t>
  </si>
  <si>
    <t xml:space="preserve">0090-20042 REV D</t>
  </si>
  <si>
    <t xml:space="preserve">ASSY 3 WAY VALVE</t>
  </si>
  <si>
    <t xml:space="preserve">106982</t>
  </si>
  <si>
    <t xml:space="preserve">Mesa</t>
  </si>
  <si>
    <t xml:space="preserve">CMP cleaning system</t>
  </si>
  <si>
    <t xml:space="preserve">109542</t>
  </si>
  <si>
    <t xml:space="preserve">Centura DPS II Advantedge POLY</t>
  </si>
  <si>
    <t xml:space="preserve">POLY ETCHER, 4 CHAMBER</t>
  </si>
  <si>
    <t xml:space="preserve">The equipment has been professionally de-installed, and inspection of the 
equipment is welcomed by appointment in the warehouse.
For details about the tool's condition, please refer to the attached 
photos.
Configuration: Fitted with qty 3 of DPS2 G5 chambers, and 1 chamber AE 
Strip
 </t>
  </si>
  <si>
    <t xml:space="preserve">91623</t>
  </si>
  <si>
    <t xml:space="preserve">Chamber D (Ver. 001) CPI-VMO(eSIP TAN)</t>
  </si>
  <si>
    <t xml:space="preserve">94439</t>
  </si>
  <si>
    <t xml:space="preserve">4C/H</t>
  </si>
  <si>
    <t xml:space="preserve">106215</t>
  </si>
  <si>
    <t xml:space="preserve">0020-20483 REV E</t>
  </si>
  <si>
    <t xml:space="preserve">HUB LAMP CORNER COVER</t>
  </si>
  <si>
    <t xml:space="preserve">106983</t>
  </si>
  <si>
    <t xml:space="preserve">Desica</t>
  </si>
  <si>
    <t xml:space="preserve">CMP Cleaning system</t>
  </si>
  <si>
    <t xml:space="preserve">109543</t>
  </si>
  <si>
    <t xml:space="preserve">Centura AP DPS 2 Advantedge Mesa</t>
  </si>
  <si>
    <t xml:space="preserve">Polysilicon Etcher with 4 chambers</t>
  </si>
  <si>
    <t xml:space="preserve">The equipment has been professionally de-installed, and inspection of the 
equipment is welcomed by appointment in the warehouse.
For details about the tool's condition, please refer to the attached 
photos.
Configuration: Fitted with qty 3 of DPS2 G5 chambers, and 1 chamber AE 
Strip
Can be inspected by appointment.
Packing List:
4 Chambers: DPS CH A, B, C, STRIP CH D
AC Rack
EFEM Module
TM Module
DPS ETCH CHAMBERS GAS PANEL CONFIG:
SF6
HBR
NF3
CL2
CF4
HE
O2 20
O2 200
CHF3
N2 20
AR
N2 200
STRIP CHAMBER GAS PANEL CONFIG:
O2 5000
O2 10000
H2N2
N2</t>
  </si>
  <si>
    <t xml:space="preserve">106216</t>
  </si>
  <si>
    <t xml:space="preserve">0140-20502 REV D</t>
  </si>
  <si>
    <t xml:space="preserve">HARN ASSY AC 2-PHASE DRIVER</t>
  </si>
  <si>
    <t xml:space="preserve">106984</t>
  </si>
  <si>
    <t xml:space="preserve">Kawasaki 4.0</t>
  </si>
  <si>
    <t xml:space="preserve">Fab Interface Module</t>
  </si>
  <si>
    <t xml:space="preserve">109544</t>
  </si>
  <si>
    <t xml:space="preserve">Centura 5200 AP DPS2 Advantedge Carina Mesa</t>
  </si>
  <si>
    <t xml:space="preserve">Dry Etch Cluster Tool - 2 CHAMBER - METAL ETCH PROCESS</t>
  </si>
  <si>
    <t xml:space="preserve">EFEM/ TM Module/ DPS2 Chamber B / Mesa Chamber D / AC Rack/ Accessories
The equipment has been professionally de-installed, and inspection of the 
equipment is welcomed by appointment in the warehouse.
For details about the tool's condition, please refer to the attached 
photos.
Etch chamber gas box config:
Cl2 50
Cl2 20
HBr 50
SiCl4 50
H2 200
NF3 20
BCl3 40
O2 200
CHF3 300
CH2F2 100
N2 200
SF6 100
CF4 30
Ar 500
CHAMBER B
Model
CH AC DIST BOX DUAL HTR, ADVANTEDGE TSUBASA
AMAT P/N
-
MFG P/N
-
Serial Number
06278536
Voltage
208V
Nr. of Wires
Three + GND
Phase
-
Full load current
80A
Max. System Rating
-
Freq
50/60 Hz
Ampere Rating of the largest load
32 AMPS
Panel main protection device
100 A
Year of construction
-
Diagram #
0170-02572 REV. 04
AXIOM CHAMBER D
Model
CHAMBER AC DISTRIBUTION BOX AXIOM 300mm
AMAT P/N
0190-30702 REV. 03
MFG P/N
IATAMT019030702
Serial Number
11246109
Voltage
208V
Nr. of Wires
Three + GND
Phase
3Ø “∆”
Full load current
80 AMPS
Max. System Rating
36 KVA
Freq
50/60 Hz
Ampere Rating of the largest load
30 AMPS
Interrupting current
10K AMPS I.C
Year of construction
JUN 2011
Diagram #
0170-01579 REV. 4
Remote AC Rack
System Number
424973-XA-ACGR
Model
REMOTE AC RACK UVR, BASIC, CONDUCTOR/CLOSED COUPLE
AMAT P/N
0190-09581 REV. 002
C-H P/N
84-33087-4 REV 5
Serial Number
566604293-1
Voltage
208V
Nr. of Wires
FOUR
Phase
3Ø “∆”
Full load current
320A
Max. AMP rating of main OC device
400 A
Freq
50/60 Hz
Ampere Rating of the largest load
80A
Short-circuit interrupting Capacity of main overcurrent protective device
65K AMPS I.C
Year of construction
MAR 2012
Diagram #
0170-04191 REV 3
 </t>
  </si>
  <si>
    <t xml:space="preserve">106217</t>
  </si>
  <si>
    <t xml:space="preserve">0020-20523</t>
  </si>
  <si>
    <t xml:space="preserve">COVER</t>
  </si>
  <si>
    <t xml:space="preserve">SEALED
SEE PHOTO FOR DETAILS</t>
  </si>
  <si>
    <t xml:space="preserve">109545</t>
  </si>
  <si>
    <t xml:space="preserve">Centura AP DPS II Advantedge</t>
  </si>
  <si>
    <t xml:space="preserve">The equipment has been professionally de-installed, and inspection of the 
equipment is welcomed by appointment in the warehouse.
For details about the tool's condition, please refer to the attached 
photos.
cha, b and c: dps2 etch
chd: strip</t>
  </si>
  <si>
    <t xml:space="preserve">106218</t>
  </si>
  <si>
    <t xml:space="preserve">0240-70416 REV C</t>
  </si>
  <si>
    <t xml:space="preserve">KIT BLOW OUT VALVE PER CHAMBER</t>
  </si>
  <si>
    <t xml:space="preserve">106219</t>
  </si>
  <si>
    <t xml:space="preserve">94444</t>
  </si>
  <si>
    <t xml:space="preserve">ENDURA CL Chamber only</t>
  </si>
  <si>
    <t xml:space="preserve">106220</t>
  </si>
  <si>
    <t xml:space="preserve">0190-20015 REV D</t>
  </si>
  <si>
    <t xml:space="preserve">VALVE / MANIFOLD</t>
  </si>
  <si>
    <t xml:space="preserve">106221</t>
  </si>
  <si>
    <t xml:space="preserve">3830-01018 REV </t>
  </si>
  <si>
    <t xml:space="preserve">LABEL LASERTAB MARKER WHT POLYEST LAM</t>
  </si>
  <si>
    <t xml:space="preserve">109549</t>
  </si>
  <si>
    <t xml:space="preserve">Centura DPS2 AE Minos Poly</t>
  </si>
  <si>
    <t xml:space="preserve">Dry Etch with 2CH DPS2 and 2 CH Axiom</t>
  </si>
  <si>
    <t xml:space="preserve">-De-installed, warehoused and plastic wrapped.
-Can be inspected by appointment
-Includes qty 3 DPS2 process chambers and one Axiom Strip cleaning chamber.
-Other parts included:-
-Centura AP SWLL Ch qty 2 (Heated)
-AMAT Remote UPS Interface Box P/N 0190-23195 rev 003
-Voltage: 208V
-Wires: 3
-Phases: 2 Phase Delta
-Full Load Current: 40A , 50/60 Hz Year of Construction:: Jun 2006
-Gas box capacity: 12 sticks per chamber
-MFC Maker: Mykrolis / Celerity Intelliflow II
-MFC Sizes (Per Chamber):-
1-CL2  300 SCCM
2-NF3   50 SCCM
3-SF6   50 SCCM
4-HBr  500 SCCM
5-O2   200 SCCM
6-O2    20 SCCM
7-He   500 SCCM
8-N2   200 SCCM
9-CHF3 200 SCCM
10-N2   20 SCCM
11-CF4 300 SCCM
12-Ar  500 SCCM
Gas Panel Manual Valves: Parker / MKS</t>
  </si>
  <si>
    <t xml:space="preserve">106222</t>
  </si>
  <si>
    <t xml:space="preserve">3830-01034 REV </t>
  </si>
  <si>
    <t xml:space="preserve">106223</t>
  </si>
  <si>
    <t xml:space="preserve">106224</t>
  </si>
  <si>
    <t xml:space="preserve">3870-01281 REV </t>
  </si>
  <si>
    <t xml:space="preserve">VALVE BLANK PLATE ASSY FOR SMC P/N NVJ11</t>
  </si>
  <si>
    <t xml:space="preserve">106225</t>
  </si>
  <si>
    <t xml:space="preserve">3870-01284</t>
  </si>
  <si>
    <t xml:space="preserve">VALVE BLANK PLATE ASSY FOR SMC P/N NVJ3023</t>
  </si>
  <si>
    <t xml:space="preserve">106226</t>
  </si>
  <si>
    <t xml:space="preserve">106227</t>
  </si>
  <si>
    <t xml:space="preserve">106228</t>
  </si>
  <si>
    <t xml:space="preserve">108023</t>
  </si>
  <si>
    <t xml:space="preserve">CVD</t>
  </si>
  <si>
    <t xml:space="preserve">71931</t>
  </si>
  <si>
    <t xml:space="preserve">0050-76664 REV A</t>
  </si>
  <si>
    <t xml:space="preserve">GAS LINE CHAMBER 2 PROCESS WC UPPER MIXE</t>
  </si>
  <si>
    <t xml:space="preserve">
</t>
  </si>
  <si>
    <t xml:space="preserve">71932</t>
  </si>
  <si>
    <t xml:space="preserve">0020-20919 REV C</t>
  </si>
  <si>
    <t xml:space="preserve">COVER CVD POST</t>
  </si>
  <si>
    <t xml:space="preserve">71933</t>
  </si>
  <si>
    <t xml:space="preserve">0150-21344</t>
  </si>
  <si>
    <t xml:space="preserve">CHAMBER D INTERCONNECT EMC COMPLIANT</t>
  </si>
  <si>
    <t xml:space="preserve">110617</t>
  </si>
  <si>
    <t xml:space="preserve">Applied Materials ®</t>
  </si>
  <si>
    <t xml:space="preserve">0190-33289</t>
  </si>
  <si>
    <t xml:space="preserve">RTP CHAMBER  LAMP</t>
  </si>
  <si>
    <t xml:space="preserve">183</t>
  </si>
  <si>
    <t xml:space="preserve">USED RTP chamber lamp; Q.TY 183.
THESE LAMPS HAVE BEEN USED, SO WE DON'T KNOW IF THEY ARE IN WORKING 
CONDITION OR NOT.</t>
  </si>
  <si>
    <t xml:space="preserve">105851</t>
  </si>
  <si>
    <t xml:space="preserve">079-018-05</t>
  </si>
  <si>
    <t xml:space="preserve">P5000 Mk II Functional description Practice exercises</t>
  </si>
  <si>
    <t xml:space="preserve">Proceedure Rev E May 1995</t>
  </si>
  <si>
    <t xml:space="preserve">105852</t>
  </si>
  <si>
    <t xml:space="preserve">0230-09258B</t>
  </si>
  <si>
    <t xml:space="preserve">P5000 Mk II Mainframe and Support Equipment Manual</t>
  </si>
  <si>
    <t xml:space="preserve">On Cleanroom Paper
Proceedure 010-102-0B Rev B July 1994
 </t>
  </si>
  <si>
    <t xml:space="preserve">105853</t>
  </si>
  <si>
    <t xml:space="preserve">0230-00103</t>
  </si>
  <si>
    <t xml:space="preserve">Precision Etch 8300 Corrective Maintenance Rev 3 </t>
  </si>
  <si>
    <t xml:space="preserve">Proceedure on cleanroom paper, Rev 3 May 1990</t>
  </si>
  <si>
    <t xml:space="preserve">105854</t>
  </si>
  <si>
    <t xml:space="preserve">0230-20005</t>
  </si>
  <si>
    <t xml:space="preserve">Endura Operations and Programming Training Course Student Workbook</t>
  </si>
  <si>
    <t xml:space="preserve">Proceedure Rev B Sep 1993</t>
  </si>
  <si>
    <t xml:space="preserve">105858</t>
  </si>
  <si>
    <t xml:space="preserve">0021-35163 Rev A</t>
  </si>
  <si>
    <t xml:space="preserve">Gold-plated RTP Reflector Plate, 200 MM, chamber bottom</t>
  </si>
  <si>
    <t xml:space="preserve">Gold-plated 200 mm RTP Bottom Reflector Plate, from MOD 1 RTP Chamber, 
used, in good condition, see attached photos for details</t>
  </si>
  <si>
    <t xml:space="preserve">6536</t>
  </si>
  <si>
    <t xml:space="preserve">0230-09258 B</t>
  </si>
  <si>
    <t xml:space="preserve">P5000 Mk II Mainfame support and equipment manual cleanroom July 1994</t>
  </si>
  <si>
    <t xml:space="preserve">6537</t>
  </si>
  <si>
    <t xml:space="preserve">026-105-03 C</t>
  </si>
  <si>
    <t xml:space="preserve">P5000 Mk II Functional description training manual</t>
  </si>
  <si>
    <t xml:space="preserve">6538</t>
  </si>
  <si>
    <t xml:space="preserve">079-109-0D</t>
  </si>
  <si>
    <t xml:space="preserve">P5000 Mk II Advanced calibration proceedures manual Jan 1995</t>
  </si>
  <si>
    <t xml:space="preserve">6539</t>
  </si>
  <si>
    <t xml:space="preserve">079-102-0D</t>
  </si>
  <si>
    <t xml:space="preserve">P5000 Mk II Advanced preventive and corrective maintenance Apr 1996</t>
  </si>
  <si>
    <t xml:space="preserve">6540</t>
  </si>
  <si>
    <t xml:space="preserve">026-110-0B.1</t>
  </si>
  <si>
    <t xml:space="preserve">P5000 Mk II Functional description , practice exercises and basic maintenance proceedures</t>
  </si>
  <si>
    <t xml:space="preserve">83894</t>
  </si>
  <si>
    <t xml:space="preserve">ASAHI TOOLS</t>
  </si>
  <si>
    <t xml:space="preserve">K-2</t>
  </si>
  <si>
    <t xml:space="preserve">PRECISION WRENCH</t>
  </si>
  <si>
    <t xml:space="preserve">PARTS</t>
  </si>
  <si>
    <t xml:space="preserve">FROM NITTO HR AND DR8500</t>
  </si>
  <si>
    <t xml:space="preserve">32217</t>
  </si>
  <si>
    <t xml:space="preserve">77168</t>
  </si>
  <si>
    <t xml:space="preserve">Asco</t>
  </si>
  <si>
    <t xml:space="preserve">SC8210G004</t>
  </si>
  <si>
    <t xml:space="preserve">Solenoid Valve, 1 In, Orifice 1 In, Brass</t>
  </si>
  <si>
    <t xml:space="preserve">ASCO SC8210G004, Solenoid Valve, 1 In, Orifice 1 In, Brass
New in Box, Ships from our Boerne, TX Warehouse</t>
  </si>
  <si>
    <t xml:space="preserve">83571</t>
  </si>
  <si>
    <t xml:space="preserve">SC8210G93</t>
  </si>
  <si>
    <t xml:space="preserve">Solenoid Valve, </t>
  </si>
  <si>
    <t xml:space="preserve">  ASCO SC8210G93 Red Hat, Solenoid Valve, , Brass
New in Box, Ships from our Boerne, TX Warehouse</t>
  </si>
  <si>
    <t xml:space="preserve">109363</t>
  </si>
  <si>
    <t xml:space="preserve">ASE</t>
  </si>
  <si>
    <t xml:space="preserve">AMV-1000-27M-ASMGK-L</t>
  </si>
  <si>
    <t xml:space="preserve">109364</t>
  </si>
  <si>
    <t xml:space="preserve">AMV-1000-27M-ASMGK-R</t>
  </si>
  <si>
    <t xml:space="preserve">109365</t>
  </si>
  <si>
    <t xml:space="preserve">AMV-1000-SMT</t>
  </si>
  <si>
    <t xml:space="preserve">108062</t>
  </si>
  <si>
    <t xml:space="preserve">ASM</t>
  </si>
  <si>
    <t xml:space="preserve">HUMMING BIRD</t>
  </si>
  <si>
    <t xml:space="preserve">STUD BUMP</t>
  </si>
  <si>
    <t xml:space="preserve">ASSEMBLY</t>
  </si>
  <si>
    <t xml:space="preserve">Wafer</t>
  </si>
  <si>
    <t xml:space="preserve">109104</t>
  </si>
  <si>
    <t xml:space="preserve">AS899 (Spare Parts)</t>
  </si>
  <si>
    <t xml:space="preserve">Stock of Spare Parts for ASM Die Sorters / Pick and place Die Bonders</t>
  </si>
  <si>
    <t xml:space="preserve">51</t>
  </si>
  <si>
    <t xml:space="preserve">Set of spare parts for ASM AS 899 Die Sorter / Pick and Place Die Bonders.
Please refer to the below list for details.
Will Ship to you from our Avezzano (AQ) 67051 Italy location
Photos of these parts are available on request.
Manufacturer    Model    Description
ASM    AS 899 (Spares)    Ionizing Blower Model 6432 E
ASM    AS 899 (Spares)    Linear Solenoid Driver III (104722924)
ASM    AS 899 (Spares)    Linear Solenoid Driver III (104722925)
ASM    AS 899 (Spares)    2 pcs. Circuit Board (64-20915B)
ASM    AS 899 (Spares)    Joystick with cable
ASM    AS 899 (Spares)    Lighting Module Assy (01-19690)
ASM    AS 899 (Spares)    Airflow and Pneumatic (BIA) (01-31375/A)
ASM    AS 899 (Spares)    Airflow and Pneumatic (BIA) (01-31375)
ASM    AS 899 (Spares)    Press &amp; Vac Solenoid Valve Assy ( 01-21435)
ASM    AS 899 (Spares)    AC SERVO Motor B21293
ASM    AS 899 (Spares)    AC SERVO Motor
ASM    AS 899 (Spares)    AC SERVO Motor B43325
ASM    AS 899 (Spares)    AC SERVO Motor C47778
ASM    AS 899 (Spares)    Small Optics Assy
ASM    AS 899 (Spares)    Small Optics Assy
ASM    AS 899 (Spares)    2 pcs. Circuit Board (64-2020E)
ASM    AS 899 (Spares)    Circuit Board (64-21019E)
ASM    AS 899 (Spares)    Circuit Board (64-20873B)
ASM    AS 899 (Spares)    Prober XYZ Table Assy
ASM    AS 899 (Spares)    Prober XYZ Table Assy
ASM    AS 899 (Spares)    Circuit Board (03-20847)
ASM    AS 899 (Spares)    Small Optics Assy
ASM    AS 899 (Spares)    Small Optics Assy with Holder
ASM    AS 899 (Spares)    Theta Wafer Ring Wafer Table Assy
ASM    AS 899 (Spares)    Test Plate 05850734
ASM    AS 899 (Spares)    Test Plate 05850734
ASM    AS 899 (Spares)    Test Plate 05850733
ASM    AS 899 (Spares)    Test Plate 05850733
ASM    AS 899 (Spares)    Look Connector EE-1001 (53-40037)
ASM    AS 899 (Spares)    BIAX ENC Assy (02-44503)
ASM    AS 899 (Spares)    Renishaw Cable RGH24Z15A00A
ASM    AS 899 (Spares)    Ball Frictionless Table NON (24-00206)
ASM    AS 899 (Spares)    Airflow Sensor Assy ( 01-25888)
ASM    AS 899 (Spares)    Airflow Sensor Assy
ASM    AS 899 (Spares)    Tool Kit (01-23691)
ASM    AS 899 (Spares)    Reflector Kit (01-30610)
ASM    AS 899 (Spares)    Manometer for Pressure Compensation
ASM    AS 899 (Spares)    Pick &amp; Place unit
ASM    AS 899 (Spares)    Pick &amp; Place unit
ASM    AS 899 (Spares)    Die sorter Rotating Arm Motor
ASM    AS 899 (Spares)    3 pcs. Metal Column
ASM    AS 899 (Spares)    Module 1-20.10
ASM    AS 899 (Spares)    Die Plate
ASM    AS 899 (Spares)    Cable
ASM    AS 899 (Spares)    Angle small
ASM    AS 899 (Spares)    Microscope single-eyed TS-C (132416)
ASM    AS 899 (Spares)    Keyboard and Mouse
ASM    AS 899 (Spares)    14 pcs. Chip Module and various cables
ASM    AS 899 (Spares)    Microscope Holder
ASM    AS 899 (Spares)    Angle with Test Plate
ASM    AS 899 (Spares)    20 pcs. Double modules and 12 pcs. Single modules</t>
  </si>
  <si>
    <t xml:space="preserve">109117</t>
  </si>
  <si>
    <t xml:space="preserve">XP8</t>
  </si>
  <si>
    <t xml:space="preserve">Dual Chamber PECVD system for Oxide and Nitride</t>
  </si>
  <si>
    <t xml:space="preserve">Dragon XP8 is a high-productivity 300mm tool for PECVD applications. The 
system can be configured with up to four Dual Chamber Modules (DCM), 
enabling eight chambers in high-volume production within a very compact 
footprint. Processes include a broad range of dielectric PECVD films for 
applications such as interconnect dielectrics layers, passivation layers, 
and etch stop layers.</t>
  </si>
  <si>
    <t xml:space="preserve">108378</t>
  </si>
  <si>
    <t xml:space="preserve">A600 LPCVD-OXIDE</t>
  </si>
  <si>
    <t xml:space="preserve">Vertical Furnace</t>
  </si>
  <si>
    <t xml:space="preserve">108381</t>
  </si>
  <si>
    <t xml:space="preserve">Eagle XP EmerALD</t>
  </si>
  <si>
    <t xml:space="preserve">ALD (Atomic Layer Deposition)</t>
  </si>
  <si>
    <t xml:space="preserve">Some missing / damaged parts and HDD not included.
Inspection recommended to guage condition.</t>
  </si>
  <si>
    <t xml:space="preserve">108384</t>
  </si>
  <si>
    <t xml:space="preserve">Eagle-12 Rapidfire</t>
  </si>
  <si>
    <t xml:space="preserve">106862</t>
  </si>
  <si>
    <t xml:space="preserve">A412</t>
  </si>
  <si>
    <t xml:space="preserve">Dual Tube CVD Furnace, Tube 1 Nitride , Tube 2 As + Ge doped polyslicon</t>
  </si>
  <si>
    <t xml:space="preserve">Currently operational in the fab.
Has CE mark.
Config:
Tube 1: Silicon Nitride
Tube 2: Doped Polysilicon
Vintage Jan 2019
Gases used:
Tube 1
N2, N2O, NH3, H2, DCS
Tube 2
N2, SiH4,GeH4,H2,AsH3,BCl3,BCl3</t>
  </si>
  <si>
    <t xml:space="preserve">106884</t>
  </si>
  <si>
    <t xml:space="preserve">Spare Parts for Pick and Place Die Bonder</t>
  </si>
  <si>
    <t xml:space="preserve">A stock of spare parts for the ASM AS 899 Pick and Place die Bonder
Consisting of:-
No. Description
1 Ionizing Blower Model 6432 E
2 Linear Solenoid Driver III (104722924)
3 Linear Solenoid Driver III(104722925)
4 2 pcs. Circuit Board (64-20915B)
5 Joystick with cable
6 Lighting Module Assy (01-19690)
7 Airflow and Pneumatic (BIA) (01-31375/A)
8 Airflow and Pneumatic (BIA) (01-31375)
9 Press &amp; Vac Solenoid VAVle Assy ( 01-21435)
10 AC SERVO Motor B21293
11 AC SERVO Motor
12 AC SERVO Motor B43325
13 AC SERVO Motor C47778
14 Small Optics Assy
15 Small Optics Assy
16 2 pcs. Circuit Board (64-2020E)
17 Circuit Board (64-21019E)
18 Circuit Board (64-20873B)
19 Prober XYZ Table Assy
20 Prober XYZ Table Assy
21 Circuit Board (03-20847)
22 Small Optics Assy
23 Small Optics Assy with Holder
24 Theta Wafer Ring Wafer Table Assy
25 Test Plate 05850734
26 Test Plate 05850734
27 Test Plate 05850733
28 Test Plate 05850733
29 Look Connector EE-1001 (53-40037)
30 BIAX ENC Assy (02-44503)
31 Renishaw Cable RGH24Z15A00A
32 Ball Frictionless Table NON (24-00206)
33 Airflow Sensor Assy ( 01-25888)
34 Airflow Sensor Assy
35 Tool Kit (01-23691)
36 Reflector Kit (01-30610)
37 Manometer for Pressure Compensation
38 Pick &amp; Place unit
39 Pick &amp; Place unit
40 Disorter Rotating Arm Motor
41 3 pcs. Metal Column
42 Module 1-20.10
43 Di Plate
44 Cable
45 Angle small
46 Microscope single-eyed TS-C (132416)
47 Keyboard and Mouse
48 14 pcs. Chip Module and various cables
49 Microscope Holder
50 Angle with Test Plate
51 20 pcs. Double modules and 12 pcs. Single modules</t>
  </si>
  <si>
    <t xml:space="preserve">98443</t>
  </si>
  <si>
    <t xml:space="preserve">MS896</t>
  </si>
  <si>
    <t xml:space="preserve">LED sorter</t>
  </si>
  <si>
    <t xml:space="preserve">100mm</t>
  </si>
  <si>
    <t xml:space="preserve">98444</t>
  </si>
  <si>
    <t xml:space="preserve">WS896</t>
  </si>
  <si>
    <t xml:space="preserve">81827</t>
  </si>
  <si>
    <t xml:space="preserve">2890224-21</t>
  </si>
  <si>
    <t xml:space="preserve">Converter DTC</t>
  </si>
  <si>
    <t xml:space="preserve">2-port DEB-8025 Data acquisition Board. with manual
Located in AVEZZANO 67051 ITALYwarehouse</t>
  </si>
  <si>
    <t xml:space="preserve">81828</t>
  </si>
  <si>
    <t xml:space="preserve">2506556-21</t>
  </si>
  <si>
    <t xml:space="preserve">Processor DTC PCB</t>
  </si>
  <si>
    <t xml:space="preserve">ASM 2506556 Processor DTC board, march 2010 vintage
REV A.
Used, working , sold as-is. See photos for details, etc.
Located in our AVEZZANO 67051 ITALY warehouse   </t>
  </si>
  <si>
    <t xml:space="preserve">108713</t>
  </si>
  <si>
    <t xml:space="preserve">A400 HT </t>
  </si>
  <si>
    <t xml:space="preserve">Vertical Furnace Oxide/Poly</t>
  </si>
  <si>
    <t xml:space="preserve">Deinstalled, Warehoused. Can be inspected by appointment
Basic configuration:
• ASMi A400 HT Oxide / Poly
• Vintage 2003
• Dual reactors /Dual boats
• Boat Rotation (poly)
• 5 temperature zones
• New CE certification</t>
  </si>
  <si>
    <t xml:space="preserve">108255</t>
  </si>
  <si>
    <t xml:space="preserve">A400</t>
  </si>
  <si>
    <t xml:space="preserve">Vertical furnace, wet oxide process</t>
  </si>
  <si>
    <t xml:space="preserve">ce marked</t>
  </si>
  <si>
    <t xml:space="preserve">108256</t>
  </si>
  <si>
    <t xml:space="preserve">108257</t>
  </si>
  <si>
    <t xml:space="preserve">EAGLE 60</t>
  </si>
  <si>
    <t xml:space="preserve">Gold Ball Bonder</t>
  </si>
  <si>
    <t xml:space="preserve">108258</t>
  </si>
  <si>
    <t xml:space="preserve">108259</t>
  </si>
  <si>
    <t xml:space="preserve">108260</t>
  </si>
  <si>
    <t xml:space="preserve">108261</t>
  </si>
  <si>
    <t xml:space="preserve">108262</t>
  </si>
  <si>
    <t xml:space="preserve">109030</t>
  </si>
  <si>
    <t xml:space="preserve">AD810</t>
  </si>
  <si>
    <t xml:space="preserve">Automatic Die Attach Tool</t>
  </si>
  <si>
    <t xml:space="preserve">-Still installed and operational
-Located in USA
-See attached specification sheet
-Can be inspected by appointment</t>
  </si>
  <si>
    <t xml:space="preserve">108263</t>
  </si>
  <si>
    <t xml:space="preserve">108264</t>
  </si>
  <si>
    <t xml:space="preserve">Siplace CA4</t>
  </si>
  <si>
    <t xml:space="preserve">High volume automatic flip-chip bonder</t>
  </si>
  <si>
    <t xml:space="preserve">- High Volume Chip Assembly - 4 Portal Microchip / SMD Hybrid Assembly 
system - 4 Siplace Wafer Systems (SWS) 8" incl. 8" Wafer Expansion - 4 
Wafer Transfer Systems - 4 LP-camera (TYP34) and bonding Head C+P20 SIPLACE 
CA4 incl. 4 Siplace Wafer Systems 8" Accessories Single transport Chuck 
Chiller Cooling System Vacuumpump X-Series Samples and product evaluation 
only. Condition Excellent Year of Manufacture 2014 CE Marked YES Exterior 
Dimensions Width 238.0 cm) Depth 384.0 cm) Height 186.0 cm)</t>
  </si>
  <si>
    <t xml:space="preserve">109620</t>
  </si>
  <si>
    <t xml:space="preserve">ASML</t>
  </si>
  <si>
    <t xml:space="preserve">PAS 5500/55A</t>
  </si>
  <si>
    <t xml:space="preserve">I-line Stepper</t>
  </si>
  <si>
    <t xml:space="preserve">Deinstalled, warehoused. To be sold AS-IS</t>
  </si>
  <si>
    <t xml:space="preserve">108385</t>
  </si>
  <si>
    <t xml:space="preserve">TWINSCAN AT:850D</t>
  </si>
  <si>
    <t xml:space="preserve">248nm (KrF) Scanner</t>
  </si>
  <si>
    <t xml:space="preserve">108387</t>
  </si>
  <si>
    <t xml:space="preserve">YieldStar S-100B</t>
  </si>
  <si>
    <t xml:space="preserve">Overlay Measurement System</t>
  </si>
  <si>
    <t xml:space="preserve">109155</t>
  </si>
  <si>
    <t xml:space="preserve">PAS 5500/100D</t>
  </si>
  <si>
    <t xml:space="preserve">i-Line Stepper</t>
  </si>
  <si>
    <t xml:space="preserve">109156</t>
  </si>
  <si>
    <t xml:space="preserve">TWINSCAN AT:400</t>
  </si>
  <si>
    <t xml:space="preserve">i-Line Scanner</t>
  </si>
  <si>
    <t xml:space="preserve">109157</t>
  </si>
  <si>
    <t xml:space="preserve">TWINSCAN AT:850C</t>
  </si>
  <si>
    <t xml:space="preserve">109158</t>
  </si>
  <si>
    <t xml:space="preserve">YieldStar S-200B</t>
  </si>
  <si>
    <t xml:space="preserve">109159</t>
  </si>
  <si>
    <t xml:space="preserve">YieldStar S-250</t>
  </si>
  <si>
    <t xml:space="preserve">108918</t>
  </si>
  <si>
    <t xml:space="preserve">XT1250D</t>
  </si>
  <si>
    <t xml:space="preserve">ArF Lithography Scanner</t>
  </si>
  <si>
    <t xml:space="preserve">108151</t>
  </si>
  <si>
    <t xml:space="preserve">XT1400E </t>
  </si>
  <si>
    <t xml:space="preserve">193 nm DUV SCANNER(ARF)</t>
  </si>
  <si>
    <t xml:space="preserve">-Was operational and under service until July 2020.
-The equipment was professionally de-installed in May, 2022.
-The equipment has been auditted prior to removal.
-A copy of the audit report is available on request.
-The machine is currently warehoused, and it can be inspected by 
appointment.
CONFIGURATION:-
Valid ATP-document    X1400E
1: Software release Twinscan    Sw rel. 4.1.0
Power    400 Volt
Wafer size    300 mm
Wafer type    Flat
Laser MODEL    CYMER XLA 160+/165 (45W)
Laser type    Cymer Laser
OIU/Reticle-/Waf.aux.port    Left Configuration
Machine Location    Customer-site
MES machine type    XT1400E
FOUP mechan. door sensor    No
PPD IRIS (CSR)    No
CSR's for XT1400E various    CSR 8004
CSR: AT Multilingual UI    No
Pellicle Safeguard (CSR)    No
CSR: LS M2M P2P    No
WH Carrier Interface    25 Wafer Open Cassette kit
Wafer Track Interface    TEL Cleantrack Lithius/200
Mark sensor (WH opt.pre-align)    Yes
Integrated Reticle Library    Yes
 IRIS-6 Inch Reticles Twinscan    ATASF ASF: IRIS-XT with PPD2_1
Reticle CIDRW (Tag Reader)    No
FOUP Lockout system    No
Second Laser paddle    Yes
ASF: MDL View    CUST Site View
24 char Reticle Barcode Reader    Yes
Reorder Lot Service    No
Universal Prealignment    No
Recipe Creator    Recipe Creator "Light"
Automated Reticle Transport    No
WH PEP option (XT1400E), 200mm    PEP-Upgraded tpt 200mm, 180wph
EFESE    No
Proximity matching (CSR!)    Yes (check additional text)
AGILE    No
CSR: L1L7 Type_1    No
ASF: LS Area Extension    No
Chemical Sampling ports    No
ExpoSure    Yes
ASF: LS Spot Coverage    Yes
Aerial-P / Polarization    No
BAM: Bandwidth Analysis Module     No
InformPro/SystemPerf.Ind.Focus    No
Equipment Constants    No
Image Tuner    No
2D Barcode Reader    No
ASF: Echuck Flatness Qualific.    No
Wait Watcher    No
Reticle Streaming    Yes (Reticle Streaming)
CSR: Use UIP Ranges    No
Gridmapper    Yes (LCP needed @ Fab)
SpotLess    Yes (NOT XT:1700Fi, XT:19x0xi)
Chuck Dedication    Yes
Active Contrast Control    No
TOP PACKAGES    Standard (TOP 2)
ASF: Enh TPT Reticle Align Ext    Yes
ASF: Intel XT:1400E/F    No
2DE Grid Calibration    Yes
Gas Life Extension GLX    YES (purchased)
Dosemapper    Standard (LCP needed @Fab)
CCD Option    No
Sourcing Level    LPA Local Sourcing
Standard Specification Performance for ASML XT1400E:-
 CATEGORY     ITEMS     SPEC       
FULL  ACCEPTANCE TEST        XT1400E
1. DynamicPerformance    1.1 MA X &amp; Y (mean+3sig) [nm]    ≤ 1.7
    1.2 MSD X&amp; Y (max of mean per field) [nm]    ≤ 6.50
2 Overlay Performance    2.1 Stage repeatability [nm]    ≤  4.0
    2.2 Single machine overlay (Setting 1, chuck A to chuck B) nm    ≤  8
   3. Productivity    3.1 Wafer throughput: 125 exposures,    30mJ/cm2
    16x32mm(dose30mJ/cm2),Setting1[w/h]    ≥ 122
    3.3 Reticle exchange time   
    setting 1 --&gt; setting 2 [s]    ≤  13
    3.4 Lot overhead (incl. Reticle Exchange)   
    setting 1 --&gt; setting 2 [s]    ≤  13
4. Intensity    4.1Illumination intensity,11 scans in 26mm Setting 
1[mW/cm2]    ≥ 2260*
      5. Projection Lens    5.1 RMS Z5-Z37 [nm]    ≤  1.7
    5.2 RMS spherical [nm]    ≤  1.0
    5.3 RMS coma [nm]    ≤  0.9
    5.4 RMS astigmatism [nm]    ≤  0.9
    5.5 RMS 3-foil [nm]    ≤  0.9
    5.6 Non correctable error after correction for reticle error 
Setting1[nm]    ≤  7.0
    5.7 Image plane deviation at 65nm, Setting 1 [nm]    ≤  43
    5.8 Astigmatism at 65nm, Setting 1 [nm]    ≤  25
    5.9 Long range straylight [SAMOS %]    ≤ 0.9
    5.10 Short range straylight [SAMOS %]    ≤  1.2
   6. Dose control    5.1 Dose system performance, Setting 1 [%]    ≤ 1.2
    5.2 Integrated slit uniformity, Setting 1 [%]    ≤ 0.30
    5.3 Integrated scan uniformity, Setting 1 [%]    ≤ 0.2
    5.4 Dose reproducibility [%]    ≤ 0.25
    5.5 Dose accuracy, setting1 [%]    ± 1.0
    5.6 Dose stability, 3day [%]    ≤ 0.5
6. Pupil Verification    6.1 Ellipticity, Setting1 [|mean|]    ≤ 2.0
    6.2 Sigma variation, Setting1 [range]    ≤ 0.010
  7. Focus and Leveling    7.1 Wafer map repeatability (99.7%) [nm]    ≤ 10
    7.2 Leveling verification   
    Chuck to chuck focus difference [nm]    ≤ 10
    Full focus uniformity [nm]    ≤ 50</t>
  </si>
  <si>
    <t xml:space="preserve">109007</t>
  </si>
  <si>
    <t xml:space="preserve">Twinscan XT400F</t>
  </si>
  <si>
    <t xml:space="preserve">i LINE SCANNER</t>
  </si>
  <si>
    <t xml:space="preserve">The XT:400F is a dual-stage lithographic exposure tool designed for volume 
200-mm and 300-mm wafers production down to 220-nm resolution.
The dual wafer stage technology of the XT platform enables the exposure of 
one wafer and
the alignment and mapping of the next wafer to take place in parallel, 
thereby virtually eliminating
overhead time and allowing for continuous patterning of wafers. The level 
sensor, in combination
with the TWINSCAN leveling approach, virtually eliminates differences 
between inner die and edge
die and ensures high yield across the entire 300-mm wafer.
High throughput and yield are combined with fast reticle exchange times and 
Lot Streaming to provide the lowest cost of operation.
Lens
Wavelength: 365 nm
NA: 0.48-0.65
Resolution (standard): ≤ 350 nm
Resolution (annular): ≤ 280 nm
Resolution (annular + High Res.): ≤ 220 nm
Field size, for reticle with pellicle
• Max X: 26.0 mm
• Max Y: 33.0 mm
Distortion (Dynamic)
• Conventional:
≤ 30 nm
Overlay
Single-machine (TOP-2): ≤ 12 nm
Matched-machine (TOP-2): ≤ 20 nm</t>
  </si>
  <si>
    <t xml:space="preserve">109280</t>
  </si>
  <si>
    <t xml:space="preserve">XT 1950Hi</t>
  </si>
  <si>
    <t xml:space="preserve">DUV Wafer scanner</t>
  </si>
  <si>
    <t xml:space="preserve">Laser with tool is Cymer XLR 560i
This system has a CE mark.
Still installed and operational. The Lens data and the full configuration 
is available on request.</t>
  </si>
  <si>
    <t xml:space="preserve">109286</t>
  </si>
  <si>
    <t xml:space="preserve">Twinscan AT850B</t>
  </si>
  <si>
    <t xml:space="preserve">193nm  DUV Scanner</t>
  </si>
  <si>
    <t xml:space="preserve">-This machine is a KrF (248 nm) Step &amp; Scan 300 mm dual-stage lithography 
system capable of 110 nm resolution.
-Carl Zeiss Starlith 850 projection optics.
-Numerical aperture (NA) 0.80.
-Throughput 95 of 300 mm wafers per hour.
-The "Twinscan" platform, with two stages working together, allows wafer 
alignment and leveling to take place wat the same time as another wafer is 
being exposed,which increases productivity and accuracy. The separation of 
the alignment and leveling stage from the exposure operation reduces 
overhead time while improving accuracy.
-Designed for 110 nm design rule
-Has CE mark
-Detailed configuration is available on request.
-Recent lens data is available on request.
-Light-source Type:Cymer Laser: ELS6610K 20W, 8mJ, 2.5kHz
-Further photos available on request.</t>
  </si>
  <si>
    <t xml:space="preserve">109547</t>
  </si>
  <si>
    <t xml:space="preserve">XT1460K</t>
  </si>
  <si>
    <t xml:space="preserve">193 nm  (ArF) excimer exposure system</t>
  </si>
  <si>
    <t xml:space="preserve">3 months</t>
  </si>
  <si>
    <t xml:space="preserve">-Currently installed and running wafers in the fab.
-The equipment will be made available for removal in April 2024
The TWINSCAN XT:1460K 193-nm Step-and-Scan system is a high-productivity, 
dual-stage ArF lithography tool designed for volume 300-mm wafer production 
at 65-nm resolution.It combines the imaging power of a variable 
0.65–0.93-NA Carl Zeiss Starlith 4X reduction lens with AERIAL-P 
illuminator technology, extending ArF technology beyond the 65-nm 
technology node. Dual wafer-stage technology enables the exposure of one 
wafer and the alignment of the next wafer to take place in parallel, 
virtually eliminating overhead time and allowing for continuous patterning 
of wafers for maximum productivity. Off-line leveling system guarantees 
superior focus control over the full wafer, including edge dies. A 
standardly delivered 45-W ArF laser with variable frequency control, in 
combination with the high optical transmission of the complete system, 
provides a production throughput of 205 wph (300 mm). The tool is prepared 
to operate at extreme low-k 1 values, delivering excellent CD uniformity, 
industry leading overlay and long term performance stability.
Technical Specifications
Lens
Wavelength: 193 nm
NA: 0.65–0.93 (variable)
Resolution: ≤ 65 nm
Field size, for reticle with pellicle
• Max X: 26.0 mm
• Max Y: 33.0 mm
Aberrations RMS z5—z37: ≤ 1.5 nm
Overlay
Single Machine: ≤ 5.0 nm
Matched Machine: ≤ 9.0 nm
Dedicated-chuck: ≤ 3.5 nm
Matched-machine: ≤ 5.0 nm
Production Throughput
30-mJ/cm2 exposure dose
26 x 33-mm field size
• 300-mm wafers, 96 shots:≥ 205 wph
Key Features and Benefits
Variable 0.93-NA 193-nm Projection Lens With Advanced Lens Manipulators
Production resolution down to 57 nm with polarized Illumination.
Ultra-k 1 Package
Operation at extreme low-k 1 values is enabled using several capabilities 
standard on the tool.
These include improved focus control, support for customized illumination 
with QUASAR XL and DoseMapper functionality to improve CD control.
Superior Overlay
The XT:1460K is equipped with the latest overlay improvements resulting in 
dedicated chuck overlay of ≤ 3.5 nm and matched machine overlay of ≤ 5 nm 
with the TOP XT:1460K package installed.
High-Speed Dual-Stage Technology
Industry leading throughput for high volume manufacturing enabling highest 
number of good wafers per day.
Configuration:
    24 char Reticle Barcode Reader No
    2D Barcode Reader No
    ADE (UN)POL SLOT EXTENSION No
    AGILE No
    Aerial-P / Polarization AerialP+ ROE-PSE. No ACUA left
    Automated Reticle Transport Light Curtain
    Auxiliary Exhaust No
    Baseliner + BMMO-XT XT:1460K Baseliner only
    CASCAL No
    CSR's for XT1460K various 13474 CNL
    CSR's for XT1460K various 13093 CNL
    Chemical sampling ports No
    Chuck Dedication Yes
    DOE Pol. ID14 MP4 60-45 Yes
    DOE Pol. ID210 MP2 35-Y HS Yes
    DOE Pol. ID211 MP2 35-X HS Yes
    DOE Pol. ID5 MP4 30-45 Yes
    DOE Pol. ID7 MP2 90-Y Yes
    DOE Pol. ID8 MP2 90-X Yes
    EFESE No
    ELCB No
    Edge Die Optimizer (EDO) No
    ExpoSure Yes
    FAT Attendance No (Data Review Only)
    FIP: Focus Improvement Package No
    FOUP Lockout system Yes
    Focus Spot Monitor Flexpack No
    Gridmapper Yes (LCP needed @ Fab)
    Gridmapper Intrafield Yes
    IRIS-6 Inch Reticles Yes (XT version)
    Image Tuner No
    InForm (EDI/EDA) No
    InFormPro2 No
    InformPro/SystemPerf.Ind.Focus Full InformPro
    Integrated Reticle Library XP version
    Laser model CYMER XLA-165-HP (45W)
    Laser type Cymer laser
    Litho Insight No
    OIU/Reticle-/Waf.aux.port Left Configuration
    Power 400 Volt
    Recipe Creator Recipe Creator "Light"
    Reorder Lot Service No
    Reticle CIDRW (Tag Reader) Reticle CIDRW Asyst RF
    Reticle Streaming Yes (Reticle Streaming)
    SMASH Sensor SMASH only
    SMASH XY Yes
    Second Laser paddle Yes
    Software release Sw rel. 5.0.0
    SpotLess Yes
    TOP RC2 No
    TOP XT:1460K No
    Teststream No
    Universal Prealignment No
    Valid ATP-document provisional nr. ??225
    WH Carrier Interface 25 Wafer FOUP closed carrier
    Wafer Track Interface TEL Lithius PRO (V or Z)
    Wafer size 300 mm
    Wafer type Notch</t>
  </si>
  <si>
    <t xml:space="preserve">109551</t>
  </si>
  <si>
    <t xml:space="preserve">TWINSCAN XT1250D</t>
  </si>
  <si>
    <t xml:space="preserve">193nm (ArF) Scanner - Cymer laser not included</t>
  </si>
  <si>
    <t xml:space="preserve">TRUNCATED: ASML TWINSCAN XT 1250D ArF SCANNER
Please note: The Cymer laser from this tool has been sold.
So, it would be necessary to purchase another Cymer laser to replace it 
with. The Cymer laser is a completely separate sub-system from the main 
equipment. Hence, adding another laser to the system will not present 
technical problems.
Configuration Items:
Track Pre-warning signal (APR)s: APR enabled
Avoid Track INPUT/OUTPUT conflicts, Raise AS after APRs: Avoid Track
INPUT/OUTPUT conflicts enabled
Active wafer release for dry WSs: FALSE
Closing disk types: No closing disk present
Safeguard to prevent loading of reticles with too wide or mispositioned 
pellicles: Disabled
Continuous clampable wafer table for dry WSs: Absent
Type of wafer table on chuck 1 &amp; 2 for immersion machines: Zerodur version 
1
WS Immersion throughput packages: None
WS Immersion thermal control packages: None
Wafer Stage Configurations: Wafer Stage type 2 configuration
Wafer Carrier Locations: Right
Wafers per Carriers: 25
Wafer Mark Sensors: Absent
Wafer Id Readers: Absent
Wafer Sizes:300mm
Wafer Tracks: Present
Wafer Stage Types: Dual Chuck
Wafer Stress Relaxations: FALSE
Lower Docking Plates: Present
WS Balance Masss: Stainless Steel
WH Robot Power Amplifiers: CPM 20
Wafer Stage Fast Stiff X Move Electronicss: Present
Wafer Stage Mirror Block Down Electronicss: Present
Universal Prealignments: Disabled
Interferometer axis version at exposures: 3 plus 1 axis
Wafer Handling Pneumaticss: Dedicated
Wafer Switchs: Absent
Chuck 1 &amp; 2 wafer sizes: 300mm
Type of immersion hood for immersions: None
Specifies chuck1 &amp; 2 layout relev. for Immersions: Chuck does not support 
immersion
Specifies chuck1 &amp; 2 configs: Dry
Specifies chuck1 &amp; 2 versions: not specified
Changed Short Stroke diff XY controllers: Disabled
Docking wheels at WH unloads: Present
Docking plate heights: Low
Immersion Hood versions: AbsentCarrier Handler Types: Mark I 300 Foup
Wafer Handling Load &amp; Unload Robot Types: Double Fold Arm, 12 mm Z stroke
Wafer Handling Store Units: Absent
Wafer Handler wrt BF Shifted in Zs: Not Shifted
Reticle streaming lites: Disabled
Enhancements in Reticle Monitors: no enhancements
Reticle streaming: Disabled
Improvements for reticle handlings: Disabled
Extend IRIS maximum particles scanned to 50000.s: Absent
Zeroing type for Encoders Measurement Systems: Using extra hall sensors for 
zeroing
Reticle Stage Chuck Types: Glued Leafspring, TYPE_2: Glued LS, Pneum. GC, 
IFM / ENC
Nitrogen purging of Reticle Stages: RS is not purged
Reticle Carrier Locations: Right
Integrated Reticle Inspection Systems: PPD1 with IRIS1 functionality
Integrated Reticle Librarys: IRL with original functionality
Reticle Sizes: 6 inch
Reticle Carrier Tag Readers: Present
Reticle Stage Long Stroke Motor Types: Cobalt Ferro 18 teeth
Reticle Stage Long Stroke Configs: TYPE_3:CoFe_18 motor, SB controlled, 
int. vacuum
supply, pneum GC
Automated Reticle Transport Systems: Absent
Reticle Stage Lenscooler Boxes: Lenscooler Box with anti-aliasing Filter
Maximum Reticle ID Lengths: 24 Characters
Reticle Stage Measurement System on Scans: Heidenhain Encoders
Relative direction of ws to rs on the X axiss: Same
RS Object Fields: Normal
Reticle exchange types: Retex option: E
Iris feature Scans: Absent (Overrules Absent)
Reticle Handler types: Original
2D Barcode Readers: Absent
Integrated Reticle Inspection System Configurations: Disable creation of 
OSIRIS viewable
files.
WS Immersion Hood Only Testrigs: Absent
Version of RS/WS IO librarys: Version 1
Dynamic Performance Calculations: Mark 1
Stages Sample Rates: 5.0 kHz
Interferometer Electronics: Ifsr
Capacitive z-height sensor type.s: Dual Z sensor board
Ifm config at measure sides: 8 axes
Dose System Performance Test sequences: Test sequence 1
PEP-ADC Intensitys: Disable PEP-ADC Intensity
Online Lamp Peak: Disable Online Lamp Peak
Dose Intensity Optimizations: Dose Intensity OptimizationLaser Gas Life 
extensions: Disable Laser Gas Life extension
Type of multi foil lens elements: none
Depolarizer types: fixed depolarizer present
PSE &amp; PCE Locations: not applicable
Intensity Calibration Per DOEs: Disabled
Pupil qualification methods: Centre of gravity method
Polarized illumination amorph DOE: Only unpolarized illumination
Fresnel corrections for WSSSs: Disabled
Is NA accuracy measurement allowed: Disabled
Exchangeable Pupil Lens Elements: No EPLE
Multifunction Active Lens Elements: 0
Multifunctional Active Elementss: 0
Use Sigma Calibrations: no Sigma Calibration
Use Sigma WIP Preserving Offsetss: no Sigma WIP Preserving Offsets
THFFC FDE model lens dependents: Disabled
TIS diffusers: absent
Determination of NA ellipticitys: Disabled
XML output for LITHOGUIDEs: Disabled
Use validity ranges around UIP data when Enabled: Use exact matching for 
UIP data
Number of EXLE elements: 0
Functional use of Active Elements: ALE function as ALE
Polarization Shaping Element Retractors: No PSER hardware installed in the 
machine
Method for alignment of the laser beams: Align the beam by minimizing the 
uniformity tilt
over the slit (LUBF)
Pupil TIS angular sensitivity calibration and corrections: TIS Pupil 
Measurement will not be
improved
Describes at what plane the BMU measures: BMU readings are directly used as 
if they
are at DOE1 plane
Lens Types: 12
Light-source Architectures: Laser
Light-source Types: Cymer Laser: XLA 165 (Not Included)
Light-source Wave-lengths: 193nm
DOSEMAPPERs: Present
DOSE_MAPPER_1s: Present
REMA architectures: REMA C
Illuminator Types: 120
Zoom Axicon Architectures/ Types: ZZA/120
NA Control Architectures/ Types: NA2 Torlon/ 120
Automated DOE Exchangers/ Architectures: Present/ 5 slots MIP Control
UNICOMs/ Architectures: Present/ 1 Motor
Test Tables: Absent
Imaging Electronics Architectures: B Architecture
Attenuator Types: VariableTest Table Z Axiss: Worm Wheel
PUPICOMs/ Architectures: Present/ DC Motor with gearbox
Number of Z Lens Manipulatorss: 5
Number of Active Lens Elementss: 1
Number of Bi-directional Active Lens Elementss: 0
Number of Active Manipulator Elementss: 0
Number of Active Elementss: 1
Number of Half Dome Mirrorss: 0
Number of Semi-Active X-Y Lens Manipulatorss: 4
Setup sensor board versions: Setup SSD version 1
Imaging Generic Power Amplifiers: Generic Power Amplifier
Imaging Control Rack Configurations: IPDR
Type of projection multiplexer boards: MUX Absent
LEC Rack in Electronic Architectures: Present
Projection GPA Configuration Versions: Version 2
Number of Lens NEXZ Manipulatorss: 5
Number of Lens Z Manipulators Using Camdisks: 0
Spotsensor surface coatings: Bilatal
Energy Sensors: VLOC
Spot Sensor Chuck 1s &amp; 2s: VLOC
Modelling for MAXYSs: Absent
Uniformity Improvement Packages: Present
Number of pre-amps available per Z-manipulators: 0
Immersions: Absent
Pupil measurements with ILIASs: Present
Automatic CUAs: Absent
Beam Controls: Beam adjustment
Extended Spot Sensor Matchings: Present
Number of Rxms/ Ryms: 5/5
Diaphragm Limiters: Absent
NA1 motor types: None
Spot Sensor Reticle Stages: Absent
Smooth Field Uniformitys: Absent
Exchangeable Last Lens Elements: Present
Exchangeable Pupil Lens Elements: Absent
Number of manipulable ELLE axess: 0
UV Shutter versions: UV Shutter version 1
Dosecontrol Hardwares: ISB
Illuminator platforms: Aerial 2
Polarizations: Absent
Automatic PCE exchangers: Absent
Automatic CUA exchanger architectures: Not applicable
Test table architectures: Aerial 2Illumination modes: All illumination 
modes
DUV Lightsource Power Levels: 45.00 Watt
Lens Top Tool Connections: Lens Top Tool can be mounted on top of the Lens
Scanning Energy Sensor Calibrations: Static Energy Sensor Calibration
Position of Spot Sensor on Chuck 1s: Spot Sensor Position on Chuck 1 layout 
1
Position of Spot Sensor on Chuck 2s: Spot Sensor Position on Chuck 2 layout 
1
Z-capture for low relfectivity wafers: Off
TIS plate deformation corrections: Disabled
FSM Flexibility packages: Disabled
Field width optimised leveling: Disabled
Constrained fits: Disabled
Levelling throughput improvement on measure sides: No levelling throughput 
package
Point-to-Point LS Machine Matchings: Disabled
Circuit Dependent FECs: Present
Focus Monitorings: Present
Extended LS areas: Disabled
Air Gauges: Absent
Type of Air Gauges: No Air Gauge device present
Reticle shape corrections: Disabled ( Overrules Enabled )
LS focus nodes: LS focus node 3
Level Sensor Processing Racks: LCSR
LS_PEMM_CONFIGs: Present
LS_CPU_CONFIGs: 3 CPU's available
Base Liner overlay high order intrafields: Disabled
BaseLiner focus high order intrafields: Disabled
BaseLiner focus control.s: Disabled
Pattern Matcher fullchips: Absent
Pattern Matchers: Absent
Maximum numerical aperature (NA) that can be used in Lot Productions: level 
0
Log missed translations: Disabled
Allow even orders usages: Present
Multilingual UIs: Absent
Improved Maintenance action scheduling.s: Disabled
Recipe Creators: Light
Lot Report Data Categorys: Enhanced Diagnostics
CDCs: Enabled
EFESEs: Absent
PED control modes: Absent
Proximity Matchings: Present
mbds controls: Present
Enhanced exposures 1s: Present
Data collection not covered by FOCUS and OVERLAYs: InformPro Data 
Collection
disabledOverlay Data Collections: Disabled
XML Lot Report Content Levels: Basic
Enable the Maintenance Assistants: Disable Maintenance Assistant
EDA Interfaces: Disabled
Equipment Constants via SECS interfaces: Disabled
LCI WaitWatcher plug-ins: Absent
Reorder Lot Services: Absent
Shot Data Collections: Absent
Focus Data Collections: Absent
Alignment Recipe Overrides: Disabled
Enable to support SMASH XY mark types.s: not supported
Specifies which mark types are supporteds: ASML marks only
Alignment laser configurations: 2 color laser
OADB Improved Dynamic Ranges: Disabled
board configurations: ODB + ADB
Alignment Camera Mirrors: Absent
Athena Narrow Marks Twinscans: Present
Alignment Sensor Types: Athena Narrow Marks OM
Athena Focus Improvements 1s: Present
Max alignment speeds: Setting 2
AA processing racks: AACR processing rack
Particle Extraction Mass Flow Meters: Absent
purging configurations: purging CONFIG 3
Bubble Extraction Seal Settings: Not Applicable
Ultra Pure Water flow controller (WICC)s: absent
LCW Circuit set-ups: Flow Version 1
In situ Wafer TablesStone Cleanings: Absent
Clean Air Configurations: Others
Metroframe Circuit Water Cabinets: Absent
CT Miscellaneous Racks: Present
Clean Air Temperature Controls: Driver and ACC
Purge Hoods configurations: Compressed Clean air and Extremely Clean Dry 
air
Nitrogen Purge Utility Controls: Absent
Reticle Cleanings: Absent
Metroframe types: TYPE_I
Inlet restriction for clean airs: Inlet restriction at right side
Reticle Stage purged mini environments: Present
Gas Control Unit Types: High Flow (HF)
Wet Imaging Control Cabinets: Not Applicable
Readout location of Pneumatic Facility Unit sensors: Machine Base 
Diagnostics System
(MBDS)
Laminar Bottom Hoods: Absent
Extreme Clean Humiditied Airs: AbsentLens Circuit Water Flows: High
Motor Circuit Water Flows: Normal
SPM temp correction for lens axiss: Disabled
2 Sided IFM-beams for WS-X (expose/ measure)s: Not available
Diff pressure correction for IFM beams: Absent
IFM Laser Configurations: AOM Recombo Laser
Position Control Rack Configurations: Rack Configuration type 3
Position Control Power Rack Configurations: TYPE_3: Stages Power Rack upto 
E-spec
Number of Motion Controllerss: 5 Motion Controllers present
Position Control Motion Control racks: PMCR
Reticle Stage Short Stroke X/Y11/Y12/Y21/Y22/Y11/Y11 amp.s: PADC 100V/16A
Wafer Stage Short Stroke 1 XY1/ XY2/XY3 amp.s: PADC 100V/16A
Wafer Stage Short Stroke 2 XY1/ XY2/XY3 amp.s: PADC 100V/16A
Reticle Stage Short Stroke Z1/Z2/Z3 amp.s: Pass Low Current 8.5A
Wafer Stage Short Stroke 1 Z1/Z2/Z3 amp.s: Pass Low Current 8.5A
Wafer Stage Short Stroke 2 Z1/Z2/Z3 amp.s: Pass Low Current 8.5A
Reticle Stage Long Stroke Y11/Y12/Y21/Y22 amp.s: 450V20A: PAAC AT-pepD
Reticle Balance Mass 1/2 amp.s: 450V20A: PAAC AT-pepD
Wafer Stage Long Stroke E/M X amp.s: 400V16A: PAAC AT-D
Wafer Stage Long Stroke E Y1/Y2/CS amp.s: 400V16A: PAAC AT-D
Wafer Stage Long Stroke M Y1/Y2/CS amp.s: 400V16A: PAAC AT-D
Wafer Stage Balance Mass 11/12/21/22 amp.s: 325V14A: PAAC AT-C
Pressure update rate for fringelength corrections: Pressure update rate 2 
or 4 Hz
TestStreams: TestStream disabled
Performance Enhancement Packages: None
PEP Image Streamings: Present
Lot Overhead Reductions: LOR2
Extended Zone Alignments: Disabled
Intrafield Higher Order Process Correctionss: Disabled
SMASH Reuse Capture Information in Stage Alignments: Coarse capture scans 
are done
on all stage alignment marks.
Allow wafer plane deviation check with Focus Monitorings: Disabled
Parameter indicates how long overlay data will be stored.s: Short retention 
period.
Level sensor Ry drift corrections: Disabled
Fading Control Switchs: Disabled
Improved wafer reject modes: Disabled
Automated Lens Heating Calibrations: Disabled
Lens heating History in LH Feedforwards: Enabled
Allow different Exp,TIS Align sets: Absent
Imaging Fading Controls: Disabled
Gridmappers: Disabled
2D grid corrections: Enabled
Double TIS scans: DisabledSymmetrical Reticle Alignments: Disabled
Ast offset correction in TIS LHFB/LOCO (Version 3)s: Enabled
Choice of avoidance routing.s: Absent
NEXZ-tilt per exposures: The NEXZ-tilt cannot be adjusted per exposure.
Off-axis slits: Projection lens has no off-axis slit.
Improved Edge Field Levelings: Disabled
Enhanced Throughput Reticle Alignments: Present
Wavelength Adjustables: Adjustable
Allow L1L7 Type 1 Optimizations: Absent
Lot Alignment Report Encryptions: Unencrypted
Stage Alignment Filters: Present
Lot Correction Sequences: Unencrypted
Stage Alignment Filters: Present
Lot Correction Sequences: Type B
Lens Heating Feedbacks: Present
Application Specific Lens Heating Calibration and Verifications: Present
Improved Contrast Controls: Absent
ILIAS lens setups: Absent
Air Gauge Improved Levellings: Absent
Process Dependent Gain Corrections: Absent
Enhanced Exposure Overlays: Absent
ALE 1 Uses: Lens heating only
Overlay Nodes: Level 0
E-chuck Flatness Qualification Tests: Disabled
TOP HDs: Absent
Reticle Align High Precisions: Absent
LS spot coverages: Absent
Layout Version Number TIS Plate 1 on Chuck 1s/2s: TIS Plate 1 Layout 
Version 2
Layout Version Number TIS Plate 2 on Chuck 1s2s: TIS Plate 2 Layout Version 
4
Usage of wavelength/ Energy Sensor data by TISs: Disabled
Indication what kind of AM controller hardware is presents: SUCR
Piezo Active Lens Mountss: Absent
ILIAS Functionality For Lithoguides: Present
ISIS Functionality For Lithoguides: Absent
SAMOS Stray Light Test For Lithoguides: Present
PUPIL Measurement For Lithoguides: Present
FOCAL Measurement for Lithoguides: Present
Leveling Verification Test for Lithoguides: Present
Lithoguide Imaging Recipess: Absent
Dose System Performance Test for Lithoguides: Present
ILIAS Sensor Locations: Chuck 2
ILIAS sensor type chuck 2s: Multiple scan grid
ILIAS sensor type chuck 1s: NoneReticle Level Polarization Sensors: Absent
SASO robustness and fiber connectivitys: Disable SASO robustness
Extended X width masking ranges: Disabled
PDO offset for EFL LS spots: Disabled
Assure System Snapshotss: not allowed
Insert a delay time before starting a Lot (lens heating).s: Enabled
Save throughput data to the disks: Disabled
Patch strategys: Patchlevel
Chuck Dedications: Basic
Application Types: Scanner Application
Number of RMCS clients: No clients
MDL Viewers: Site View
ZERO Fiducials: ILIAS MK2
Machine Architectures: XT Machine Architecture
XT Architecture Revisions: Rev1
Machine Types: 1250
Machine Specifications: pep-D Specification
Stand-alone Workstations: FALSE
CP 1As/1Bs/2s/3s/4s/5s/6s: Absent
Wafer Handler Productivitys: Level 0
LENS DATA (SEE ALSO ATTACHED DOCUMENT) :-
­Operator:ASML Machine:6xxx Release:4.1.0 Date:16/07/2015 Time:16:10
Report Filename : EMCA.68
Report Path : TM/Projection/StrayLightMonitoring/EMCA.log/
Machine Type : 1250D
Testname : Straylight At Multiple Opaque Squares
Start Time : Thu, 16 Jul 2015 16:07:37 096389us +0800
Stop Time : Thu, 16 Jul 2015 16:10:47 841204us +0800
Execution Time : 00:03:10
Test Run Result : Finished
Test Status : Test is Finished
Comment :
+----------------------------------+------------+-----------+----------+
| Step | Start Time | Stop Time | Status |
+==================================+============+===========+==========+
| Prepare machine | 16:07:37 | 16:09:15 | Finished |
| Perform TIS measurements | 16:09:15 | 16:10:08 | Finished |
| Perform Spot sensor measurements | 16:10:08 | 16:10:27 | Finished |
| Create testlog | 16:10:27 | 16:10:40 | Finished |
| Unload reticle | 16:10:40 | 16:10:46 | Finished |
| Calculate stray light | 16:10:46 | 16:10:47 | Finished |
+----------------------------------+------------+-----------+----------+
+----------------+
| Execution Time |
+================+
| 00:01:37 |
| 00:00:53 |
| 00:00:18 |
| 00:00:13 |
| 00:00:05 |
| 00:00:01 |
+----------------+
Main Results
Test Log Name : 6xxx
Machine Number : 6xxx
Machine Type : 1250D
Lens Number : 0122xxxx
ELLE ID :
Measurement Time : 07/16/2015 16:10
Comment :
Pupil Shape
Illumination mode : Annular
NA : 0.850
DOE ID : 15
Sigma
inner : 0.690
outer : 0.930
Reticle ID : 45563154P009
Number of Cycles : 1
Attenuator Factor : 0.600
Chuck ID : CHUCK_ID_1
TIS Plate ID : PLATE_1
PGA gain : PGA_GAIN_10DB
Number of Samples : 100
Defocus : 0.000 [um]
Rema Usage TIS : Homed
Number of Laser Pulses : 50
Laser Frequency : 4000 [Hz]
Energy : 11.25 [mJ]
Rema Usage Spot Sensor : Homed
Dark Current : 576 [bits]
Reference Blocksize : 33 [um]
Straylight at ref. blocksize : 1.35 [%]
Max. Straylight position
X : -3.55 [mm]
Y : 6.60 [mm]
Detailled Results
+----------------+-----------+----------+-------------+----------+
| position | | | | |
|--------+-------+ | | | |
| X | Y | sensor | pad size | Stray Light | used ref |
| [mm] | [mm] | | [um] | [%] | |
+========+=======+===========+==========+=============+==========+
| -10.25 | 7.00 | TIS Ratio | 108 | 0.84 | 1 |
| -10.25 | 6.40 | TIS Ratio | 68 | 0.88 | 1 |
| -10.55 | 7.00 | TIS Ratio | 48 | 1.03 | 1 |
| -10.55 | 6.80 | TIS Ratio | 36 | 1.02 | 1 |
| -10.55 | 6.60 | TIS Ratio | 33 | 1.04 | 1 |
| -10.55 | 6.40 | TIS Ratio | 30 | 1.12 | 1 |
| -10.50 | 8.30 | TIS Ratio | 0 | 0.00 | 0 |
| -10.50 | 10.80 | TIS Ratio | 1100 | 0.49 | 3 |
| -10.50 | 8.45 | TIS Ratio | 0 | 0.00 | 0 |
| -6.75 | 7.00 | TIS Ratio | 108 | 0.85 | 4 |
| -6.75 | 6.40 | TIS Ratio | 68 | 0.91 | 4 |
| -7.05 | 7.00 | TIS Ratio | 48 | 1.00 | 4 |
| -7.05 | 6.80 | TIS Ratio | 36 | 1.04 | 4 |
| -7.05 | 6.60 | TIS Ratio | 33 | 0.97 | 4 |
| -7.05 | 6.40 | TIS Ratio | 30 | 1.12 | 4 |
| -7.00 | 8.30 | TIS Ratio | 0 | 0.00 | 0 |
| -7.00 | 10.80 | TIS Ratio | 1100 | 0.53 | 6 |
| -7.00 | 8.45 | TIS Ratio | 0 | 0.00 | 0 |
| -3.25 | 7.00 | TIS Ratio | 108 | 1.01 | 7 |
| -3.25 | 6.40 | TIS Ratio | 68 | 1.26 | 7 |
| -3.55 | 7.00 | TIS Ratio | 48 | 1.17 | 7 |
| -3.55 | 6.80 | TIS Ratio | 36 | 1.25 | 7 |
| -3.55 | 6.60 | TIS Ratio | 33 | 1.35 | 7 |
| -3.55 | 6.40 | TIS Ratio | 30 | 1.28 | 7 |
| -3.50 | 8.30 | TIS Ratio | 0 | 0.00 | 0 |
| -3.50 | 10.80 | TIS Ratio | 1100 | 0.60 | 9 |
| -3.50 | 8.45 | TIS Ratio | 0 | 0.00 | 0 |
| 0.25 | 7.00 | TIS Ratio | 108 | 0.70 | 10 |
| 0.25 | 6.40 | TIS Ratio | 68 | 0.92 | 10 |
| -0.05 | 7.00 | TIS Ratio | 48 | 0.97 | 10 |
| -0.05 | 6.80 | TIS Ratio | 36 | 1.01 | 10 |
| -0.05 | 6.60 | TIS Ratio | 33 | 1.22 | 10 |
| -0.05 | 6.40 | TIS Ratio | 30 | 1.17 | 10 |
| 0.00 | 8.30 | TIS Ratio | 0 | 0.00 | 0 |
| 0.00 | 10.80 | TIS Ratio | 1100 | 0.57 | 12 |
| 0.00 | 8.45 | TIS Ratio | 0 | 0.00 | 0 |
| 3.75 | 7.00 | TIS Ratio | 108 | 0.71 | 13 |
| 3.75 | 6.40 | TIS Ratio | 68 | 0.88 | 13 |
| 3.45 | 7.00 | TIS Ratio | 48 | 0.89 | 13 |
| 3.45 | 6.80 | TIS Ratio | 36 | 0.99 | 13 |
| 3.45 | 6.60 | TIS Ratio | 33 | 1.02 | 13 |
| 3.45 | 6.40 | TIS Ratio | 30 | 1.13 | 13 |
| 3.50 | 8.30 | TIS Ratio | 0 | 0.00 | 0 |
| 3.50 | 10.80 | TIS Ratio | 1100 | 0.57 | 15 |
| 3.50 | 8.45 | TIS Ratio | 0 | 0.00 | 0 |
| 7.25 | 7.00 | TIS Ratio | 108 | 0.87 | 16 |
| 7.25 | 6.40 | TIS Ratio | 68 | 0.92 | 16 |
| 6.95 | 7.00 | TIS Ratio | 48 | 1.00 | 16 |
| 6.95 | 6.80 | TIS Ratio | 36 | 1.01 | 16 |
| 6.95 | 6.60 | TIS Ratio | 33 | 0.99 | 16 |
| 6.95 | 6.40 | TIS Ratio | 30 | 1.12 | 16 |
| 7.00 | 8.30 | TIS Ratio | 0 | 0.00 | 0 |
| 7.00 | 10.80 | TIS Ratio | 1100 | 0.45 | 18 |
| 7.00 | 8.45 | TIS Ratio | 0 | 0.00 | 0 |
| 10.75 | 7.00 | TIS Ratio | 108 | 0.49 | 19 |
| 10.75 | 6.40 | TIS Ratio | 68 | 0.43 | 19 |
| 10.45 | 7.00 | TIS Ratio | 48 | 0.67 | 19 |
| 10.45 | 6.80 | TIS Ratio | 36 | 0.66 | 19 |
| 10.45 | 6.60 | TIS Ratio | 33 | 0.74 | 19 |
| 10.45 | 6.40 | TIS Ratio | 30 | 0.89 | 19 |
| 10.50 | 8.30 | TIS Ratio | 0 | 0.00 | 0 |
| 10.50 | 10.80 | TIS Ratio | 1100 | 0.39 | 21 |
| 10.50 | 8.45 | TIS Ratio | 0 | 0.00 | 0 |
| -10.50 | 10.80 | Spot | 1100 | 0.49 | 2 |
| -10.50 | 9.60 | Spot | 0 | 0.00 | 0 |
| -7.00 | 10.80 | Spot | 1100 | 0.53 | 5 |
| -7.00 | 9.60 | Spot | 0 | 0.00 | 0 |
| -3.50 | 10.80 | Spot | 1100 | 0.60 | 8 |
| -3.50 | 9.60 | Spot | 0 | 0.00 | 0 |
| 0.00 | 10.80 | Spot | 1100 | 0.57 | 11 |
| 0.00 | 9.60 | Spot | 0 | 0.00 | 0 |
| 3.50 | 10.80 | Spot | 1100 | 0.57 | 14 |
| 3.50 | 9.60 | Spot | 0 | 0.00 | 0 |
| 7.00 | 10.80 | Spot | 1100 | 0.45 | 17 |
| 7.00 | 9.60 | Spot | 0 | 0.00 | 0 |
| 10.50 | 10.80 | Spot | 1100 | 0.39 | 20 |
| 10.50 | 9.60 | Spot | 0 | 0.00 | 0 |
+--------+-------+-----------+----------+-------------+----------+
+--------+----------+--------+--------+--------+-------+
| | | | | | |
| | | | | | |
| ref id | used cal | cal id | Av TIS | cal | Av SS |
+========+==========+========+========+========+=======+
| 0 | 1 | 0 | 282.9 | -265.6 | 0.00 |
| 0 | 1 | 0 | 283.6 | -265.6 | 0.00 |
| 0 | 1 | 0 | 286.8 | -265.6 | 0.00 |
| 0 | 1 | 0 | 286.6 | -265.6 | 0.00 |
| 0 | 1 | 0 | 287.0 | -265.6 | 0.00 |
| 0 | 1 | 0 | 288.5 | -265.6 | 0.00 |
| 1 | 1 | 0 | 2319.6 | 0.0 | 0.00 |
| 0 | 1 | 1 | 275.7 | -265.6 | 0.00 |
| 3 | 0 | 1 | 2331.2 | 0.0 | 0.00 |
| 0 | 2 | 0 | 285.3 | -267.8 | 0.00 |
| 0 | 2 | 0 | 286.6 | -267.8 | 0.00 |
| 0 | 2 | 0 | 288.3 | -267.8 | 0.00 |
| 0 | 2 | 0 | 289.2 | -267.8 | 0.00 |
| 0 | 2 | 0 | 287.7 | -267.8 | 0.00 |
| 0 | 2 | 0 | 290.8 | -267.8 | 0.00 |
| 4 | 2 | 0 | 2328.0 | 0.0 | 0.00 |
| 0 | 2 | 2 | 278.6 | -267.8 | 0.00 |
| 6 | 0 | 2 | 2309.5 | 0.0 | 0.00 |
| 0 | 3 | 0 | 285.0 | -264.7 | 0.00 |
| 0 | 3 | 0 | 290.1 | -264.7 | 0.00 |
| 0 | 3 | 0 | 288.4 | -264.7 | 0.00 |
| 0 | 3 | 0 | 290.0 | -264.7 | 0.00 |
| 0 | 3 | 0 | 292.0 | -264.7 | 0.00 |
| 0 | 3 | 0 | 290.5 | -264.7 | 0.00 |
| 7 | 3 | 0 | 2281.4 | 0.0 | 0.00 |
| 0 | 3 | 3 | 277.0 | -264.7 | 0.00 |
| 9 | 0 | 3 | 2301.2 | 0.0 | 0.00 |
| 0 | 4 | 0 | 277.3 | -263.1 | 0.00 |
| 0 | 4 | 0 | 281.8 | -263.1 | 0.00 |
| 0 | 4 | 0 | 282.7 | -263.1 | 0.00 |
| 0 | 4 | 0 | 283.5 | -263.1 | 0.00 |
| 0 | 4 | 0 | 287.8 | -263.1 | 0.00 |
| 0 | 4 | 0 | 286.7 | -263.1 | 0.00 |
| 10 | 4 | 0 | 2282.6 | 0.0 | 0.00 |
| 0 | 4 | 4 | 274.5 | -263.1 | 0.00 |
| 12 | 0 | 4 | 2251.7 | 0.0 | 0.00 |
| 0 | 5 | 0 | 278.2 | -264.0 | 0.00 |
| 0 | 5 | 0 | 281.6 | -264.0 | 0.00 |
| 0 | 5 | 0 | 281.8 | -264.0 | 0.00 |
| 0 | 5 | 0 | 283.8 | -264.0 | 0.00 |
| 0 | 5 | 0 | 284.3 | -264.0 | 0.00 |
| 0 | 5 | 0 | 286.6 | -264.0 | 0.00 |
| 13 | 5 | 0 | 2262.3 | 0.0 | 0.00 |
| 0 | 5 | 5 | 275.5 | -264.0 | 0.00 |
| 15 | 0 | 5 | 2286.1 | 0.0 | 0.00 |
| 0 | 6 | 0 | 277.1 | -259.4 | 0.00 |
| 0 | 6 | 0 | 278.1 | -259.4 | 0.00 |
| 0 | 6 | 0 | 279.8 | -259.4 | 0.00 |
| 0 | 6 | 0 | 279.9 | -259.4 | 0.00 |
| 0 | 6 | 0 | 279.6 | -259.4 | 0.00 |
| 0 | 6 | 0 | 282.1 | -259.4 | 0.00 |
| 16 | 6 | 0 | 2294.1 | 0.0 | 0.00 |
| 0 | 6 | 6 | 268.4 | -259.4 | 0.00 |
| 18 | 0 | 6 | 2267.8 | 0.0 | 0.00 |
| 0 | 7 | 0 | 273.6 | -263.5 | 0.00 |
| 0 | 7 | 0 | 272.2 | -263.5 | 0.00 |
| 0 | 7 | 0 | 277.1 | -263.5 | 0.00 |
| 0 | 7 | 0 | 276.9 | -263.5 | 0.00 |
| 0 | 7 | 0 | 278.5 | -263.5 | 0.00 |
| 0 | 7 | 0 | 281.6 | -263.5 | 0.00 |
| 19 | 7 | 0 | 2295.2 | 0.0 | 0.00 |
| 0 | 7 | 7 | 271.4 | -263.5 | 0.00 |
| 21 | 0 | 7 | 2289.7 | 0.0 | 0.00 |
| 0 | 0 | 1 | 0.0 | 0.0 | 0.00 |
| 2 | 0 | 1 | 0.0 | 0.0 | 0.91 |
| 0 | 0 | 2 | 0.0 | 0.0 | 0.00 |
| 5 | 0 | 2 | 0.0 | 0.0 | 0.91 |
| 0 | 0 | 3 | 0.0 | 0.0 | 0.01 |
| 8 | 0 | 3 | 0.0 | 0.0 | 0.92 |
| 0 | 0 | 4 | 0.0 | 0.0 | 0.01 |
| 11 | 0 | 4 | 0.0 | 0.0 | 0.91 |
| 0 | 0 | 5 | 0.0 | 0.0 | 0.01 |
| 14 | 0 | 5 | 0.0 | 0.0 | 0.91 |
| 0 | 0 | 6 | 0.0 | 0.0 | 0.00 |
| 17 | 0 | 6 | 0.0 | 0.0 | 0.92 |
| 0 | 0 | 7 | 0.0 | 0.0 | 0.00 |
| 20 | 0 | 7 | 0.0 | 0.0 | 0.92 |
+--------+----------+--------+--------+--------+-------+
Operator:ASML Machine:6xxx Release:4.1.0 Date:13/05/2015 Time:21:07
Report Filename : EMZQ.76
Report Path : TM/Projection/AberrationsQualification/ILIAS/EMZQ.log/
Machine Type : 1250D
Testname : Ilias Lens Qualification
Start Time : Wed, 13 May 2015 20:03:24 088689us +0800
Stop Time : Wed, 13 May 2015 21:07:27 542791us +0800
Execution Time : 01:04:03
Test Run Result : Finished
Test Status : Test is Finished
Results Validation : N.A.
Measurement Quality : N.A.
Comment :
+----------------------+------------+-----------+----------+----------------+
| Step | Start Time | Stop Time | Status | Execution Time |
+======================+============+===========+==========+================+
| Initialize Data | 20:03:24 | 20:03:25 | Finished | 00:00:01 |
| Prepare Machine | 20:03:25 | 20:06:04 | Finished | 00:02:39 |
| Perform Measurements | 20:06:04 | 21:06:35 | Finished | 01:00:30 |
| Model | 21:06:35 | 21:07:27 | Finished | 00:00:52 |
+----------------------+------------+-----------+----------+----------------+
Scenario Inputs
Selected Scenario : Manual
Verification Set : No Verification
Overrule Inputs : Yes
Manual Scenario Selected : Yes
Test Info
Machine ID : 6xxx
Machine type : 1250D
Lens ID : 0122xxxx
ELLE ID : 000000
Testlog : ZSQF_6xxx_20150513_2006_manual.tlg
Date and time of measurement : 05/13/2015 20:06
Reticle ID : 45564101P111
Measurements layout : UV13X2
Clearout reticle : Yes
Chuck ID : Chuck 2
Number of cycles : 1
Number of Y positions : 5
Lens Temperature : 22.00 [C]
Lens Pressure : 984.00 [mbar]
Lens Stability
Zernike delta over measurement time
+------+--------+-------+----------+
| | Delta | Spec. | In Spec. |
| | [nm] | [nm] | |
+======+========+=======+==========+
| Z5 | -0.104 | 2.000 | Yes |
| Z7 | -0.221 | 2.000 | Yes |
| Z9 | 0.095 | 2.000 | Yes |
| Z14 | -0.049 | 2.000 | Yes |
| Z16 | 0.054 | 2.000 | Yes |
+------+--------+-------+----------+
RMS values
+-------------+---------+------------------+-----------------------+
| | | After Correction | Deltas |
| | +---------+--------+-------+-------+-------+
| | Current | NEXZ | +SA | NEXZ | SA | Both |
| | [nm] | [nm] | [nm] | [nm] | [nm] | [nm] |
+=============+=========+=========+========+=======+=======+=======+
| Spherical | 0.92 | 0.94 | 0.94 | -0.02 | 0.00 | -0.02 |
| Coma | 0.78 | 0.63 | 0.63 | 0.14 | 0.01 | 0.15 |
| Astigmatism | 1.10 | 1.10 | 1.10 | 0.00 | 0.00 | 0.00 |
| 3-foil | 0.55 | 0.56 | 0.57 | -0.01 | -0.00 | -0.01 |
| (Z5-&gt;Z37) | 2.27 | 2.29 | 2.28 | -0.01 | 0.01 | -0.01 |
| (Z38-&gt;) | 0.99 | 0.99 | 0.99 | 0.00 | 0.00 | 0.00 |
+-------------+---------+---------+--------+-------+-------+-------+
Measured Zernike distributions (integrated)
+-----+---------------+-------------------+---------------------+
| | Offset | Tilt in X | Curv in X |
| +-------+-------+---------+---------+----------+----------+
| | Value | Range | Value | Range | Value | Range |
| | [nm] | [nm] | [nm/cm] | [nm/cm] | [nm/cm2] | [nm/cm2] |
+=====+=======+=======+=========+=========+==========+==========+
| Z5 | -3.24 | 3.21 | -0.30 | 0.43 | 2.72 | 0.78 |
| Z6 | 0.70 | 0.57 | -0.24 | 0.44 | -0.20 | 1.28 |
| Z7 | 0.48 | 0.39 | 0.67 | 0.23 | -0.51 | 0.45 |
| Z8 | -0.49 | 2.89 | 0.22 | 0.51 | 0.62 | 2.11 |
| Z9 | -0.45 | 0.78 | -0.20 | 0.08 | 0.83 | 0.41 |
| Z14 | -0.07 | 0.23 | -0.08 | 0.38 | 0.39 | 0.25 |
| Z15 | -0.13 | 0.88 | 0.07 | 0.24 | 0.08 | 0.53 |
| Z16 | -0.59 | 0.83 | -0.43 | 0.15 | 0.95 | 0.48 |
+-----+-------+-------+---------+---------+----------+----------+
Non-integrated non-correctable aberration data (cycle averaged)
+-----+-------+------+
| | Min | Max |
| | [nm] | [nm] |
+=====+=======+======+
| Z5 | -4.80 | 3.87 |
| Z6 | -1.06 | 2.46 |
| Z7 | -1.90 | 1.12 |
| Z8 | -2.46 | 1.72 |
| Z9 | -1.04 | 1.30 |
| Z10 | -1.75 | 1.03 |
| Z11 | -1.78 | 2.18 |
| Z12 | -0.29 | 3.93 |
| Z13 | -1.77 | 1.48 |
| Z14 | -1.65 | 1.38 |
| Z15 | -1.14 | 0.83 |
| Z16 | -2.03 | 1.29 |
| Z17 | -3.41 | 0.09 |
| Z18 | -1.13 | 1.38 |
| Z19 | -1.20 | 2.14 |
| Z20 | -1.34 | 0.81 |
| Z21 | -2.50 | 2.00 |
| Z22 | -2.96 | 2.25 |
| Z23 | -0.81 | 1.77 |
| Z24 | -0.87 | 0.76 |
| Z25 | -1.56 | 1.58 |
| Z26 | -0.83 | 0.84 |
| Z27 | -0.98 | 0.85 |
| Z28 | 0.28 | 2.48 |
| Z29 | -1.27 | 0.89 |
| Z30 | -1.05 | 1.38 |
| Z31 | -1.18 | 1.00 |
| Z32 | -0.63 | 0.92 |
| Z33 | -1.07 | 0.86 |
| Z34 | -0.97 | 1.69 |
| Z35 | -0.64 | 0.75 |
| Z36 | -1.09 | 0.72 |
| Z37 | 1.30 | 2.83 |
+-----+-------+------+
Integrated non-correctable aberration (cycle averaged, scan integrated)
+-----+-------+-------+
| | Min | Max |
| | [nm] | [nm] |
+=====+=======+=======+
| Z5 | -3.51 | 1.49 |
| Z6 | -0.07 | 0.85 |
| Z7 | -0.70 | 0.71 |
| Z8 | -0.43 | 0.87 |
| Z9 | -0.75 | 0.78 |
| Z10 | -0.97 | 0.22 |
| Z11 | -0.72 | 0.50 |
| Z12 | 0.81 | 3.30 |
| Z13 | -1.08 | 0.03 |
| Z14 | -1.36 | 1.20 |
| Z15 | -0.17 | 0.20 |
| Z16 | -1.37 | 1.05 |
| Z17 | -2.74 | -1.71 |
| Z18 | -0.35 | 0.70 |
| Z19 | -0.86 | 1.23 |
| Z20 | -0.45 | 0.10 |
| Z21 | -1.57 | 1.15 |
| Z22 | -0.53 | -0.24 |
| Z23 | -0.55 | 1.40 |
| Z24 | -0.14 | 0.15 |
| Z25 | -1.34 | 1.30 |
| Z26 | -0.52 | 0.50 |
| Z27 | -0.62 | 0.23 |
| Z28 | 1.04 | 2.01 |
| Z29 | -0.06 | 0.28 |
| Z30 | -0.78 | 1.11 |
| Z31 | -0.30 | 0.09 |
| Z32 | -0.23 | 0.47 |
| Z33 | -0.29 | 0.08 |
| Z34 | -0.70 | 1.43 |
| Z35 | -0.10 | 0.15 |
| Z36 | -0.88 | 0.53 |
| Z37 | 1.56 | 2.20 |
+-----+-------+-------+
Integrated non-correctable aberration (cycle averaged, scan integrated)
+----+--------+------+------+------+-------+-------+-------+
| | X | Z2 | Z3 | Z4 | Z5 | Z6 | Z7 |
| | [mm] | [nm] | [nm] | [nm] | [nm] | [nm] | [nm] |
+====+========+======+======+======+=======+=======+=======+
| 0 | -12.72 | | | | 1.49 | 0.80 | -0.70 |
| 1 | -10.60 | | | | 0.70 | 0.39 | -0.21 |
| 2 | -8.48 | | | | -0.63 | 0.55 | -0.16 |
| 3 | -6.36 | | | | -1.82 | 0.42 | -0.00 |
| 4 | -4.24 | | | | -3.17 | 0.52 | 0.57 |
| 5 | -2.12 | | | | -3.51 | 0.57 | 0.71 |
| 6 | -0.00 | | | | -3.51 | 0.79 | 0.39 |
| 7 | 2.12 | | | | -3.37 | 0.62 | -0.25 |
| 8 | 4.24 | | | | -2.69 | 0.81 | 0.01 |
| 9 | 6.36 | | | | -1.77 | 0.85 | 0.16 |
| 10 | 8.48 | | | | -0.54 | 0.67 | -0.02 |
| 11 | 10.60 | | | | 0.70 | 0.51 | -0.19 |
| 12 | 12.72 | | | | 0.14 | -0.07 | -0.48 |
+----+--------+------+------+------+-------+-------+-------+
+----+--------+-------+-------+-------+------</t>
  </si>
  <si>
    <t xml:space="preserve">109563</t>
  </si>
  <si>
    <t xml:space="preserve">NXT 2000i</t>
  </si>
  <si>
    <t xml:space="preserve">DUV Immersion scanner</t>
  </si>
  <si>
    <t xml:space="preserve">-Currently installed and operational in the fab
-This equipment will be made available for removal in March 2024
-No known missing or broken parts
-The TWINSCAN NXT:2000i Step-and-Scan system is a high-productivity, 
dual-stage immersion
lithography system made for volume production at the sub 7-nm node.
The TWINSCAN NXT:2000i has a numerical aperture (NA) of 1.35.
It Features In-situ measurement and correction of optic aberrations for 
each wafer exposed when imaging at very low-k 1 .
In-situ metrology per wafer and many options to input off-line metrology 
data to the scanner enable maximum overlay, focus and CDU performance on 
product wafers.
By combining high productivity and excellent image resolution with  good 
overlay and focus performance, the TWINSCAN NXT:2000i addresses multiple 
patterning requirements and thus provides a cost-effective solution for the 
sub 7-nm nodes, including cross matching with EUV based NXE scanners.
Lens
Wavelength: 193 nm
NA: 0.85–1.35 (variable)
Resolution: ≤ 38 nm (single exposure)
Field size, for reticle with pellicle
• Max X: 26.0 mm
• Max Y: 33.0 mm
Overlay
Single-machine (dedicated chuck): ≤ 1.4 nm full wafer coverage
Matched-machine (to reference wafer): ≤ 2.0 nm full wafer coverage
Production Throughput
30 mJ/cm exposure dose
• 300-mm wafers, 96 shots: ≥ 275 wph
Configuration
    24 char Reticle Barcode Reader No
    2D Barcode Reader No
    ADE (UN)POL SLOT EXTENSION No
    AGILE No
    Aerial-P / Polarization AerialP+ ROE-PSE. No ACUA left
    Automated Reticle Transport Light Curtain
    Auxiliary Exhaust No
    Baseliner + BMMO-XT XT:1460K Baseliner only
    CASCAL No
    CSR's for XT1460K various 13474 CNL
    CSR's for XT1460K various 13093 CNL
    Chemical sampling ports No
    Chuck Dedication Yes
    DOE Pol. ID14 MP4 60-45 Yes
    DOE Pol. ID210 MP2 35-Y HS Yes
    DOE Pol. ID211 MP2 35-X HS Yes
    DOE Pol. ID5 MP4 30-45 Yes
    DOE Pol. ID7 MP2 90-Y Yes
    DOE Pol. ID8 MP2 90-X Yes
    EFESE No
    ELCB No
    Edge Die Optimizer (EDO) No
    ExpoSure Yes
    FAT Attendance No (Data Review Only)
    FIP: Focus Improvement Package No
    FOUP Lockout system Yes
    Focus Spot Monitor Flexpack No
    Gridmapper Yes (LCP needed @ Fab)
    Gridmapper Intrafield Yes
    IRIS-6 Inch Reticles Yes (XT version)
    Image Tuner No
    InForm (EDI/EDA) No
    InFormPro2 No
    InformPro/SystemPerf.Ind.Focus Full InformPro
    Integrated Reticle Library XP version
    Laser model CYMER XLA-165-HP (45W)
    Laser type Cymer laser
    Litho Insight No
    OIU/Reticle-/Waf.aux.port Left Configuration
    Power 400 Volt
    Recipe Creator Recipe Creator "Light"
    Reorder Lot Service No
    Reticle CIDRW (Tag Reader) Reticle CIDRW Asyst RF
    Reticle Streaming Yes (Reticle Streaming)
    SMASH Sensor SMASH only
    SMASH XY Yes
    Second Laser paddle Yes
    Software release Sw rel. 5.0.0
    SpotLess Yes
    TOP RC2 No
    TOP XT:1460K No
    Teststream No
    Universal Prealignment No
    Valid ATP-document provisional nr. ??225
    WH Carrier Interface 25 Wafer FOUP closed carrier
    Wafer Track Interface TEL Lithius PRO (V or Z)
    Wafer size 300 mm
    Wafer type Notch</t>
  </si>
  <si>
    <t xml:space="preserve">109055</t>
  </si>
  <si>
    <t xml:space="preserve">Yieldstar S200B</t>
  </si>
  <si>
    <t xml:space="preserve">Wafer metrology system</t>
  </si>
  <si>
    <t xml:space="preserve">Currently operational, running wafers in production
SoftwareVersion 2.3.0c
CIM SECS
Factory Interface FOUP
Handler System ASML Wafer Handler
</t>
  </si>
  <si>
    <t xml:space="preserve">82176</t>
  </si>
  <si>
    <t xml:space="preserve">Astec</t>
  </si>
  <si>
    <t xml:space="preserve">VS3-C2-C2-C2</t>
  </si>
  <si>
    <t xml:space="preserve">Power Supply 2000 watts (-450-CE)</t>
  </si>
  <si>
    <t xml:space="preserve">  Power Supply 2000 watts, removed from working service from Credence Duo 
SX tester. Located in our Boerne, TX Warehouse  </t>
  </si>
  <si>
    <t xml:space="preserve">82227</t>
  </si>
  <si>
    <t xml:space="preserve">VS3-C2-C2-02</t>
  </si>
  <si>
    <t xml:space="preserve">Power Supply 2000 watts (-450-CE) 5.2V FOR CREDENCE DUO TESTER</t>
  </si>
  <si>
    <t xml:space="preserve">Power Supply 2000 watts, This power supply is wrapped in static wrap, 
tested, and appears to have never been used. Like new. 
CREDENCE 5.2 V PSU
 </t>
  </si>
  <si>
    <t xml:space="preserve">83556</t>
  </si>
  <si>
    <t xml:space="preserve">VS3-C8-A8-02 (-451-CE)</t>
  </si>
  <si>
    <t xml:space="preserve">Power Supply 2000 watts FOR CREDENCE DUO TEST SYSTEM</t>
  </si>
  <si>
    <t xml:space="preserve">Power Supply 2000 watts, removed from working service from Credence Duo SX 
tester. Located in our AVEZZANO 67051 ITALY Warehouse  </t>
  </si>
  <si>
    <t xml:space="preserve">83557</t>
  </si>
  <si>
    <t xml:space="preserve">VS1-L3-02 (-435-CE)</t>
  </si>
  <si>
    <t xml:space="preserve">Power Supply 1500 watts</t>
  </si>
  <si>
    <t xml:space="preserve"> Removed from Credence Duo SX Tester in working condition
 </t>
  </si>
  <si>
    <t xml:space="preserve">83558</t>
  </si>
  <si>
    <t xml:space="preserve">VS1-D8-02 (-436-CE)</t>
  </si>
  <si>
    <t xml:space="preserve">109942</t>
  </si>
  <si>
    <t xml:space="preserve">9N24-32-372-FQ-3</t>
  </si>
  <si>
    <t xml:space="preserve">Sold Ex-Works, UK Office , Part Number:080-25459-011</t>
  </si>
  <si>
    <t xml:space="preserve">80315</t>
  </si>
  <si>
    <t xml:space="preserve">VS3-D8-D8-02</t>
  </si>
  <si>
    <t xml:space="preserve">Power Supply 2000 watts</t>
  </si>
  <si>
    <t xml:space="preserve">81873</t>
  </si>
  <si>
    <t xml:space="preserve">VS1-L3-02 (-335-CE)</t>
  </si>
  <si>
    <t xml:space="preserve"> Removed from Credence Duo SX Tester in working condition.
 </t>
  </si>
  <si>
    <t xml:space="preserve">81875</t>
  </si>
  <si>
    <t xml:space="preserve">VS3-D4-B4-22 (-447-ce)</t>
  </si>
  <si>
    <t xml:space="preserve">Power Supply, 2000 watts, removed from working system
Located in Avezzano, 67051 Italy.
qty 4 available
 </t>
  </si>
  <si>
    <t xml:space="preserve">81876</t>
  </si>
  <si>
    <t xml:space="preserve">VS1-L5-02 (-452-ce)</t>
  </si>
  <si>
    <t xml:space="preserve">    Power Supply, removed from working service from Credence Duo SX tester. 
Located in our Boerne, TX Warehouse    </t>
  </si>
  <si>
    <t xml:space="preserve">53270</t>
  </si>
  <si>
    <t xml:space="preserve">Astec Powertec</t>
  </si>
  <si>
    <t xml:space="preserve">9K2-300-372</t>
  </si>
  <si>
    <t xml:space="preserve">Super Switcher Power Supply </t>
  </si>
  <si>
    <t xml:space="preserve">AC Input 115V/220V 20A/15A/ Output: 2V 300A Vintage 1994 Qty 2 Available
Megatest Part 114060
ASTEC PN 080-25433-1723</t>
  </si>
  <si>
    <t xml:space="preserve">109366</t>
  </si>
  <si>
    <t xml:space="preserve">ASTECH</t>
  </si>
  <si>
    <t xml:space="preserve">ATL-100RA</t>
  </si>
  <si>
    <t xml:space="preserve">Model Number: 3150086-001</t>
  </si>
  <si>
    <t xml:space="preserve">109367</t>
  </si>
  <si>
    <t xml:space="preserve">109368</t>
  </si>
  <si>
    <t xml:space="preserve">ATL-100RA-03</t>
  </si>
  <si>
    <t xml:space="preserve">Part Number: Model Number:</t>
  </si>
  <si>
    <t xml:space="preserve">109943</t>
  </si>
  <si>
    <t xml:space="preserve">Astech</t>
  </si>
  <si>
    <t xml:space="preserve">ATL-100RA </t>
  </si>
  <si>
    <t xml:space="preserve">Sold Ex-Works, UK Office , Part Number:ATL-100RA 115V</t>
  </si>
  <si>
    <t xml:space="preserve">109944</t>
  </si>
  <si>
    <t xml:space="preserve">109945</t>
  </si>
  <si>
    <t xml:space="preserve">109946</t>
  </si>
  <si>
    <t xml:space="preserve">109947</t>
  </si>
  <si>
    <t xml:space="preserve">ATL-100RA/DT2L</t>
  </si>
  <si>
    <t xml:space="preserve">Sold Ex-Works, UK Office , Part Number:3150093-002</t>
  </si>
  <si>
    <t xml:space="preserve">109369</t>
  </si>
  <si>
    <t xml:space="preserve">ASTEX</t>
  </si>
  <si>
    <t xml:space="preserve">ARX-X491</t>
  </si>
  <si>
    <t xml:space="preserve">Part Number: 0190-00398</t>
  </si>
  <si>
    <t xml:space="preserve">109948</t>
  </si>
  <si>
    <t xml:space="preserve">Astex </t>
  </si>
  <si>
    <t xml:space="preserve">AX2107</t>
  </si>
  <si>
    <t xml:space="preserve">Sold Ex-Works, UK Office , Part Number:SA2107CHAS</t>
  </si>
  <si>
    <t xml:space="preserve">108728</t>
  </si>
  <si>
    <t xml:space="preserve">ASYMTEK</t>
  </si>
  <si>
    <t xml:space="preserve">Millenium 620</t>
  </si>
  <si>
    <t xml:space="preserve">Glue Dispense Tool</t>
  </si>
  <si>
    <t xml:space="preserve">84765</t>
  </si>
  <si>
    <t xml:space="preserve">Asyst</t>
  </si>
  <si>
    <t xml:space="preserve">1150-V1315S</t>
  </si>
  <si>
    <t xml:space="preserve">SMIF Load port 150mm for Lam 4620</t>
  </si>
  <si>
    <t xml:space="preserve">ASYST BROOKS 1150-V131S 150mm SMIF load port
See photos for condition.
Qty 2 available.
Were in use with LAM 4620
Located in our Avezzano, Italy warehouse</t>
  </si>
  <si>
    <t xml:space="preserve">106803</t>
  </si>
  <si>
    <t xml:space="preserve">Asyst </t>
  </si>
  <si>
    <t xml:space="preserve">Versaport 2200 with shuttle and back plate</t>
  </si>
  <si>
    <t xml:space="preserve">SMIF loader</t>
  </si>
  <si>
    <t xml:space="preserve">109122</t>
  </si>
  <si>
    <t xml:space="preserve">IsoPort</t>
  </si>
  <si>
    <t xml:space="preserve">Wafer handler</t>
  </si>
  <si>
    <t xml:space="preserve">Price is for units consigned as is ex-works Avezzano: 4 units total so US 
$71,560.
Videos showing all 4 units in full working order supplied to customer.
Configs sent and requested to be confirmed as suitable for customer needs.</t>
  </si>
  <si>
    <t xml:space="preserve">102551</t>
  </si>
  <si>
    <t xml:space="preserve">e-charger</t>
  </si>
  <si>
    <t xml:space="preserve">N2 charge</t>
  </si>
  <si>
    <t xml:space="preserve">102552</t>
  </si>
  <si>
    <t xml:space="preserve">Indexer 2200</t>
  </si>
  <si>
    <t xml:space="preserve">95404</t>
  </si>
  <si>
    <t xml:space="preserve">ASYST BROOKS 1150-V131S 150mm SMIF load port
Were in use with LAM 4620
</t>
  </si>
  <si>
    <t xml:space="preserve">91571</t>
  </si>
  <si>
    <t xml:space="preserve">ASYST</t>
  </si>
  <si>
    <t xml:space="preserve">SPARTAN EFEM</t>
  </si>
  <si>
    <t xml:space="preserve">Wafer Sorter</t>
  </si>
  <si>
    <t xml:space="preserve">Very good condition: was fully operational at purchase mid 2019.
De-installed, warehoused. Can be inspected by appointment.</t>
  </si>
  <si>
    <t xml:space="preserve">101816</t>
  </si>
  <si>
    <t xml:space="preserve">Isoport</t>
  </si>
  <si>
    <t xml:space="preserve">Wafer load port</t>
  </si>
  <si>
    <t xml:space="preserve">20</t>
  </si>
  <si>
    <t xml:space="preserve">101817</t>
  </si>
  <si>
    <t xml:space="preserve">Versaport pod opener 2200 VPO</t>
  </si>
  <si>
    <t xml:space="preserve">77184</t>
  </si>
  <si>
    <t xml:space="preserve">Athena</t>
  </si>
  <si>
    <t xml:space="preserve">16C-B-S-0-23-00</t>
  </si>
  <si>
    <t xml:space="preserve">Temperature / Process controller</t>
  </si>
  <si>
    <t xml:space="preserve">Brand new in box, Electroheat Engineering
Athena 16C-B-S-0-23-00 With manual
</t>
  </si>
  <si>
    <t xml:space="preserve">108153</t>
  </si>
  <si>
    <t xml:space="preserve">ATI</t>
  </si>
  <si>
    <t xml:space="preserve">OAK-1</t>
  </si>
  <si>
    <t xml:space="preserve">Auto Scope Inspection</t>
  </si>
  <si>
    <t xml:space="preserve">98447</t>
  </si>
  <si>
    <t xml:space="preserve">August</t>
  </si>
  <si>
    <t xml:space="preserve">3DI-8000</t>
  </si>
  <si>
    <t xml:space="preserve">wafer bump  inspection</t>
  </si>
  <si>
    <t xml:space="preserve">98448</t>
  </si>
  <si>
    <t xml:space="preserve">NSX-95</t>
  </si>
  <si>
    <t xml:space="preserve">2D Auto inspection system / Macro defect inspection system</t>
  </si>
  <si>
    <t xml:space="preserve">101818</t>
  </si>
  <si>
    <t xml:space="preserve">NSX105</t>
  </si>
  <si>
    <t xml:space="preserve">Wafer Bumping Inspection System / Macro defect inspection</t>
  </si>
  <si>
    <t xml:space="preserve">100347</t>
  </si>
  <si>
    <t xml:space="preserve">Autec</t>
  </si>
  <si>
    <t xml:space="preserve">ATC-70B-RS</t>
  </si>
  <si>
    <t xml:space="preserve">Thermal Shock Tester</t>
  </si>
  <si>
    <t xml:space="preserve">109067</t>
  </si>
  <si>
    <t xml:space="preserve">Axcelis</t>
  </si>
  <si>
    <t xml:space="preserve">NV8250P</t>
  </si>
  <si>
    <t xml:space="preserve">Medium Current Implanter</t>
  </si>
  <si>
    <t xml:space="preserve">-available Jan 2024
-still installed in fab
Retrofits/Upgrade:
- Z-Block Gasbox (only 1 Gas string  available)
- Vaporizer
- Metal Reduction Kit
- AMU Xantrex PS
- Parallel Lens NV8250P
- one Dose Cup
- reduced surface Aligner
- Cryo Compressor CTI 9600</t>
  </si>
  <si>
    <t xml:space="preserve">109086</t>
  </si>
  <si>
    <t xml:space="preserve">NV-GSD-200E2</t>
  </si>
  <si>
    <t xml:space="preserve">High Current Ion Implanter</t>
  </si>
  <si>
    <t xml:space="preserve">Energy Range 160KeV
Wafer size 150 mm
Software Version 6.13.2
-STILL INSTALLED IN THE CLEANROOM
-CAN BE INSPECTED BY APPOINTMENT</t>
  </si>
  <si>
    <t xml:space="preserve">103517</t>
  </si>
  <si>
    <t xml:space="preserve">AXCELIS</t>
  </si>
  <si>
    <t xml:space="preserve">ES3</t>
  </si>
  <si>
    <t xml:space="preserve">Plasma Asher</t>
  </si>
  <si>
    <t xml:space="preserve">108901</t>
  </si>
  <si>
    <t xml:space="preserve">Rapid Cure320FC Radiator</t>
  </si>
  <si>
    <t xml:space="preserve">UV anneal System</t>
  </si>
  <si>
    <t xml:space="preserve">-De-installed
-Warehoused
-Can be inspected by appointment
-See attached photos for details.</t>
  </si>
  <si>
    <t xml:space="preserve">108905</t>
  </si>
  <si>
    <t xml:space="preserve">RapidCure 320FC</t>
  </si>
  <si>
    <t xml:space="preserve">The EQUIPMENT IS DE-INSTALLED AND WAREHOUSED. Further DETAILS ARE AVAILABLE 
ON REQUEST</t>
  </si>
  <si>
    <t xml:space="preserve">94591</t>
  </si>
  <si>
    <t xml:space="preserve">B 07 554</t>
  </si>
  <si>
    <t xml:space="preserve">MOTOR GSD 180 TOP</t>
  </si>
  <si>
    <t xml:space="preserve">Motor</t>
  </si>
  <si>
    <t xml:space="preserve">94592</t>
  </si>
  <si>
    <t xml:space="preserve">PN 1027-0093-0035</t>
  </si>
  <si>
    <t xml:space="preserve">Beam Shutter DI 14</t>
  </si>
  <si>
    <t xml:space="preserve">94595</t>
  </si>
  <si>
    <t xml:space="preserve">PS WX 75 N12 0XX0 M 863742-02</t>
  </si>
  <si>
    <t xml:space="preserve">GLASSMAN High Voltage DC Power Supply</t>
  </si>
  <si>
    <t xml:space="preserve">WX Series 1.000 W</t>
  </si>
  <si>
    <t xml:space="preserve">94598</t>
  </si>
  <si>
    <t xml:space="preserve">M 860664-01 ED 111897</t>
  </si>
  <si>
    <t xml:space="preserve">High Voltage Glassmann Extraction Power Supply</t>
  </si>
  <si>
    <t xml:space="preserve">Availablility: Immediately on Payment
Spec 45P51 F
Calibrated in 2008.
Please check pictures below for more information.</t>
  </si>
  <si>
    <t xml:space="preserve">94600</t>
  </si>
  <si>
    <t xml:space="preserve">1214110</t>
  </si>
  <si>
    <t xml:space="preserve">EMS Power Supply 10 – 60  LAMBDA </t>
  </si>
  <si>
    <t xml:space="preserve">Excellent condition: available immediately</t>
  </si>
  <si>
    <t xml:space="preserve">94603</t>
  </si>
  <si>
    <t xml:space="preserve">Rock</t>
  </si>
  <si>
    <t xml:space="preserve">4 x Kit Air Jet Replacement</t>
  </si>
  <si>
    <t xml:space="preserve">PN: 238101</t>
  </si>
  <si>
    <t xml:space="preserve">94604</t>
  </si>
  <si>
    <t xml:space="preserve">PN: 238102</t>
  </si>
  <si>
    <t xml:space="preserve">106639</t>
  </si>
  <si>
    <t xml:space="preserve">INTEGRA-RS</t>
  </si>
  <si>
    <t xml:space="preserve">DRY STRIP</t>
  </si>
  <si>
    <t xml:space="preserve">108700</t>
  </si>
  <si>
    <t xml:space="preserve">Fusion ES3</t>
  </si>
  <si>
    <t xml:space="preserve">Asher</t>
  </si>
  <si>
    <t xml:space="preserve">Axcelis Fusion ES3 Asher Vintage Feb 2001 Fitted with dual 300mm foups. Can 
be fitted optional 200mm Incl chiller, pumps, gas boxes decomissioned in 
working conditioning, in production till April 2022 System comes incl. 
following spare parts. Spare chamber module All quartz parts used for 1 
chamber Main Computer Microwave 3 pieces Lamp controllers etc. Lamps 
approx. 75 pieces Touchscreen SMC foreline valve Throttle valve</t>
  </si>
  <si>
    <t xml:space="preserve">72111</t>
  </si>
  <si>
    <t xml:space="preserve">17091650</t>
  </si>
  <si>
    <t xml:space="preserve">SUPP RACK   </t>
  </si>
  <si>
    <t xml:space="preserve">At the warehouse of Fabsurplus Italy, location Avezzano 67051 Italy.See 
attached photos for condition.</t>
  </si>
  <si>
    <t xml:space="preserve">72120</t>
  </si>
  <si>
    <t xml:space="preserve">17S2467</t>
  </si>
  <si>
    <t xml:space="preserve">DISK</t>
  </si>
  <si>
    <t xml:space="preserve">108729</t>
  </si>
  <si>
    <t xml:space="preserve">110000800</t>
  </si>
  <si>
    <t xml:space="preserve">Universal 300mm Disk Cart MAT # 4501422</t>
  </si>
  <si>
    <t xml:space="preserve">91345</t>
  </si>
  <si>
    <t xml:space="preserve">INTEGRA </t>
  </si>
  <si>
    <t xml:space="preserve">ES plasma dry strip system</t>
  </si>
  <si>
    <t xml:space="preserve">109546</t>
  </si>
  <si>
    <t xml:space="preserve">Optima MD</t>
  </si>
  <si>
    <t xml:space="preserve">Medium Current Ion Implanter</t>
  </si>
  <si>
    <t xml:space="preserve">-Currently running wafers in the factory in FEOL process area.
Parts Included:-
 - End Station Qty: 1
 - Injector System Qty: 1
 - Optima ION IMPLANT System (300mm) Qty: 1
Handler System Linear Scan System Qty: 1
Handler System Yaskawa XU-RC400M-A00 robot ATM Qty: 2
Handler System  Factory Interface FOUP Qty: 4
 - 300mm Plasma Flood Gun w. HP Xe DIN 6 Qty: 1
 - BUSCH BC100 Rough Pumps Source I LL+ Transfer Qty: 2
 - CTI Cryo Pump System 2x IS 320 Qty: 2
 - Pfeiffer Turbo Pump TMH 1201 for Source Pfeiffer Turbo Pump TMH 1201 for 
Beamline Qty: 2
 - CTI Cryo Pump System 1x IS8, 2x IS 250 Qty: 3
 - 6 Position Gas Box Qty: 1
 - Line 3 String: SDS AsH3 1/2" VCR Qty: 1
 - Line 2 String: SDS PH3 1/2" VCR Qty: 1
 - Line 5 String: SDS GeF41/4" VCR Qty: 1
 - Line 6 String: HP Xe DIN 6 Qty: 1
 - Line 4 String: SDS BF3 1/4" VCR Qty: 1
 - Affinity Chiller Qty 1
 - CTI Cryo Compressor Qty 2
-s/w version installed: 1.7.0.4DP14
-Factory communications system: GEM
-Weight: 13278 KG
-Power supply: 400 VAC, 3 phase, 50 Hz, 185A full load current. Power: 138 
kVA</t>
  </si>
  <si>
    <t xml:space="preserve">109370</t>
  </si>
  <si>
    <t xml:space="preserve">AXICON</t>
  </si>
  <si>
    <t xml:space="preserve">Model Number: 17002047</t>
  </si>
  <si>
    <t xml:space="preserve">109371</t>
  </si>
  <si>
    <t xml:space="preserve">Model Number: 1700-2021</t>
  </si>
  <si>
    <t xml:space="preserve">100888</t>
  </si>
  <si>
    <t xml:space="preserve">Furnace 3</t>
  </si>
  <si>
    <t xml:space="preserve">Drying Furnace</t>
  </si>
  <si>
    <t xml:space="preserve">Dimensions (WxHxD): 130x185x255</t>
  </si>
  <si>
    <t xml:space="preserve">56142</t>
  </si>
  <si>
    <t xml:space="preserve">Screen printers</t>
  </si>
  <si>
    <t xml:space="preserve">Printers and Dryers</t>
  </si>
  <si>
    <t xml:space="preserve">Serial number: 900140650010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All manuals, drawings and software disks included.
Loaders: Printer 1 Dryer 1 Printer 2 Dryer 2 Printer 3
Operational prior to de-installation
In-line with Baccini Solar Cell Line 156mm
Single Lane process.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Singapore Woodlands.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</si>
  <si>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56145</t>
  </si>
  <si>
    <t xml:space="preserve">SUN SIMULATOR / CELL TESTER</t>
  </si>
  <si>
    <t xml:space="preserve">Cell Tester</t>
  </si>
  <si>
    <t xml:space="preserve"> Sun Simulator/Cell Tester Operational prior to de-installation In-line 
with Baccini Solar Cell Line 156mm
Single Lane process
The tester equipment consists of 2 modules.
Module 1 is a cell tester with triple cameras and a flipper.
Module 2 is an electrical tester.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</si>
  <si>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56146</t>
  </si>
  <si>
    <t xml:space="preserve">Sorter 1</t>
  </si>
  <si>
    <t xml:space="preserve">Cell Sorter 1</t>
  </si>
  <si>
    <t xml:space="preserve">Cell Sorter 1
Operational prior to de-installation
In-line with Baccini Solar Cell Line 156mm Solar Cell line Single Lane 
process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
4th Module: Sorter 1 (THIS MODULE)
DIMENSION: 200 CM X 158 CM X 214 CM (H)
WEIGHT: 1000 KG
5th Module: Sorter 2</t>
  </si>
  <si>
    <t xml:space="preserve">98708</t>
  </si>
  <si>
    <t xml:space="preserve">Furnace 1</t>
  </si>
  <si>
    <t xml:space="preserve">98709</t>
  </si>
  <si>
    <t xml:space="preserve">Furnace 2</t>
  </si>
  <si>
    <t xml:space="preserve">98710</t>
  </si>
  <si>
    <t xml:space="preserve">Test 1</t>
  </si>
  <si>
    <t xml:space="preserve">Solar Cell Inspection</t>
  </si>
  <si>
    <t xml:space="preserve">Dimensions (WxHxD): 86x190x146</t>
  </si>
  <si>
    <t xml:space="preserve">98711</t>
  </si>
  <si>
    <t xml:space="preserve">Test 2</t>
  </si>
  <si>
    <t xml:space="preserve">Icos Solar Cell Inspection</t>
  </si>
  <si>
    <t xml:space="preserve">Dimensions (WxHxD): 180x190x87</t>
  </si>
  <si>
    <t xml:space="preserve">98712</t>
  </si>
  <si>
    <t xml:space="preserve">Test 3 </t>
  </si>
  <si>
    <t xml:space="preserve">Automatic Cell Sorter</t>
  </si>
  <si>
    <t xml:space="preserve">Dimensions (WxHxD): 190x190x160
Please heck the pictures below for more information.
Check the video below:</t>
  </si>
  <si>
    <t xml:space="preserve">98713</t>
  </si>
  <si>
    <t xml:space="preserve">Wafer Boats</t>
  </si>
  <si>
    <t xml:space="preserve">Spares for Baccini solar cell manufacturing line</t>
  </si>
  <si>
    <t xml:space="preserve">100</t>
  </si>
  <si>
    <t xml:space="preserve">These are the boarts for loading the square solar wafers into the different 
parts of the Baccini solar line. A quantity of around 100 of these boats is 
available. They are located at out Avezzano, Italy warehouse.</t>
  </si>
  <si>
    <t xml:space="preserve">98715</t>
  </si>
  <si>
    <t xml:space="preserve">Baccini </t>
  </si>
  <si>
    <t xml:space="preserve">Printer 1</t>
  </si>
  <si>
    <t xml:space="preserve">Screen Printer</t>
  </si>
  <si>
    <t xml:space="preserve">Please check the pictures below for more information. The printer is fitted 
with a rotary turntable, with 4 print stations.
Dimensions (WxHxD): 180 cm x 182 cm x 130 cm
s.n. 9.0085.1550.090
Check the video below to see the tool:</t>
  </si>
  <si>
    <t xml:space="preserve">98716</t>
  </si>
  <si>
    <t xml:space="preserve">Printer 2</t>
  </si>
  <si>
    <t xml:space="preserve">Dimensions (WxHxD): 180x182x130</t>
  </si>
  <si>
    <t xml:space="preserve">98717</t>
  </si>
  <si>
    <t xml:space="preserve">Printer 3</t>
  </si>
  <si>
    <t xml:space="preserve">This Baccini screen printer includes:
8002103 ALL printer paste application dispenser
Dimensions (WxHxD): 180x182x130
Please check the pictures below for more information</t>
  </si>
  <si>
    <t xml:space="preserve">108703</t>
  </si>
  <si>
    <t xml:space="preserve">Softline</t>
  </si>
  <si>
    <t xml:space="preserve">Screen printer</t>
  </si>
  <si>
    <t xml:space="preserve">Upgraded touchscreen/PC/software Machine used only in R&amp;D in condition as 
new</t>
  </si>
  <si>
    <t xml:space="preserve">77009</t>
  </si>
  <si>
    <t xml:space="preserve">Screen Printer 2</t>
  </si>
  <si>
    <t xml:space="preserve">screen printer</t>
  </si>
  <si>
    <t xml:space="preserve">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</si>
  <si>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77010</t>
  </si>
  <si>
    <t xml:space="preserve">Screen Printer 3</t>
  </si>
  <si>
    <t xml:space="preserve">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</si>
  <si>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77012</t>
  </si>
  <si>
    <t xml:space="preserve">Screen Printer 1</t>
  </si>
  <si>
    <t xml:space="preserve">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All manuals and software disks included.
WEIGHT AND DIMENSIONS: 145 cm x 205 cm x 209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Singapore Woodlands.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</si>
  <si>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77013</t>
  </si>
  <si>
    <t xml:space="preserve">CHIP AND CRACK CAMERA</t>
  </si>
  <si>
    <t xml:space="preserve">Chip and Crack camera</t>
  </si>
  <si>
    <t xml:space="preserve">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</si>
  <si>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 xml:space="preserve">77017</t>
  </si>
  <si>
    <t xml:space="preserve">Cell electrical tester</t>
  </si>
  <si>
    <t xml:space="preserve">Electrical Cell tester</t>
  </si>
  <si>
    <t xml:space="preserve">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</si>
  <si>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 xml:space="preserve">77018</t>
  </si>
  <si>
    <t xml:space="preserve">Sorter 2</t>
  </si>
  <si>
    <t xml:space="preserve">Cell Sorter 2</t>
  </si>
  <si>
    <t xml:space="preserve">Cell Sorter 2
Operational prior to de-installation
In-line with Baccini Solar Cell Line 156mm Solar Cell line Single Lane 
process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
4th Module: Sorter 1
DIMENSION: 200 CM X 158 CM X 214 CM (H)
WEIGHT: 1000 KG
5th Module: Sorter 2 (THIS MODULE)
DIMENSION: 200 CM X 160 CM X 2225 CM (H)
WEIGHT: 700 KG</t>
  </si>
  <si>
    <t xml:space="preserve">77019</t>
  </si>
  <si>
    <t xml:space="preserve">Sorter - Furnace Output</t>
  </si>
  <si>
    <t xml:space="preserve">Cell Sorter - Furnace output</t>
  </si>
  <si>
    <t xml:space="preserve">Cell Sorter -furnace output
Operational prior to de-installation
In-line with Baccini Solar Cell Line 156mm Solar Cell line Single Lane 
process
Inspection by appointment only.
Baccini
Solar Cell test line
Commissioned: Oct 2004
Built: Jun 2006
s/n: 9.0044.0650.030
Electrical Drawing number: 7.1936.10.00.000
Pneumatic drawing number: 7.1936.11.00.000
Electrical supply rating: 3 phase 400V 50 Hz
1ST MODULE:Unloader from furnace table (THIS ITEM)
WEIGHT 700KG
DIMENSIONS (PACKED) 155 CM X 105 CM X 208 CM (H)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
4th Module: Sorter 1
DIMENSION: 200 CM X 158 CM X 214 CM (H)
WEIGHT: 1000 KG
5th Module: Sorter 2
DIMENSION: 200 CM X 160 CM X 2225 CM (H)
WEIGHT: 700 KG</t>
  </si>
  <si>
    <t xml:space="preserve">77020</t>
  </si>
  <si>
    <t xml:space="preserve">Sun Simulator Operational prior to de-installation In-line with Baccini 
Solar Cell Line 156mm
Single Lane process
Module 1 is a sun simulator with triple cameras and a flipper.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Baccini
Solar Cell test line
Commissioned: Oct 2004
Built: Jun 2006
s/n: 9.0044.0650.030
Electrical Drawing number: 7.1936.10.00.000
Pneumatic drawing number: 7.1936.11.00.000
Electrical supply rating: 3 phase 400V 50 Hz
1ST MODULE:Unloader from furnace table
2ND MODULE:Color tester item 17 (THIS MODULE)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</si>
  <si>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103388</t>
  </si>
  <si>
    <t xml:space="preserve">Oven 3 Unload Buffer FFF</t>
  </si>
  <si>
    <t xml:space="preserve">Unload buffer unit from Oven 3 and FFF loader</t>
  </si>
  <si>
    <t xml:space="preserve">Dimensions (WxD): 870 x 670
With 90 degree left handed direction change.</t>
  </si>
  <si>
    <t xml:space="preserve">77021</t>
  </si>
  <si>
    <t xml:space="preserve">Dryer 1</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</si>
  <si>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</si>
  <si>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77022</t>
  </si>
  <si>
    <t xml:space="preserve">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</si>
  <si>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</si>
  <si>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108730</t>
  </si>
  <si>
    <t xml:space="preserve">BAUSCH &amp; LOMB</t>
  </si>
  <si>
    <t xml:space="preserve">StereoZoom 4</t>
  </si>
  <si>
    <t xml:space="preserve">Microscope on Boom Stand, 0.7-3X with 10X W.F. Stereo Eyepieces</t>
  </si>
  <si>
    <t xml:space="preserve">108731</t>
  </si>
  <si>
    <t xml:space="preserve">Microscope on Small Benchtop Stand, 0.7-3X with 15X W.F. Eyepieces</t>
  </si>
  <si>
    <t xml:space="preserve">108732</t>
  </si>
  <si>
    <t xml:space="preserve">StereoZoom 6 Plus</t>
  </si>
  <si>
    <t xml:space="preserve">Microscope, 0.67-4.0X with WF 10X/21 Eyepieces</t>
  </si>
  <si>
    <t xml:space="preserve">108733</t>
  </si>
  <si>
    <t xml:space="preserve">StereoZoom 7</t>
  </si>
  <si>
    <t xml:space="preserve">Microscope on Boom Stand, 1-7X with 15X Eyepieces and 0.67X Adapter Lens</t>
  </si>
  <si>
    <t xml:space="preserve">109949</t>
  </si>
  <si>
    <t xml:space="preserve">Baxter</t>
  </si>
  <si>
    <t xml:space="preserve">Sealing Head</t>
  </si>
  <si>
    <t xml:space="preserve">Sealing</t>
  </si>
  <si>
    <t xml:space="preserve">Sold Ex-Works, UK Office , Part Number:FDR4363</t>
  </si>
  <si>
    <t xml:space="preserve">109950</t>
  </si>
  <si>
    <t xml:space="preserve">109951</t>
  </si>
  <si>
    <t xml:space="preserve">109952</t>
  </si>
  <si>
    <t xml:space="preserve">83589</t>
  </si>
  <si>
    <t xml:space="preserve">Beckhoff</t>
  </si>
  <si>
    <t xml:space="preserve">BK9000</t>
  </si>
  <si>
    <t xml:space="preserve">Ethernet interface module</t>
  </si>
  <si>
    <t xml:space="preserve">    Used good 
Will  Ship from our Boerne, TX Warehouse  </t>
  </si>
  <si>
    <t xml:space="preserve">83594</t>
  </si>
  <si>
    <t xml:space="preserve">KL9050</t>
  </si>
  <si>
    <t xml:space="preserve"> used beckhoff kl9050 plc module.  </t>
  </si>
  <si>
    <t xml:space="preserve">84213</t>
  </si>
  <si>
    <t xml:space="preserve">KL9020</t>
  </si>
  <si>
    <t xml:space="preserve">Ethernet interface</t>
  </si>
  <si>
    <t xml:space="preserve">
</t>
  </si>
  <si>
    <t xml:space="preserve">84379</t>
  </si>
  <si>
    <t xml:space="preserve">BELDEN 8219</t>
  </si>
  <si>
    <t xml:space="preserve">IC20</t>
  </si>
  <si>
    <t xml:space="preserve">BRAID R-58A/U</t>
  </si>
  <si>
    <t xml:space="preserve">TYPE 50
OHM E34972
WEIGHT:200 GR.
DIMENSION WITHOUT CABLE: 6 X 14 X 2,5 (H)
</t>
  </si>
  <si>
    <t xml:space="preserve">77095</t>
  </si>
  <si>
    <t xml:space="preserve">Bellows</t>
  </si>
  <si>
    <t xml:space="preserve">10.01.06.00878 </t>
  </si>
  <si>
    <t xml:space="preserve">Bellows suction cup 9mm, pack of 12</t>
  </si>
  <si>
    <t xml:space="preserve">98718</t>
  </si>
  <si>
    <t xml:space="preserve">Berger</t>
  </si>
  <si>
    <t xml:space="preserve">PSS10</t>
  </si>
  <si>
    <t xml:space="preserve">Pulsed Solar Simulator</t>
  </si>
  <si>
    <t xml:space="preserve">missing parts</t>
  </si>
  <si>
    <t xml:space="preserve">Dimensions (WxHxD): 57x95x53</t>
  </si>
  <si>
    <t xml:space="preserve">108266</t>
  </si>
  <si>
    <t xml:space="preserve">BESI</t>
  </si>
  <si>
    <t xml:space="preserve">X-Eye SF160 SL</t>
  </si>
  <si>
    <t xml:space="preserve">X-RAY INSPECTION FOR PCBS</t>
  </si>
  <si>
    <t xml:space="preserve">WORKING CONDITION</t>
  </si>
  <si>
    <t xml:space="preserve">77169</t>
  </si>
  <si>
    <t xml:space="preserve">Bimba Ultran</t>
  </si>
  <si>
    <t xml:space="preserve">US-1737.125-S</t>
  </si>
  <si>
    <t xml:space="preserve">Rodless Pneumatic Actuator</t>
  </si>
  <si>
    <t xml:space="preserve">   
Rodless Pneumatic Actuator
100 MAX Pressure
New in Box, Ships from our Boerne, TX Warehouse</t>
  </si>
  <si>
    <t xml:space="preserve">77170</t>
  </si>
  <si>
    <t xml:space="preserve">US-1734.125-S</t>
  </si>
  <si>
    <t xml:space="preserve">110597</t>
  </si>
  <si>
    <t xml:space="preserve">Binder</t>
  </si>
  <si>
    <t xml:space="preserve">FDL 115</t>
  </si>
  <si>
    <t xml:space="preserve">Safety Drying Chamber for solvent, RT up to +300°C, Volume inside 115 Liter</t>
  </si>
  <si>
    <t xml:space="preserve">Facilities</t>
  </si>
  <si>
    <t xml:space="preserve">The drying oven from Binder, model FDL 115, is a reliable oven for drying 
materials in the laboratory and in industry. 
It is easy to use and offers precise temperature control. 
The interior is made of stainless steel and has a capacity of 115 liters. 
Description of performance:
Interior content: 115 liters
Temperature range: 5 °C above ambient temperature up to 300 °C Precise 
temperature control
Interior made of stainless steel
Door with double seal
Safety temperature limiter
rack made of stainless steel
 </t>
  </si>
  <si>
    <t xml:space="preserve">108800</t>
  </si>
  <si>
    <t xml:space="preserve">BIO-RAD</t>
  </si>
  <si>
    <t xml:space="preserve">ECN4900PC</t>
  </si>
  <si>
    <t xml:space="preserve">Profilers, 2ea Available - Parts Only</t>
  </si>
  <si>
    <t xml:space="preserve">108801</t>
  </si>
  <si>
    <t xml:space="preserve">Q7</t>
  </si>
  <si>
    <t xml:space="preserve">Overlay Metrology Tool</t>
  </si>
  <si>
    <t xml:space="preserve">108802</t>
  </si>
  <si>
    <t xml:space="preserve">Q8</t>
  </si>
  <si>
    <t xml:space="preserve">Overlay Metrology / CD Measurement Tool for up to 200mm Wafers</t>
  </si>
  <si>
    <t xml:space="preserve">108734</t>
  </si>
  <si>
    <t xml:space="preserve">Bio-Rad</t>
  </si>
  <si>
    <t xml:space="preserve">Overlay Metrology</t>
  </si>
  <si>
    <t xml:space="preserve">108735</t>
  </si>
  <si>
    <t xml:space="preserve">QS-1200</t>
  </si>
  <si>
    <t xml:space="preserve">FT-IR Spectrometer</t>
  </si>
  <si>
    <t xml:space="preserve">100-200 mm</t>
  </si>
  <si>
    <t xml:space="preserve">BIORAD QS-1200 FT-IR Spectrometer
    * Fully refurbished and guaranteed fully operational: can send video
      when ready for collection.
    * Non-Destructive Measurement of Epitaxial Silicon Films
    * Manual Wafer Handling – 12” Nose Cone
    * Sample Tray (2”, 3”, 4”, 5”, 6”, 8” and 300mm)
    * Manual Wafer Loading
    * New KBr Optical Components
    * Dell GX270 3.2 Ghz 1G Ram 320G HD
    * Networking, USB, Large Harddisk Support
    * Windows XP OS
    * Win-IR Pro Rev. 2.51
    * Win-Epi
    * Microsoft Access Software
    * System Software, Epi Measurement Software &amp; Site Preparation Manuals
      Included
 </t>
  </si>
  <si>
    <t xml:space="preserve">108736</t>
  </si>
  <si>
    <t xml:space="preserve">QS-300</t>
  </si>
  <si>
    <t xml:space="preserve">The Tool is fully functional.
Including:
• Non-Destructive Measurement of Epitaxial Silicon Thickness
• BIO-RAD FTS-240 Optical Bench
• Standard IR Source
• Standard DTGS Detector
• KBr Optical Components
• BIO-RAD 013-4100 Spectrometer Controller
• Manual Nosecone for 75mm-200mm Wafers
• System Control PC with Windows XP OS
• Win-IR Pro (Rev. 2.51) Software and Microsoft Access Database
• QS-300 Win-Epi Application Software
• System Software, Applications Software &amp; Site Preparation Manuals 
Included</t>
  </si>
  <si>
    <t xml:space="preserve">108737</t>
  </si>
  <si>
    <t xml:space="preserve">BIORAD</t>
  </si>
  <si>
    <t xml:space="preserve">Q5</t>
  </si>
  <si>
    <t xml:space="preserve">109953</t>
  </si>
  <si>
    <t xml:space="preserve">Bird</t>
  </si>
  <si>
    <t xml:space="preserve">Bird Meter</t>
  </si>
  <si>
    <t xml:space="preserve">Sold Ex-Works, UK Office , Part Number:4421A-10-00-0</t>
  </si>
  <si>
    <t xml:space="preserve">109954</t>
  </si>
  <si>
    <t xml:space="preserve">Sold Ex-Works, UK Office , Part Number:8401</t>
  </si>
  <si>
    <t xml:space="preserve">109955</t>
  </si>
  <si>
    <t xml:space="preserve">Bird </t>
  </si>
  <si>
    <t xml:space="preserve">Power Meter</t>
  </si>
  <si>
    <t xml:space="preserve">Sold Ex-Works, UK Office , Part Number:4421 , Secondary P/N:4421-101</t>
  </si>
  <si>
    <t xml:space="preserve">109956</t>
  </si>
  <si>
    <t xml:space="preserve">Sold Ex-Works, UK Office , Part Number:4421 , Secondary P/N:4421-102</t>
  </si>
  <si>
    <t xml:space="preserve">109957</t>
  </si>
  <si>
    <t xml:space="preserve">Sold Ex-Works, UK Office , Part Number:4421 , Secondary P/N:4421-106</t>
  </si>
  <si>
    <t xml:space="preserve">109958</t>
  </si>
  <si>
    <t xml:space="preserve">Sold Ex-Works, UK Office , Part Number:4024</t>
  </si>
  <si>
    <t xml:space="preserve">109959</t>
  </si>
  <si>
    <t xml:space="preserve">109960</t>
  </si>
  <si>
    <t xml:space="preserve">109961</t>
  </si>
  <si>
    <t xml:space="preserve">109962</t>
  </si>
  <si>
    <t xml:space="preserve">109963</t>
  </si>
  <si>
    <t xml:space="preserve">Sold Ex-Works, UK Office , Part Number:4025</t>
  </si>
  <si>
    <t xml:space="preserve">109964</t>
  </si>
  <si>
    <t xml:space="preserve">109965</t>
  </si>
  <si>
    <t xml:space="preserve">109966</t>
  </si>
  <si>
    <t xml:space="preserve">106427</t>
  </si>
  <si>
    <t xml:space="preserve">Blue M</t>
  </si>
  <si>
    <t xml:space="preserve">CC-13-C-P-B</t>
  </si>
  <si>
    <t xml:space="preserve">Blue M CC-13-C-P-B</t>
  </si>
  <si>
    <t xml:space="preserve">150 mm/200 mm</t>
  </si>
  <si>
    <t xml:space="preserve">Shut down in Fab. Needs to be removed in the next few weeks.</t>
  </si>
  <si>
    <t xml:space="preserve">106430</t>
  </si>
  <si>
    <t xml:space="preserve">DCC 1406 E MP550</t>
  </si>
  <si>
    <t xml:space="preserve">Blue M Oven</t>
  </si>
  <si>
    <t xml:space="preserve">Automatic Shut down in Fab. Needs to be removed in the next few weeks.</t>
  </si>
  <si>
    <t xml:space="preserve">106641</t>
  </si>
  <si>
    <t xml:space="preserve">BMR</t>
  </si>
  <si>
    <t xml:space="preserve">HIDEP</t>
  </si>
  <si>
    <t xml:space="preserve">PECVD</t>
  </si>
  <si>
    <t xml:space="preserve">N/A</t>
  </si>
  <si>
    <t xml:space="preserve">108803</t>
  </si>
  <si>
    <t xml:space="preserve">BOONTON</t>
  </si>
  <si>
    <t xml:space="preserve">72B</t>
  </si>
  <si>
    <t xml:space="preserve">Capacitance Meter</t>
  </si>
  <si>
    <t xml:space="preserve">102643</t>
  </si>
  <si>
    <t xml:space="preserve">BPS</t>
  </si>
  <si>
    <t xml:space="preserve">Cyberite</t>
  </si>
  <si>
    <t xml:space="preserve">Ion Beam Deposition Tool</t>
  </si>
  <si>
    <t xml:space="preserve">125 mm</t>
  </si>
  <si>
    <t xml:space="preserve">BPS Cyberite is a very productive cluster ion beam deposition system that 
is used for multilayer magneto resistive sensor fabrication. 
Main Features: Two chambers 6 targets each, high uniformity, Brooks robot 
cluster handling, cryogenic onboard pumps, 5“ wafer format
Tool Status: installed and operational, immediately available.
Please refer to the attached photos and here follows the system 
configuration.</t>
  </si>
  <si>
    <t xml:space="preserve">108804</t>
  </si>
  <si>
    <t xml:space="preserve">BRANSON/IPC</t>
  </si>
  <si>
    <t xml:space="preserve">Series 4000</t>
  </si>
  <si>
    <t xml:space="preserve">Plasma Barrel Stripper, 10" X 20" Quartz Chamber, S4075-11020 Reactor Center</t>
  </si>
  <si>
    <t xml:space="preserve">108738</t>
  </si>
  <si>
    <t xml:space="preserve">4055/2</t>
  </si>
  <si>
    <t xml:space="preserve">Plasma Surface Treatment Tool w/Shelf Electrodes, 2ea Available</t>
  </si>
  <si>
    <t xml:space="preserve">109073</t>
  </si>
  <si>
    <t xml:space="preserve">Brooks</t>
  </si>
  <si>
    <t xml:space="preserve">ABM 205</t>
  </si>
  <si>
    <t xml:space="preserve">Robot</t>
  </si>
  <si>
    <t xml:space="preserve">for R3 Speedfam 776 CMP</t>
  </si>
  <si>
    <t xml:space="preserve">2 weeks</t>
  </si>
  <si>
    <t xml:space="preserve">ABM 205 robot for R3 Speedfam 776 CMP</t>
  </si>
  <si>
    <t xml:space="preserve">109078</t>
  </si>
  <si>
    <t xml:space="preserve">Gemini 2</t>
  </si>
  <si>
    <t xml:space="preserve">Vacuum back end (VBE) with equipment front end module (EFEM)</t>
  </si>
  <si>
    <t xml:space="preserve">200-300 mm</t>
  </si>
  <si>
    <t xml:space="preserve">Name: Gemini 2 Vacuum Transport System
Vacuum Back End (VBE):
Description: ASSY,VBE,G2-6,L2.5B,M7B,BTH LL,3TP/T,200-300MM
P/N: 139750-77
Original price: $409,500
Equipment Front End Module (EFEM):
Description: ASSY,JCP,2SR,S2,WE30,VGVG,XXLO,VIVIXXXX,30B,#3065
P/N: 241251-0007
Original price: $150,300
9600 Compressor:
P/N: 8135900G001
Documentation, etc.
Configuration of EFEM:-
-Standard base Platform including:-
-BOLTS compliant frame
-Doors, front and rear wheels
-Solid upper rear panel
-AC Power distribution (200-240V)
-Ethernet communications
-Externally mounted removable casters
-SEMI S2, S8 and F47 compliant
Application Information
Substrate 1: 300 mm Semi Std.
Substrate 2: 200 mm Semi Pitch
Ship Config: 300 mm
Process temp: less than 100C
Substrate temp: less than 100C
Transfer plane: 1100 mm from floor
Process throughput: 60 wph
Platform Configuration
Platform layout: 2 wide
Service access: Right (standard)
Interior lighting: White (Standard)
Facilities location: Internal - Side Service
Upper Panels: Tall with Storage
FFU Option: Standard FFu (Class 1)
Automation Configuration
Drive type: Custom
Robot track: Custom
Lower EE: Vacuum S9
Substrate Aligner: Custom
Upper EE: Vacuum S9
Aligner Location: Right (Standard)
System Reach Requirement: Reach into G2-6 side-by-side Load Lock.
Load Port Configuration
Carrier Type 1: 300 mm FOUP Semi Standard
Carrier Type 2: 300 mm FOUP with Adapter
CID Comm: Vision LPM ENET
LPM #1: Vision Load Port  
E84 Option: OHT Ready (no transponder)
Carrier ID: RFID - Brooks
LPM #2: Vision Load Port  
E84 Option: OHT Ready (no transponder)
Carrier ID: Not required
Standard EFEM Options
EMO Button: left side
UI Configuration: Mount with swing arm
Carrier protection: None
Light Tower: None
UI Location: Right corner
Wafer mapping: Loadport only (Vision)
Wing Panel: None
OCR Mount Bracket: None
Ionization: Ionization with digital control
Platform coupling: None
Custom Requirements
1. This EFEM will roll up to a G2-6 Gen5-EN vacuum Back End (p/n 
139750-77).
2. JCP Level 2.5 gen-5 EN Controls architecture
3. System will be a 200 mm and 300 mm bridge tool. Automation is a wafer 
engine with a 200mm/300mm aligner. Aligner requires right side bump out.
4. LPM#2 will be vision compatible for FOUP with Microtool adapter p/n 
AM-3004-3
5. Tool configured for separate and dedicated 300 mm and 200 mm EEs on 
wafer engine amd set up for Microtool adapter p/n AM-3004-3 on LP#2</t>
  </si>
  <si>
    <t xml:space="preserve">109079</t>
  </si>
  <si>
    <t xml:space="preserve">139750-77</t>
  </si>
  <si>
    <t xml:space="preserve">Vacuum back end (VBE) ASSY,VBE,G2-6,L2.5B,M7B,BTH LL,3TP/T,200-300MM</t>
  </si>
  <si>
    <t xml:space="preserve">Name: Gemini 2 Vacuum Transport System
Vacuum Back End (VBE):
Description: ASSY,VBE,G2-6,L2.5B,M7B,BTH LL,3TP/T,200-300MM
P/N: 139750-77
Original price: $409,500
Also available: Equipment Front End Module (EFEM).</t>
  </si>
  <si>
    <t xml:space="preserve">109080</t>
  </si>
  <si>
    <t xml:space="preserve">241251-0007</t>
  </si>
  <si>
    <t xml:space="preserve">Equipment front end module (EFEM) ASSY,JCP,2SR,S2,WE30,VGVG,XXLO,VIVIXXXX,30B,#3065</t>
  </si>
  <si>
    <t xml:space="preserve">200 mm and 300 mm</t>
  </si>
  <si>
    <t xml:space="preserve">Equipment Front End Module (EFEM):
Description: ASSY,JCP,2SR,S2,WE30,VGVG,XXLO,VIVIXXXX,30B,#3065
P/N: 241251-0007
Original price: $150,300
Documentation, etc.
Configuration of EFEM:-
-Standard base Platform including:-
-BOLTS compliant frame
-Doors, front and rear wheels
-Solid upper rear panel
-AC Power distribution (200-240V)
-Ethernet communications
-Externally mounted removable casters
-SEMI S2, S8 and F47 compliant
Application Information
Substrate 1: 300 mm Semi Std.
Substrate 2: 200 mm Semi Pitch
Ship Config: 300 mm
Process temp: less than 100C
Substrate temp: less than 100C
Transfer plane: 1100 mm from floor
Process throughput: 60 wph
Platform Configuration
Platform layout: 2 wide
Service access: Right (standard)
Interior lighting: White (Standard)
Facilities location: Internal - Side Service
Upper Panels: Tall with Storage
FFU Option: Standard FFu (Class 1)
Automation Configuration
Drive type: Custom
Robot track: Custom
Lower EE: Vacuum S9
Substrate Aligner: Custom
Upper EE: Vacuum S9
Aligner Location: Right (Standard)
System Reach Requirement: Reach into G2-6 side-by-side Load Lock.
Load Port Configuration
Carrier Type 1: 300 mm FOUP Semi Standard
Carrier Type 2: 300 mm FOUP with Adapter
CID Comm: Vision LPM ENET
LPM #1: Vision Load Port  
E84 Option: OHT Ready (no transponder)
Carrier ID: RFID - Brooks
LPM #2: Vision Load Port  
E84 Option: OHT Ready (no transponder)
Carrier ID: Not required
Standard EFEM Options
EMO Button: left side
UI Configuration: Mount with swing arm
Carrier protection: None
Light Tower: None
UI Location: Right corner
Wafer mapping: Loadport only (Vision)
Wing Panel: None
OCR Mount Bracket: None
Ionization: Ionization with digital control
Platform coupling: None
Custom Requirements
1. This EFEM will roll up to a G2-6 Gen5-EN vacuum Back End (p/n 
139750-77).
2. JCP Level 2.5 gen-5 EN Controls architecture
3. System will be a 200 mm and 300 mm bridge tool. Automation is a wafer 
engine with a 200mm/300mm aligner. Aligner requires right side bump out.
4. LPM#2 will be vision compatible for FOUP with Microtool adapter p/n 
AM-3004-3
5. Tool configured for separate and dedicated 300 mm and 200 mm EEs on 
wafer engine amd set up for Microtool adapter p/n AM-3004-3 on LP#2</t>
  </si>
  <si>
    <t xml:space="preserve">106804</t>
  </si>
  <si>
    <t xml:space="preserve">ATR-8 robot alone </t>
  </si>
  <si>
    <t xml:space="preserve">LAM tool</t>
  </si>
  <si>
    <t xml:space="preserve">De-installed, warehoused. Can be inspected by appointment.
Reported to be in full working order</t>
  </si>
  <si>
    <t xml:space="preserve">106805</t>
  </si>
  <si>
    <t xml:space="preserve">Brooks </t>
  </si>
  <si>
    <t xml:space="preserve">load port</t>
  </si>
  <si>
    <t xml:space="preserve">Fixload 6M, Vision, Fixload 25</t>
  </si>
  <si>
    <t xml:space="preserve">106851</t>
  </si>
  <si>
    <t xml:space="preserve">MAG 7</t>
  </si>
  <si>
    <t xml:space="preserve">Wafer Handling Robot</t>
  </si>
  <si>
    <t xml:space="preserve">P/N is 201800-01</t>
  </si>
  <si>
    <t xml:space="preserve">108392</t>
  </si>
  <si>
    <t xml:space="preserve">MTX2000</t>
  </si>
  <si>
    <t xml:space="preserve">109160</t>
  </si>
  <si>
    <t xml:space="preserve">MTX 4000</t>
  </si>
  <si>
    <t xml:space="preserve">109161</t>
  </si>
  <si>
    <t xml:space="preserve">109162</t>
  </si>
  <si>
    <t xml:space="preserve">106892</t>
  </si>
  <si>
    <t xml:space="preserve">Wafer Handling Robot qty 2</t>
  </si>
  <si>
    <t xml:space="preserve">Brooks Mag 7 P/N 20600-01
Brooks Mag 7 P/N 201600-91 s/n 1112CHE11253</t>
  </si>
  <si>
    <t xml:space="preserve">106642</t>
  </si>
  <si>
    <t xml:space="preserve">BROOKS</t>
  </si>
  <si>
    <t xml:space="preserve">METARA 7200</t>
  </si>
  <si>
    <t xml:space="preserve">Overlay</t>
  </si>
  <si>
    <t xml:space="preserve">106643</t>
  </si>
  <si>
    <t xml:space="preserve">SORTER MTX 2000</t>
  </si>
  <si>
    <t xml:space="preserve">Wafer Handler</t>
  </si>
  <si>
    <t xml:space="preserve">106644</t>
  </si>
  <si>
    <t xml:space="preserve">83862</t>
  </si>
  <si>
    <t xml:space="preserve">TT1ENR2-1</t>
  </si>
  <si>
    <t xml:space="preserve">Brooks robot Teach Pendant TT1ENR2-1-TVS-ES-Brooks8</t>
  </si>
  <si>
    <t xml:space="preserve">Brooks TT1ENR2-1 robot controller with cable, used, tested good
sold as-is</t>
  </si>
  <si>
    <t xml:space="preserve">102553</t>
  </si>
  <si>
    <t xml:space="preserve">DBM 2407 V2</t>
  </si>
  <si>
    <t xml:space="preserve">Dual arm Atmospheric wafer handling robot</t>
  </si>
  <si>
    <t xml:space="preserve">200/300mm</t>
  </si>
  <si>
    <t xml:space="preserve">Full working condition</t>
  </si>
  <si>
    <t xml:space="preserve">108739</t>
  </si>
  <si>
    <t xml:space="preserve">Multitran 5</t>
  </si>
  <si>
    <t xml:space="preserve">3 Axis Robot, Rebuilt</t>
  </si>
  <si>
    <t xml:space="preserve">    * PN 001-7600-07
    * Rebuilt by U.S. Technologies and has not been used since being
      rebuilt.
    * Robot does not include end effectors or robot arms.</t>
  </si>
  <si>
    <t xml:space="preserve">106948</t>
  </si>
  <si>
    <t xml:space="preserve">Fixload 6M</t>
  </si>
  <si>
    <t xml:space="preserve">SMIF Load Port</t>
  </si>
  <si>
    <t xml:space="preserve">74209</t>
  </si>
  <si>
    <t xml:space="preserve">5850</t>
  </si>
  <si>
    <t xml:space="preserve">MFC Mass flow controller</t>
  </si>
  <si>
    <t xml:space="preserve">BROOKS 5850E MFC MASS FLOW CONTROLLER 15 SLM N2 2 SLM, N2 qty 2 available</t>
  </si>
  <si>
    <t xml:space="preserve">108268</t>
  </si>
  <si>
    <t xml:space="preserve">MTX2000/2</t>
  </si>
  <si>
    <t xml:space="preserve">WAFER SORTER</t>
  </si>
  <si>
    <t xml:space="preserve">WITH 2 FOUP LOAD PORTS, 2 ROBOTS, 2 ALIGNERS</t>
  </si>
  <si>
    <t xml:space="preserve">108024</t>
  </si>
  <si>
    <t xml:space="preserve">106807</t>
  </si>
  <si>
    <t xml:space="preserve">Brooks / PRI</t>
  </si>
  <si>
    <t xml:space="preserve">ABM/ATM 405</t>
  </si>
  <si>
    <t xml:space="preserve">single arm atmospheric wafer handling robot</t>
  </si>
  <si>
    <t xml:space="preserve">Fully operational: video / online inspection possible.
De-installed, warehoused. Can be inspected by appointment.</t>
  </si>
  <si>
    <t xml:space="preserve">106808</t>
  </si>
  <si>
    <t xml:space="preserve">ABM/ATM 407B</t>
  </si>
  <si>
    <t xml:space="preserve">This robot has been de-installed from working condition. It is warehoused, 
and can be inspected by appointment.
This robot is sold "as is". However, we will test it before shipping, and 
make sure it is working.
There are multiple units available in inventory ready for shipment.</t>
  </si>
  <si>
    <t xml:space="preserve">106812</t>
  </si>
  <si>
    <t xml:space="preserve">DBM 2706</t>
  </si>
  <si>
    <t xml:space="preserve">De-installed, warehoused. Can be inspected by appointment.
The robot is sold "as is". However, we will test it and make sure it is 
working before it is shipped to you. Multiple units are available.</t>
  </si>
  <si>
    <t xml:space="preserve">106814</t>
  </si>
  <si>
    <t xml:space="preserve">PRE 200/200B/201/201B</t>
  </si>
  <si>
    <t xml:space="preserve">wafer pre-aligner</t>
  </si>
  <si>
    <t xml:space="preserve">Excellent condition with 3-month parts warranty.
De-installed, warehoused. Can be inspected by appointment.</t>
  </si>
  <si>
    <t xml:space="preserve">106105</t>
  </si>
  <si>
    <t xml:space="preserve">ATM-207-2S-CE</t>
  </si>
  <si>
    <t xml:space="preserve">Single arm atmospheric wafer handling robot</t>
  </si>
  <si>
    <t xml:space="preserve">Refubished and tested before shipping. Lead time: About 2 weeks ARO.
Deinstalled, warehoused. Can be inspected by appointment. Price shown is 
for qty 1.
qty 2 available.</t>
  </si>
  <si>
    <t xml:space="preserve">98449</t>
  </si>
  <si>
    <t xml:space="preserve">ABM 405</t>
  </si>
  <si>
    <t xml:space="preserve">98453</t>
  </si>
  <si>
    <t xml:space="preserve">DBM 2406</t>
  </si>
  <si>
    <t xml:space="preserve">98456</t>
  </si>
  <si>
    <t xml:space="preserve">Mag 8</t>
  </si>
  <si>
    <t xml:space="preserve">Vacuum Robot( From an AMAT Producer GT) AMAT p/n 0190-25011 REV 001</t>
  </si>
  <si>
    <t xml:space="preserve">Deinstalled, warehoused. Can be inspected by appointment.
Please refer to the attached photos for the details of the condition etc.
AMAT P/N: 0190-25011 REV 001
300733-070211177</t>
  </si>
  <si>
    <t xml:space="preserve">103821</t>
  </si>
  <si>
    <t xml:space="preserve">Brooks Automation</t>
  </si>
  <si>
    <t xml:space="preserve">DBM2407-V2</t>
  </si>
  <si>
    <t xml:space="preserve">Dual Arm Robot</t>
  </si>
  <si>
    <t xml:space="preserve">Deinstalled, warehoused.
QTY 2 AVAILABLE.
3 Months warranty included.
Please check the pictures below for more information.</t>
  </si>
  <si>
    <t xml:space="preserve">103822</t>
  </si>
  <si>
    <t xml:space="preserve">Deinstalled, warehoused.
3 Months warranty included.
Please check the pictures below for more information.</t>
  </si>
  <si>
    <t xml:space="preserve">108740</t>
  </si>
  <si>
    <t xml:space="preserve">BROOKS AUTOMATION</t>
  </si>
  <si>
    <t xml:space="preserve">ATM-305</t>
  </si>
  <si>
    <t xml:space="preserve">3 Axis Robot, Refurbished</t>
  </si>
  <si>
    <t xml:space="preserve">Excellent condition: never used since fully refurbished.
Guaranteed operational at consignment</t>
  </si>
  <si>
    <t xml:space="preserve">108042</t>
  </si>
  <si>
    <t xml:space="preserve">Brooks etc</t>
  </si>
  <si>
    <t xml:space="preserve">Spare Parts</t>
  </si>
  <si>
    <t xml:space="preserve">Various Robots, RF generators and Rf Matches for sale</t>
  </si>
  <si>
    <t xml:space="preserve">At this time, we have the following list of Robots, RF Generators and Rf 
matches for sale.
Please refer to the list attached in excel and below in HTML:-
RF GENERATOR LIST
SDI ID 108042 ADDED FEB 2023 	  	  	  	  	 
No. 	Manufacturer 	Part No. 	Description 	Quantity 	Remark
1 	AE 	0190-17779-001 	AE OVATION 2760 	1 	Used
2 	AE 	  	RFG 1251 	1 	Used
3 	ENI 	  	OEM-12B3-08 	1 	Tested Working
4 	AE 	0190-29389W 	OVATION 35162 / 3150861-010E 	1 	NEW
5 	AE 	0190-19021 	APEX 3013 / 3156113-012A 	1 	Used
6 	AE 	0190-19021 	APEX 3013 / 3156113-006C 	1 	Used
7 	AE 	  	APEX 3013 / 3156113-006 	1 	Used
8 	AE 	  	CESAR 1310 1000W, 13.56MHz 	1 	Used
9 	DRESSLER 	  	CESAR 1310 	1 	Used
10 	ENI 	  	OEM-1250 	1 	Used
11 	ENI 	OEM-6AM-1-B 	OEM-6 	1 	Used
12 	DAIHEN 	WGA-50E 	RF GENERATOR 2MHz, 5000W 	3 	Used
13 	HUTTINGER 	  	TruPlasma DC 3005 	1 	Used
14 	HUTTINGER 	  	PFC 300 	1 	Used
15 	HUTTINGER 	  	IS 30-3390 	1 	Used
16 	HUTTINGER 	  	IS 40-13560 	1 	Used
17 	HUTTINGER 	  	MOP 2 DF 	1 	Used
RF MATCH LIST
No. 	Manufacturer 	Part No. 	Description 	Quantity 	Remark
1 	AMAT 	0190-19024 	RF MATCH 	1 	Used
2 	AMAT 	0190-23623 	RF MATCH 	1 	Used
3 	AMAT 	0190-23905 	ASE AMV-3000 PROD_RA / RF POWER 3000W, 13.56MHz 	1 	
Used
4 	AMAT 	0010-09750 	RF MATCH 	2 	Used
5 	SPELLMAN 	X3717 	HIGH VOLTAGE 	1 	Used
6 	COMDEL 	FP2508R4 	RF MATCH CPMX-2500 	1 	Used
7 	ENI 	MW-5DM13 	RF MATCH 	1 	Used
8 	DAIHEN 	HFA-50A 	RF MATCH 	2 	Used
9 	DAIHEN 	WMN-50H6A 	RF AUTO MATCHER 2MHz, 5000W 	3 	Used
10 	DAIHEN 	NX-AMN-50E3 	RF AUTO MATCHER 60MHz, 5000W 	1 	Used
11 	NFR Technologies 	NM05S400KT-010 	RF MATCH 500W, 400KHz 	3 	Used
ROBOT LIST
No. 	Manufacturer 	Part No. 	Description 	Quantity 	Remark
1 	BROOKS 	017-0950-01 	Brooks Robot 	1 SET 	Used
2 	BROOKS 	105151 	Brooks Robot Controller 	Used
3 	BROOKS 	002-7391-08 	Brooks Aligner 	Used
4 	BROOKS 	017-0266-01 	Brooks Robot, (Config No. 017-0950-01) 	1 SET 	
Used
5 	BROOKS 	002-9400-04 	Brooks Robot Controller 	Used
6 	BROOKS 	002-7391-08 	Brooks Aligner 	Used
7 	Yaskawa 	XU-CM7400 	Controller 	1 	Used
8 	KAWASAKI 	30C08P-C005 	ROBOT CONTROLLER 	1 	Used
 </t>
  </si>
  <si>
    <t xml:space="preserve">106806</t>
  </si>
  <si>
    <t xml:space="preserve">Brooks PRI</t>
  </si>
  <si>
    <t xml:space="preserve">106809</t>
  </si>
  <si>
    <t xml:space="preserve">ATM 204/207</t>
  </si>
  <si>
    <t xml:space="preserve">106810</t>
  </si>
  <si>
    <t xml:space="preserve">ATM 305/307</t>
  </si>
  <si>
    <t xml:space="preserve">106813</t>
  </si>
  <si>
    <t xml:space="preserve">EDC-2400/2800</t>
  </si>
  <si>
    <t xml:space="preserve">PRI robot controller(dual arm robot)</t>
  </si>
  <si>
    <t xml:space="preserve">150/200/300</t>
  </si>
  <si>
    <t xml:space="preserve">106815</t>
  </si>
  <si>
    <t xml:space="preserve">PRE 300/300B/301/301B</t>
  </si>
  <si>
    <t xml:space="preserve">98457</t>
  </si>
  <si>
    <t xml:space="preserve">PRE 200/200B</t>
  </si>
  <si>
    <t xml:space="preserve">102555</t>
  </si>
  <si>
    <t xml:space="preserve">ESC-200/212/212B/222/218</t>
  </si>
  <si>
    <t xml:space="preserve">PRI robot controller( single arm robot)</t>
  </si>
  <si>
    <t xml:space="preserve">108270</t>
  </si>
  <si>
    <t xml:space="preserve">Bruce</t>
  </si>
  <si>
    <t xml:space="preserve">BDF-41</t>
  </si>
  <si>
    <t xml:space="preserve">Horizontal diffusion furnace, 4 tube, ATM Ox</t>
  </si>
  <si>
    <t xml:space="preserve">Furnace Tube #1: Process P-Diff Gas System Gas Input Control Mass Flow 
Controllers Process Gases N2, O2, HCL, H2 Furnace Tube #2: Process Bor-Diff 
Gas System Gas Input Control Mass Flow Controllers Process Gases N2, O2, 
HCL, H2 Furnace Tube #3: Process BPSG Gas System Gas Input Control Mass 
Flow Controllers Process Gases N2, O2, HCL, H2 Furnace Tube #4: Process 
ANNEAL Gas System Gas Input Control Mass Flow Controllers Process Gases N2, 
O2, HCL, H2 Gas Cabinet YES Loading Station YES Controller 
Manufacturer/Model DDC Maximum Temperature 1,150 C Minimum Temperature 600 
C Number of Control Zones 5 Overtemperature Protection YES</t>
  </si>
  <si>
    <t xml:space="preserve">109557</t>
  </si>
  <si>
    <t xml:space="preserve">BRUKER</t>
  </si>
  <si>
    <t xml:space="preserve">Quantax 200</t>
  </si>
  <si>
    <t xml:space="preserve">Energy Dispersive X- Ray Spectrometer</t>
  </si>
  <si>
    <t xml:space="preserve">Laboratory</t>
  </si>
  <si>
    <t xml:space="preserve">108025</t>
  </si>
  <si>
    <t xml:space="preserve">VERTEX 80V</t>
  </si>
  <si>
    <t xml:space="preserve">108702</t>
  </si>
  <si>
    <t xml:space="preserve">BTU</t>
  </si>
  <si>
    <t xml:space="preserve">PV614</t>
  </si>
  <si>
    <t xml:space="preserve">Fast Firing Furnace</t>
  </si>
  <si>
    <t xml:space="preserve">Heater type IR Lamp Belt Width 36 cmConveyor Speed cm/min 56-560 15, 38Load 
station 38 cm Unload station 38 cm Number of heated zones 6 Maximum 
Temperature rating 1000�C Operation Temprature range 200-900�C Forced Air 
Cooling Length 229 cm Atmosphere, CDA , Typicle (scfh, m3/hr) 900, 25.2 
Process Exhaust, Venturi Assist 2 Electrical 400/230 VAC 112 AMP 81 KVA 
50/60 Hz Overall Length 576 cm Overall Width 96,5 cm Overall Height 184 cm</t>
  </si>
  <si>
    <t xml:space="preserve">108644</t>
  </si>
  <si>
    <t xml:space="preserve">Buehler</t>
  </si>
  <si>
    <t xml:space="preserve">Ecomet 6</t>
  </si>
  <si>
    <t xml:space="preserve">Variable speed benchtop grinder</t>
  </si>
  <si>
    <t xml:space="preserve">DEINSTALLED, WAREHOUSED</t>
  </si>
  <si>
    <t xml:space="preserve">84378</t>
  </si>
  <si>
    <t xml:space="preserve">CABLE</t>
  </si>
  <si>
    <t xml:space="preserve">CABLE
WEIGHT:400 GR. FOR THREE
</t>
  </si>
  <si>
    <t xml:space="preserve">80256</t>
  </si>
  <si>
    <t xml:space="preserve">CAJON</t>
  </si>
  <si>
    <t xml:space="preserve">SS-4-VC0</t>
  </si>
  <si>
    <t xml:space="preserve">FITTINGS</t>
  </si>
  <si>
    <t xml:space="preserve">13</t>
  </si>
  <si>
    <t xml:space="preserve">80258</t>
  </si>
  <si>
    <t xml:space="preserve">SS-8-VC0-4</t>
  </si>
  <si>
    <t xml:space="preserve">77154</t>
  </si>
  <si>
    <t xml:space="preserve">Cam York</t>
  </si>
  <si>
    <t xml:space="preserve">ST-17-08-153-01-154-01-0-00-C010(1)</t>
  </si>
  <si>
    <t xml:space="preserve">Centrifual Blower Motor 1/8hp 220V 0.65A 30 RPM</t>
  </si>
  <si>
    <t xml:space="preserve">Centrifugal Blower motor 1/8HP
220V 0.65A 50/60Hz
R.P.M. 3330/2870
</t>
  </si>
  <si>
    <t xml:space="preserve">108063</t>
  </si>
  <si>
    <t xml:space="preserve">Cambridge</t>
  </si>
  <si>
    <t xml:space="preserve">EBMF 10.5</t>
  </si>
  <si>
    <t xml:space="preserve">E-Beam Lithography</t>
  </si>
  <si>
    <t xml:space="preserve">e-beam lithography system</t>
  </si>
  <si>
    <t xml:space="preserve">108394</t>
  </si>
  <si>
    <t xml:space="preserve">CAMECA</t>
  </si>
  <si>
    <t xml:space="preserve">EX-300</t>
  </si>
  <si>
    <t xml:space="preserve">Implant Dosing Measurement</t>
  </si>
  <si>
    <t xml:space="preserve">106645</t>
  </si>
  <si>
    <t xml:space="preserve">EX300</t>
  </si>
  <si>
    <t xml:space="preserve">Secondary Ion Mass Spectrometer</t>
  </si>
  <si>
    <t xml:space="preserve">84244</t>
  </si>
  <si>
    <t xml:space="preserve">Camloc</t>
  </si>
  <si>
    <t xml:space="preserve">RS-182</t>
  </si>
  <si>
    <t xml:space="preserve">GAS SPRING</t>
  </si>
  <si>
    <t xml:space="preserve">RS-182-4677-V/30-119856-32/99
WEIGHT: 200 GR.
DIMENSION: 3 X 3 X 42 (H)
FOR EACH</t>
  </si>
  <si>
    <t xml:space="preserve">110603</t>
  </si>
  <si>
    <t xml:space="preserve">Camtek</t>
  </si>
  <si>
    <t xml:space="preserve">EM3</t>
  </si>
  <si>
    <t xml:space="preserve">TEM and SEM sample preparation system</t>
  </si>
  <si>
    <t xml:space="preserve">The EM3 was a functional until when  it was dismantled, the system 
description and user manuals are available / additionally: object marker
A dedicated, automated, timesaving and user-friendly system that enables 
TEM and SEM sample preparation for both cross section and plan view in a 
wide range of applications. Featuring a cryo-cooled, dry sawing process, 
the EM3 system prepares specimens of either crystalline or amorphous 
materials. The output sample is mounted onto a compatible stub or standard 
TEM mount that allows rework.</t>
  </si>
  <si>
    <t xml:space="preserve">110604</t>
  </si>
  <si>
    <t xml:space="preserve">CAMTEK</t>
  </si>
  <si>
    <t xml:space="preserve">XACT</t>
  </si>
  <si>
    <t xml:space="preserve">TEM/STEM sample preparation system</t>
  </si>
  <si>
    <t xml:space="preserve">The Xact performs cutting-edge TEM/STEM sample preparation in line with the 
semiconductor and nanotechnology roadmap requirements for next generation 
physical failure analysis and characterization. The Xact utilizes the new 
AIM technology, delivering excellent sample quality, significantly reduced 
turnaround times and enhanced productivity. AIM is superior to the 
traditional FIB technology; it can reduce lamella thickness below 20 nm 
over a large area with high precision, artifact-free quality and higher 
throughput. Xact introduces a twin-beam solution configured for more 
artifact-free sample clarity and precise end-point detection.
-Deinstalled and warehoused, can be inspected by appointment
-Has CE mark
-Manual is included
 </t>
  </si>
  <si>
    <t xml:space="preserve">53020</t>
  </si>
  <si>
    <t xml:space="preserve">CANON</t>
  </si>
  <si>
    <t xml:space="preserve">Fujitsu denso 4250-E921</t>
  </si>
  <si>
    <t xml:space="preserve">Hi-Voltage power supply for Canon FPA 3000 series iw i4 i5 ex3 ex4 ex5 ex6</t>
  </si>
  <si>
    <t xml:space="preserve">4 OUT channels 220-380VDC, 2,5KW</t>
  </si>
  <si>
    <t xml:space="preserve">53021</t>
  </si>
  <si>
    <t xml:space="preserve">Canon</t>
  </si>
  <si>
    <t xml:space="preserve">Fujitsu Denso 4250-E921</t>
  </si>
  <si>
    <t xml:space="preserve">4 channels Hi voltage power supply 220-380VDC-2.5KW</t>
  </si>
  <si>
    <t xml:space="preserve">110623</t>
  </si>
  <si>
    <t xml:space="preserve">FPA-5510iX</t>
  </si>
  <si>
    <t xml:space="preserve">I line stepper</t>
  </si>
  <si>
    <t xml:space="preserve">53023</t>
  </si>
  <si>
    <t xml:space="preserve">4 channels high voltage power supply, 220-380VDC, 2.5KW</t>
  </si>
  <si>
    <t xml:space="preserve">109090</t>
  </si>
  <si>
    <t xml:space="preserve">BG3-3822</t>
  </si>
  <si>
    <t xml:space="preserve">DMP Pre-amp PCB for Canon FPA 5000 ES2, 3 etc.</t>
  </si>
  <si>
    <t xml:space="preserve">ALSO BH8-2417-01
Will ship to you from our avezzano, italy 67051 warehouse.
Lead time: 2-3 weeks ARO</t>
  </si>
  <si>
    <t xml:space="preserve">109091</t>
  </si>
  <si>
    <t xml:space="preserve">BG3-1045</t>
  </si>
  <si>
    <t xml:space="preserve">REF-MEM (RT) PCB for Canon FPA 5000 ES2, 3 etc.</t>
  </si>
  <si>
    <t xml:space="preserve">Will ship to you from our NAPOLI 80123 ITALY office.</t>
  </si>
  <si>
    <t xml:space="preserve">106020</t>
  </si>
  <si>
    <t xml:space="preserve">BG3-3868-000</t>
  </si>
  <si>
    <t xml:space="preserve">MBD Unit (Masking Blade Driver) for Canon FPA5000ES2/ES2+ </t>
  </si>
  <si>
    <t xml:space="preserve">See attached photos for details.
 </t>
  </si>
  <si>
    <t xml:space="preserve">109092</t>
  </si>
  <si>
    <t xml:space="preserve">BG5-1262</t>
  </si>
  <si>
    <t xml:space="preserve">MLE-IF2 PCB for Canon FPA 5000 ES2, 3 etc.</t>
  </si>
  <si>
    <t xml:space="preserve">WILL SHIP FROM OUR NAPOLI, 80123 ITALY OFFICE</t>
  </si>
  <si>
    <t xml:space="preserve">84774</t>
  </si>
  <si>
    <t xml:space="preserve">Chuck, 8 inch</t>
  </si>
  <si>
    <t xml:space="preserve">Wafer Chuck for EX3, EX4, i4, i5</t>
  </si>
  <si>
    <t xml:space="preserve">Chuck FOR 8 INCH compatible with Canon  EX3,ex4, I4, I5 scanner
</t>
  </si>
  <si>
    <t xml:space="preserve">109094</t>
  </si>
  <si>
    <t xml:space="preserve">BG3-3831</t>
  </si>
  <si>
    <t xml:space="preserve">RT-DSP PCB for Canon FPA 5000 ES2, 3 etc.</t>
  </si>
  <si>
    <t xml:space="preserve">Will ship to you from our Napoli, italy 80123 warehouse.
Lead time: 2 ARO</t>
  </si>
  <si>
    <t xml:space="preserve">52262</t>
  </si>
  <si>
    <t xml:space="preserve">6736A</t>
  </si>
  <si>
    <t xml:space="preserve">reticle handling robot for i4, iW, i5, i5+, EX3, EX4, EX5, EX6</t>
  </si>
  <si>
    <t xml:space="preserve">Reticle handler complete with CCD reader, see picture for details</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</si>
  <si>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</si>
  <si>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</si>
  <si>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</si>
  <si>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</si>
  <si>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</si>
  <si>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</si>
  <si>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</si>
  <si>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</si>
  <si>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109098</t>
  </si>
  <si>
    <t xml:space="preserve">BY8-6168-4E0</t>
  </si>
  <si>
    <t xml:space="preserve">Canon FPA3000 EX3 Command Guide - operational manual</t>
  </si>
  <si>
    <t xml:space="preserve">Manual</t>
  </si>
  <si>
    <t xml:space="preserve">ORIGINAL CANON MANUAL ON CLEANROOM PAPER.
WILL SHIP TO YOUR FROM OUR WAREHOUSE IN AVEZZANO 67051 ITALY</t>
  </si>
  <si>
    <t xml:space="preserve">109099</t>
  </si>
  <si>
    <t xml:space="preserve">BY8-4615-0E0</t>
  </si>
  <si>
    <t xml:space="preserve">Canon FPA3000 EX3 Maintenance Guide</t>
  </si>
  <si>
    <t xml:space="preserve">99884</t>
  </si>
  <si>
    <t xml:space="preserve">FPA-5000 ES3</t>
  </si>
  <si>
    <t xml:space="preserve">Inline R Type
Spare Parts List:
Main Body
RS Piping Unit
RS-CD PCB
BG3-7879
J-BOX L
SENSOR DIST PCB
BG3-4750
LW-THSW-L2 PCB
BG3-5533
CMCD3 PCB
BG3-7936
OAS-CD2 PCB
BG3-5210
MLE-CD PCB
BG3-5231
AIN SLAVE-L2 PCB
BG5-2136
AIN SLAVE-LSTG PCB
BG3-7882
JBL-MOTHER BOARD
BG3-7883
J-BOX R
SENSOR DIST-R PCB
BG3-5531
AIN SLAVE-R3 PCB
BG5-2138
AIN SLAVE-R1 PCB
BG5-2137
UL-CD3 PCB
BG3-7525 SOLD
LM-THSW-R2 PCB
BG5-0964 SOLD
COM-CD PCB
BG3-4397
JBR-MOTHER BOARD
BG3-4392
Main Body Piping Unit
STG CD4 PCB
BG3-7842
MV-CD6 PCB
BG3-7884
STG-SV PCB
BG3-7847
LASER HEAD
LASER Head
BG5-0648
ILLUMINATION SYSTEM
INCOHIRENT
IL5-CD3 PCB
BG3-7508
RA Unit
RA Main Unit
SH CD PCB
BG3-7724
RA CD PCB
BG3-7725
Lifter Unit
Lifter Unit
BG3-4225
BUILT-IN CONSOLE
CONSOLE
CONSOLE
BG3-7321
CONTROL RACK
Upper Rack
MAIN CPU PCB
BG5-0959
MAIN CAM PCB
BG5-0060
MAIN REF MEM PCB
BG5-1890
WF-IF PCB
BG5-1255
RC-IF PCB
BG5-1256
CDIF2 PCB
BG4-8815
IP2 PCB
BG3-7743
HRD2 PCB
BG3-7744
RT-CPU PCB
BG5-0015
HUB UNIT PCB
BG5-0050
REF-MEM(RT) PCB
BG3-1045
DMP-PREAMP PCB
BG3-3822
DMP-DSP PCB
BG3-3823
AIN-IF3 PCB
BG5-0429
MLE-IF2 PCB
BG5-1262
LASER-IF PCB (WX)
BG3-3826
LASER-IF PCB (WY)
BG3-3827
LASER-IF PCB (R)
BG3-3828
LASER-IF PCB (WLC)
BG5-0009
CAP6 PCB
BG3-7924
IO-DSP PCB
BG3-3830
RT-DSP PCB
BG3-3831
CDIF5 PCB
BG5-0430
STG-PREAMP PCB
BG3-3833
PDU
BG3-3846
PM0520/0520
BG3-3842
PM0520/0520
BG3-3842
PM520/05/09/12
BG5-1889
PM1516
BG3-3843
PM1507/1208
BG3-3844
PM0520/0520
BG3-3842
PM0520/0520
BG3-3842
PM1507/1208
BG3-3844
Lower Rack
RY DRIVE
BG5-2510
RY DRIVE
BG5-2510
CRF DRIVE
BG5-2511
WSMXY DRIVE
BG5-2512
WSMXY DRIVE
BG5-2512
WSMZ DRIVE
BG5-0027
PO DRIVE
BG3-7671
SV/MV DRIVE
BG3-3880
WX DRIVE
BG5-2508
WY DRIVE
BG5-2509
WY DRIVE
BG5-2509
WZRX DRIVE
BG5-0026
WQMBY DRIVE
BG5-0025
D-LED PCB
BG3-3863
D-CON1 PCB
BG5-0012
D-CON2 PCB
BG5-0013
MBX-CD PCB
BG3-3869
PSC2-CD PCB
BG5-0014
PM2415
BG3-3854
PM2415
BG3-3854
PM2415
BG3-3854
PM2415
BG3-3854
PM1212V
BG3-3865
PM1507/1507
BG3-3864
PM2415
BG3-3854
PM2415
BG3-3854
PM2415 (SLAVE)
BG5-1211
PM2415
BG3-3854
PM2415 (SLAVE)
BG5-1211
PM05/05/05/12
BG5-1212
PM15/15/12/12
BG3-3857
PM05/05/18/18
BG3-3853
BPM1505
BG3-3890
BPM1505
BG3-3890
PM2415FAN
BG3-5548
PM1507/1507
BG3-3864
DUMMY PM
BG3-6156
PM0520/0520
BG3-3842
PM0520/0520
BG3-3842
PM2415
BG3-3854
PM0520/0520
BG3-3842
PM0520/0520
BG3-3842
PM1507/1507
BG3-3864
PM1507/1507
BG3-3864
PM1507/1507
BG3-3864
PM2415
BG3-3854
BPM1508
BG5-0020
BPM0520
BG5-0024
PDU
BG3-3846
PDU
BG3-3846
PDU
BG3-3846
PDU
BG3-3846
PDU
BG3-3846
PDU
BG3-3846
BPDU
BG3-3866
 </t>
  </si>
  <si>
    <t xml:space="preserve">109100</t>
  </si>
  <si>
    <t xml:space="preserve">BY8-6168-1E0</t>
  </si>
  <si>
    <t xml:space="preserve">Canon FPA3000 EX3 Operation Guide - operational manual</t>
  </si>
  <si>
    <t xml:space="preserve">109101</t>
  </si>
  <si>
    <t xml:space="preserve">BY8-6168-2E0</t>
  </si>
  <si>
    <t xml:space="preserve">Canon FPA3000 EX3 Parameter Guide 1 - operational manual</t>
  </si>
  <si>
    <t xml:space="preserve">109102</t>
  </si>
  <si>
    <t xml:space="preserve">BY8-6168-3E0</t>
  </si>
  <si>
    <t xml:space="preserve">Canon FPA3000 EX3 Parameter Guide 2 - operational manual</t>
  </si>
  <si>
    <t xml:space="preserve">109103</t>
  </si>
  <si>
    <t xml:space="preserve">BY8-6168-5E0</t>
  </si>
  <si>
    <t xml:space="preserve">Canon FPA3000 EX3 Reticle Guide2 - operational manual</t>
  </si>
  <si>
    <t xml:space="preserve">109105</t>
  </si>
  <si>
    <t xml:space="preserve">FPA 5500 iZ</t>
  </si>
  <si>
    <t xml:space="preserve">i-line stepper</t>
  </si>
  <si>
    <t xml:space="preserve">-Still installed
-Can be inspected by appointment
1) no Stepper Computer Workstation harddisk installed
2) No Hg-lamp installed
3) No UPS unit installed.
4) 1x Reticle SMIF pod indexer missing
End of Life status: all optical parts, exposure shutter unit, main shutter 
unit, wafer robot system, reticle robot system-Sales method: Closed 
bidding. If you would be interested to purchase this machine then, please 
submit your best offer for consideration. The offer is made subject to 
inspection (i.e. Following inspection of the tool, the offer can be 
revised.).
Basic performance Specification for the Canon FPA5500iZ:
Reticle Size: 6 inch, 1/4 inch thick
Wafer Size: 8” &amp; 12” Capable
Magnification: X 1/4
Numerical Aperture: 0.57 to 0.45
Image Field: 26mm x 33mm
Printing Wavelength: i-line (365 nm)
Resolution: 0.35 um
Illumination Lamp: 4.5kW Ultra high pressure Hg lamp
Illumination Uniformity: &lt;= 1.0%
Intensity: &gt;= 14000W/m2
Alignment Modes: TTL Off-Axis He-Ne TV
                 TTL Off-Axis Broad Band TV
Alignment Light Source: He-Ne laser (633 nm)
                        Broad Band (Halogen lamp)
Alignment Accuracy: &gt;= 0.40nm (mean + 3 sigma)
Throughput: &gt;= 160 wafers/hour (8”, 30 shots)
            &gt;= 100wafers/hour (12”, 64 shots)
Wafer Leveling: Die-by-die tilt
                Global tilt</t>
  </si>
  <si>
    <t xml:space="preserve">53041</t>
  </si>
  <si>
    <t xml:space="preserve">Wafer Cassette holder for FPA 3000 SERIES iw i4 i5 ex3 ex4 ex5 ex6</t>
  </si>
  <si>
    <t xml:space="preserve">8" cassette holder, see pictures for details</t>
  </si>
  <si>
    <t xml:space="preserve">53042</t>
  </si>
  <si>
    <t xml:space="preserve">FPA 3000 series</t>
  </si>
  <si>
    <t xml:space="preserve">Cassette holder for Canon FPA 3000 series iw i4 i5 ex3 ex4 ex5 ex6</t>
  </si>
  <si>
    <t xml:space="preserve">8" Cassette holder, see pictures for details</t>
  </si>
  <si>
    <t xml:space="preserve">53045</t>
  </si>
  <si>
    <t xml:space="preserve">Fuji Electric PE-LA 5 D</t>
  </si>
  <si>
    <t xml:space="preserve">Inductive Linear Sensor for Canon FPA 3000 series iw i4 i5 ex3 ex4 ex5 ex6</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</si>
  <si>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</si>
  <si>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</si>
  <si>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</si>
  <si>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</si>
  <si>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</si>
  <si>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</si>
  <si>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</si>
  <si>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</si>
  <si>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</si>
  <si>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</si>
  <si>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</si>
  <si>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</si>
  <si>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103739</t>
  </si>
  <si>
    <t xml:space="preserve">BG4-6746 BH8-1822-01 BG8-2683</t>
  </si>
  <si>
    <t xml:space="preserve">WF/RC IF PCB FOR CANON I-LINE STEPPERS</t>
  </si>
  <si>
    <t xml:space="preserve">-Canon BH8-1822-01 BG4-6746 WF/RC-IF BG8-2683 PCB</t>
  </si>
  <si>
    <t xml:space="preserve">103741</t>
  </si>
  <si>
    <t xml:space="preserve">ROCKY KS-112</t>
  </si>
  <si>
    <t xml:space="preserve">SCSI EXT PCB FOR CANON FPA  SERIES I-LINE STEPPERS</t>
  </si>
  <si>
    <t xml:space="preserve">-Canon / Rocky KS-112 SCSI EXT PCB
Also marked with the following markings:-
DS3695
6416
665C0475</t>
  </si>
  <si>
    <t xml:space="preserve">53056</t>
  </si>
  <si>
    <t xml:space="preserve">BG9-4757, BH8--1069-01</t>
  </si>
  <si>
    <t xml:space="preserve">AF DRV board for Canon FPA 1550 series</t>
  </si>
  <si>
    <t xml:space="preserve">AF driver board from Canon 1550 MarkIV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</si>
  <si>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</si>
  <si>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</si>
  <si>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</si>
  <si>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</si>
  <si>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</si>
  <si>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</si>
  <si>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</si>
  <si>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</si>
  <si>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53059</t>
  </si>
  <si>
    <t xml:space="preserve">BH8-1073-01, BG9-4763, BG8-3114</t>
  </si>
  <si>
    <t xml:space="preserve">PA SENSER board</t>
  </si>
  <si>
    <t xml:space="preserve">PA SENSER board, suitable FOR Canon 1550MarkIV series.
REV D
SENSOR V1.0 4J BH6-1240</t>
  </si>
  <si>
    <t xml:space="preserve">53060</t>
  </si>
  <si>
    <t xml:space="preserve">BG9-4764, BH8-1074-01</t>
  </si>
  <si>
    <t xml:space="preserve">PA CCD board for Canon FPA series steppers</t>
  </si>
  <si>
    <t xml:space="preserve">PA CCD board, suitable for Canon 1550MarkIV series</t>
  </si>
  <si>
    <t xml:space="preserve">53061</t>
  </si>
  <si>
    <t xml:space="preserve">BG9-4762, BG8-3113, BH8-1072-01</t>
  </si>
  <si>
    <t xml:space="preserve">PA STAGE board for Canon 1550MarkIV series</t>
  </si>
  <si>
    <t xml:space="preserve">PA STAGE board suitable for Canon 1550MarkIV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</si>
  <si>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</si>
  <si>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</si>
  <si>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</si>
  <si>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</si>
  <si>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</si>
  <si>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</si>
  <si>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</si>
  <si>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</si>
  <si>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53066</t>
  </si>
  <si>
    <t xml:space="preserve">BG4-6365</t>
  </si>
  <si>
    <t xml:space="preserve">PPC Pellicle Particle Checker Unit for FPA3000 series stepper  iw i4 i5 ex3 ex4 ex5 ex6</t>
  </si>
  <si>
    <t xml:space="preserve">Complete subassembly of Pellicle Particle Checker, Boards inside P/N 
BG9-5989, BH8-1843-02, BG8-2693, suitable to work with Canon FPA3000 series</t>
  </si>
  <si>
    <t xml:space="preserve">53074</t>
  </si>
  <si>
    <t xml:space="preserve">FPA 3000 series extended reticle library</t>
  </si>
  <si>
    <t xml:space="preserve">extended reticle library</t>
  </si>
  <si>
    <t xml:space="preserve">Extended reticle library. Compatible with Canon EX series, i4, i5, i5+, 
i5++</t>
  </si>
  <si>
    <t xml:space="preserve">109163</t>
  </si>
  <si>
    <t xml:space="preserve">FPA-5500 iZa</t>
  </si>
  <si>
    <t xml:space="preserve">i-Line Wide-Field Stepper</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</si>
  <si>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</si>
  <si>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</si>
  <si>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</si>
  <si>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</si>
  <si>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52341</t>
  </si>
  <si>
    <t xml:space="preserve">BH8-1980-01</t>
  </si>
  <si>
    <t xml:space="preserve">EASRCD Board for Canon FPA 3000 series iw i4 i5 ex3 ex4 ex5 ex6</t>
  </si>
  <si>
    <t xml:space="preserve">EASRCD Board from Canon series</t>
  </si>
  <si>
    <t xml:space="preserve">52342</t>
  </si>
  <si>
    <t xml:space="preserve">BH8-1979-01</t>
  </si>
  <si>
    <t xml:space="preserve">EASLCD Board for Canon FPA 3000 series iw i4 i5 ex3 ex4 ex5 ex6</t>
  </si>
  <si>
    <t xml:space="preserve">EASLCD suitable for Canon FPA3000 Series  iw i4 i5 ex3 ex4 ex5 ex6</t>
  </si>
  <si>
    <t xml:space="preserve">108919</t>
  </si>
  <si>
    <t xml:space="preserve">FPA-6000 ES5</t>
  </si>
  <si>
    <t xml:space="preserve">248 nm  (KrF) excimer exposure system</t>
  </si>
  <si>
    <t xml:space="preserve">103800</t>
  </si>
  <si>
    <t xml:space="preserve">BG3-7842</t>
  </si>
  <si>
    <t xml:space="preserve">STG CD4 PCB, for Canon FPA5000 ES3 scanner</t>
  </si>
  <si>
    <t xml:space="preserve">STG CD4 PCB  BG3-7842 1EA
 AS-IS used, EXW</t>
  </si>
  <si>
    <t xml:space="preserve">80249</t>
  </si>
  <si>
    <t xml:space="preserve">BG4-7001</t>
  </si>
  <si>
    <t xml:space="preserve">BH8-1837-01 PCB</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</si>
  <si>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</si>
  <si>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</si>
  <si>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</si>
  <si>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</si>
  <si>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52347</t>
  </si>
  <si>
    <t xml:space="preserve">BH8-1938-01BG4-9386 BG8-2694</t>
  </si>
  <si>
    <t xml:space="preserve">CD90-CD PCB assembly</t>
  </si>
  <si>
    <t xml:space="preserve">Board suitable for Canon FPA3000 series</t>
  </si>
  <si>
    <t xml:space="preserve">103804</t>
  </si>
  <si>
    <t xml:space="preserve">BG4-6466-000</t>
  </si>
  <si>
    <t xml:space="preserve">ZMI 1000 A Board (Y)</t>
  </si>
  <si>
    <t xml:space="preserve">with 3 months warranty</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</si>
  <si>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</si>
  <si>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</si>
  <si>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</si>
  <si>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</si>
  <si>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80253</t>
  </si>
  <si>
    <t xml:space="preserve">FPA1550 MK4 (Spares)</t>
  </si>
  <si>
    <t xml:space="preserve">Targetting lenses for Canon Stepper qty 2</t>
  </si>
  <si>
    <t xml:space="preserve">qty 2 lenses as shown in the photos, from a Canon FPA 1550 Mark IV stepper.
Will ship to you from our warehouse in Avezzano (AQ) 67051 Italy.</t>
  </si>
  <si>
    <t xml:space="preserve">52360</t>
  </si>
  <si>
    <t xml:space="preserve">Zenith ZPS-250</t>
  </si>
  <si>
    <t xml:space="preserve">Multiple voltage power supply 250Watts</t>
  </si>
  <si>
    <t xml:space="preserve">Multiple voltage power supply, submodule on Canon FPA3000 series</t>
  </si>
  <si>
    <t xml:space="preserve">52365</t>
  </si>
  <si>
    <t xml:space="preserve">Shimaden SR25-2P-N-00699609</t>
  </si>
  <si>
    <t xml:space="preserve">PDI CONTROLLER for Canon FPA 3000 series iw i4 i5 ex3 ex4 ex5 ex6</t>
  </si>
  <si>
    <t xml:space="preserve">Temperature controller that fits in Canon FPA3000 series
canon pn y75-1143-000</t>
  </si>
  <si>
    <t xml:space="preserve">52366</t>
  </si>
  <si>
    <t xml:space="preserve">Temperature controller that fits ino Canon FPA3000 series
CANON P /N Y75-1143-000</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</si>
  <si>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</si>
  <si>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</si>
  <si>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</si>
  <si>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</si>
  <si>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103826</t>
  </si>
  <si>
    <t xml:space="preserve">BG3-2428-000</t>
  </si>
  <si>
    <t xml:space="preserve">8 inch and12 inch PIN wafer chuck ASS’Y ( FPA 5000 ES2, ES2+, ES3, ES4)</t>
  </si>
  <si>
    <t xml:space="preserve">SEE PHOTOS FOR DETAILS</t>
  </si>
  <si>
    <t xml:space="preserve">108946</t>
  </si>
  <si>
    <t xml:space="preserve">FPA-5000 ES3 (Spare Parts)</t>
  </si>
  <si>
    <t xml:space="preserve">Spare Parts for Canon ES series DUV scanners</t>
  </si>
  <si>
    <t xml:space="preserve">12</t>
  </si>
  <si>
    <t xml:space="preserve">Part Number    Description            qty
BG3-1045    REF-MEM(RT) PCB     1
BG3-3822    DMP-PREAMP PCB        1
BG3-3833    STG-PREAMP            1
BG3-3863    D-LED PCB            1
BG4-8815    CDIF2 PCB            1
BG5-0012    D-CON1 PCB            1
BG5-0013    D-CON2 PCB            1
BG5-0429    AIN-IF3 PCB            1
BG5-0430    CDIF5 PCB            1
BG5-1255    WF-IF PCB            1
BG5-1256    RC-IF PCB            1
BG5-1262    MLE-IF2 PCB            1</t>
  </si>
  <si>
    <t xml:space="preserve">52379</t>
  </si>
  <si>
    <t xml:space="preserve">FUJITSU DENSO 4247-E924</t>
  </si>
  <si>
    <t xml:space="preserve">1ch power supply module for Canon FPA 3000 series iw i4 i5 ex3 ex4 ex5 ex6</t>
  </si>
  <si>
    <t xml:space="preserve">1 channel power supply module, 24V 10A out</t>
  </si>
  <si>
    <t xml:space="preserve">52380</t>
  </si>
  <si>
    <t xml:space="preserve">Fujitsu Denso 4247-E924</t>
  </si>
  <si>
    <t xml:space="preserve">52381</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</si>
  <si>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</si>
  <si>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</si>
  <si>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</si>
  <si>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</si>
  <si>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52384</t>
  </si>
  <si>
    <t xml:space="preserve">108968</t>
  </si>
  <si>
    <t xml:space="preserve">FPA3000 EX3/ i5 (Spares)</t>
  </si>
  <si>
    <t xml:space="preserve">Masking Blade Assembly</t>
  </si>
  <si>
    <t xml:space="preserve">Making blade assembly for a Canon FPA3000 EX3 DUV scanner. Also compatible 
with Canon FPA 3000 i5
Removed from a working tool using the OEM proceedures.
 </t>
  </si>
  <si>
    <t xml:space="preserve">102059</t>
  </si>
  <si>
    <t xml:space="preserve">FPA 3000 SERIES i4 i5 EX3 EX4 EX5 EX6</t>
  </si>
  <si>
    <t xml:space="preserve">Various Spare Parts and lenses  for Canon FPA-3000 Series</t>
  </si>
  <si>
    <t xml:space="preserve">27</t>
  </si>
  <si>
    <t xml:space="preserve">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</si>
  <si>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 xml:space="preserve">105904</t>
  </si>
  <si>
    <t xml:space="preserve">DMP-PREAMP PCB</t>
  </si>
  <si>
    <t xml:space="preserve">Removed from a working tool.
 </t>
  </si>
  <si>
    <t xml:space="preserve">105905</t>
  </si>
  <si>
    <t xml:space="preserve">BG3-3823</t>
  </si>
  <si>
    <t xml:space="preserve">DMP-DSP PCB</t>
  </si>
  <si>
    <t xml:space="preserve">Removed from a working tool.</t>
  </si>
  <si>
    <t xml:space="preserve">52153</t>
  </si>
  <si>
    <t xml:space="preserve">Chuck Tool</t>
  </si>
  <si>
    <t xml:space="preserve">Chuck Tool for EX3, EX4, i4, i5</t>
  </si>
  <si>
    <t xml:space="preserve">Chuck tool for maintenance EX3,ex4, I4, I5 scanner
S/N 142</t>
  </si>
  <si>
    <t xml:space="preserve">84412</t>
  </si>
  <si>
    <t xml:space="preserve">FPA 1550 Mark IV (Spares)</t>
  </si>
  <si>
    <t xml:space="preserve">Wafer transfer arm INL-WS1 for CANON FPA 1550 MARK 4</t>
  </si>
  <si>
    <t xml:space="preserve">WEIGHT: KG.2,2
DIMENSION: 36 X 31 X 10 (H)</t>
  </si>
  <si>
    <t xml:space="preserve">95427</t>
  </si>
  <si>
    <t xml:space="preserve">FPA2500i3</t>
  </si>
  <si>
    <t xml:space="preserve">-Configured for 6 inch Wafer, 5 inch reticle use.
-Currently stored in clean warehouse, the system will be consigned to you 
EXW Incoterms.
-Before purchase, we will power up the system, and demonstrate it to you in 
operation.
-Inspection is available by appointment.
Reticle Size: 6”, 0.25”t, [5”, 0.09”t option]
Wafer Size: 6”, 8” [ 4”, 5” option ]
Magnification: X 1/5
Numerical Aperture: 0.60 / 0.52
Image Field: 20 mm [(X)11.14mm x (Y)26mm)
Printing Wavelength: i-line (365 nm)
Resolution: 0.40 μm
Illumination Lamp: 1.5 kW super-high-pressure
mercury lamp
Illumination Uniformity: ≤ 1.2 %
Alignment Modes: TTL Off-Axis He-Ne TV
TTL Off-Axis Broad Band TV
Alignment Light Source: He-Ne laser (633 nm)
Broad Band (Halogen lamp)
Alignment Accuracy: ≤ 0.1 μm (mean + 3 σ)
Throughput: ≥ 68 wafers / hour (6”, 32 shots)
≥ 44 wafers / hour (8”, 60 shot)
Wafer Leveling: Die-by-die tilt, Global tilt</t>
  </si>
  <si>
    <t xml:space="preserve">95428</t>
  </si>
  <si>
    <t xml:space="preserve">FPA-2500i2</t>
  </si>
  <si>
    <t xml:space="preserve">i Line Stepper</t>
  </si>
  <si>
    <t xml:space="preserve">-Missing chamber, cover
-see attached photos for details
-in inspection facility
-sold "as is" conditions only.</t>
  </si>
  <si>
    <t xml:space="preserve">109020</t>
  </si>
  <si>
    <t xml:space="preserve">FPA 5000 ES3</t>
  </si>
  <si>
    <t xml:space="preserve">KrF Scanner (Scanner)</t>
  </si>
  <si>
    <t xml:space="preserve">De-installed, warehoused. Can be inspected by appointment. Photos and more 
technical information is available on request.
Litel data for Canon ES3
Total RMS 33.9
0 Theta RMS 11.6
1 Theta RMS 21.4
2 Theta RMS 25.5
3 Theta RMS 10.5
The Zernike Polynomial data of the lens is available on request.</t>
  </si>
  <si>
    <t xml:space="preserve">106205</t>
  </si>
  <si>
    <t xml:space="preserve">FPA3000 EX3 (Spares)</t>
  </si>
  <si>
    <t xml:space="preserve">Complete Illuminator Assembly</t>
  </si>
  <si>
    <t xml:space="preserve">The complete illuminator assembly for a Canon FPA3000 EX3 DUV scanner.
Removed from a working tool using the OEM proceedures.
THE MAIN PARTS INCLUDED IN THIS ASSEMBLY ARE:
Cond. lens
Fly lens
Masking blade
2nd zoom lens
2nd cond lens
Cool mirrors back and front x2
C- lens on front</t>
  </si>
  <si>
    <t xml:space="preserve">52446</t>
  </si>
  <si>
    <t xml:space="preserve">Fujitsu Denso 4249-E922</t>
  </si>
  <si>
    <t xml:space="preserve">4 channel power supply module for Canon FPA 3000 series iw i4 i5 ex3 ex4 ex5 ex6</t>
  </si>
  <si>
    <t xml:space="preserve">4 channels power supply module 12V-1.5A each</t>
  </si>
  <si>
    <t xml:space="preserve">52447</t>
  </si>
  <si>
    <t xml:space="preserve">Fujitsu Denso 4249-E923</t>
  </si>
  <si>
    <t xml:space="preserve">4 channels power supply module 15V-1.5A each</t>
  </si>
  <si>
    <t xml:space="preserve">52448</t>
  </si>
  <si>
    <t xml:space="preserve">FUJITSU DENSO 4248-E922</t>
  </si>
  <si>
    <t xml:space="preserve">2 channels power supply module for canon fpa 3000 series </t>
  </si>
  <si>
    <t xml:space="preserve">2 channels power supply module, both channel 12V-8A</t>
  </si>
  <si>
    <t xml:space="preserve">52450</t>
  </si>
  <si>
    <t xml:space="preserve">Fuji Denso 4248-E921</t>
  </si>
  <si>
    <t xml:space="preserve">2 channels power supply module for Canon FPA 3000 series iw i4 i5 ex3 ex4 ex5 ex6</t>
  </si>
  <si>
    <t xml:space="preserve">2 channels power supply module both ch 5V-20A</t>
  </si>
  <si>
    <t xml:space="preserve">106229</t>
  </si>
  <si>
    <t xml:space="preserve">BG4-8595</t>
  </si>
  <si>
    <t xml:space="preserve">FPA 3000 series, iA scope objective lens unit, RIGHT</t>
  </si>
  <si>
    <t xml:space="preserve">see attached photos for details</t>
  </si>
  <si>
    <t xml:space="preserve">106230</t>
  </si>
  <si>
    <t xml:space="preserve">BG4-8594</t>
  </si>
  <si>
    <t xml:space="preserve">FPA 3000 SERIES iA scope objective lens unit, Left</t>
  </si>
  <si>
    <t xml:space="preserve">106231</t>
  </si>
  <si>
    <t xml:space="preserve">BG4-85??</t>
  </si>
  <si>
    <t xml:space="preserve">FPA 3000 series iA scope relay lens unit, Right</t>
  </si>
  <si>
    <t xml:space="preserve">106232</t>
  </si>
  <si>
    <t xml:space="preserve">BG4-8599</t>
  </si>
  <si>
    <t xml:space="preserve">FPA 3000 series iA scope shutter unit</t>
  </si>
  <si>
    <t xml:space="preserve">106233</t>
  </si>
  <si>
    <t xml:space="preserve">FPA 3000 EX3/4/5/6 (Spares)</t>
  </si>
  <si>
    <t xml:space="preserve">FPA 3000 EX series iA scope lens unit</t>
  </si>
  <si>
    <t xml:space="preserve">106234</t>
  </si>
  <si>
    <t xml:space="preserve">BG4-8601</t>
  </si>
  <si>
    <t xml:space="preserve">Electro-Optical part for FPA 3000 EX series iA scope</t>
  </si>
  <si>
    <t xml:space="preserve">105979</t>
  </si>
  <si>
    <t xml:space="preserve">BG4-6736</t>
  </si>
  <si>
    <t xml:space="preserve">Reticle handling robot for ES2 ES3 ES4 i5 etc</t>
  </si>
  <si>
    <t xml:space="preserve">Used. Removed from a working tool.</t>
  </si>
  <si>
    <t xml:space="preserve">106235</t>
  </si>
  <si>
    <t xml:space="preserve">iA scope for FPA 3000 Ex4,5,6 (Spares)</t>
  </si>
  <si>
    <t xml:space="preserve">Texas Instruments MC780P CCD EX Camera (Left)</t>
  </si>
  <si>
    <t xml:space="preserve">106236</t>
  </si>
  <si>
    <t xml:space="preserve">Texas Instruments MC780P CCD EX Camera (Right)</t>
  </si>
  <si>
    <t xml:space="preserve">see attached photos for details
includes mounting flange as shown in the photos</t>
  </si>
  <si>
    <t xml:space="preserve">106237</t>
  </si>
  <si>
    <t xml:space="preserve">Issoku FG199 lead screw</t>
  </si>
  <si>
    <t xml:space="preserve">106238</t>
  </si>
  <si>
    <t xml:space="preserve">BG4-8597</t>
  </si>
  <si>
    <t xml:space="preserve">Electro-optical assembly from iA scope for FPA 3000 Ex4,5,6</t>
  </si>
  <si>
    <t xml:space="preserve">see attached photos for details
 </t>
  </si>
  <si>
    <t xml:space="preserve">106646</t>
  </si>
  <si>
    <t xml:space="preserve">CARL ZEISS</t>
  </si>
  <si>
    <t xml:space="preserve">S-INDUSTRIAL </t>
  </si>
  <si>
    <t xml:space="preserve">193 NM LASER</t>
  </si>
  <si>
    <t xml:space="preserve">Deinstalled, warehoused. Can be inspected by appointment.MAX AVERAGE POWER 
5w O/P 12 mj / pulse Durantion: 15 ns Wavelength: 193 nm</t>
  </si>
  <si>
    <t xml:space="preserve">108976</t>
  </si>
  <si>
    <t xml:space="preserve">Cascade</t>
  </si>
  <si>
    <t xml:space="preserve">Summit 12000</t>
  </si>
  <si>
    <t xml:space="preserve">Semi-automatic probe station with Shield Box, Temptronic thermal chuck -65C to 200 C</t>
  </si>
  <si>
    <t xml:space="preserve">Cascade Microtech Summit 12000 200mm Prober-with Attoguard Microchamber
-65°C to 200°C Shielded Chuck.
Cascade Microtech 12000 8 inch Semiautomatic Analytical Probe Station with 
MicroChamber™ that isolates and shields the chuck from the external 
environment.
This eliminates electromagnetic and electrostatic interference, which 
allows you to make measurements inside an integral, low noise, shielded and 
light-tight chamber.
Whatever the application, DC or RF device characterization, wafer-level 
reliability, e-test, modeling, or yield enhancement, the 12000 series probe 
stations assure best in the world measurements.
Sturdy optics bridge mount with 8” x 5” travel for analytical microscope.
A zoom microscope with single long working distance objective.
Includes vibration isolation table.
Includes 200mm thermal chuck with Temptronic temperature controller and a 
temperature range of -65°C to +200°C.  
Easy to use graphical user interface guides you through prober tasks.
X-Y stage resolution 0.1 micron with an accuracy of +/- 2 micron.
Capable of handling up to eight vacuum mount, magnetic-mount or fixed mount 
positioners.
Safely load and unload DUTs with easy access and locking roll out stage.</t>
  </si>
  <si>
    <t xml:space="preserve">109579</t>
  </si>
  <si>
    <t xml:space="preserve">Cascade Microtech</t>
  </si>
  <si>
    <t xml:space="preserve">Summit 11000M</t>
  </si>
  <si>
    <t xml:space="preserve">83551</t>
  </si>
  <si>
    <t xml:space="preserve">Celerity</t>
  </si>
  <si>
    <t xml:space="preserve">UFC-1660</t>
  </si>
  <si>
    <t xml:space="preserve">MFC C2F6 5SLPM</t>
  </si>
  <si>
    <t xml:space="preserve">Used UFC-1660 with calibration data from 2009
RNG: 5SLPM
Gas: C2F6
includes port for monitoring via PC.
See photos.
</t>
  </si>
  <si>
    <t xml:space="preserve">109967</t>
  </si>
  <si>
    <t xml:space="preserve">Celtec</t>
  </si>
  <si>
    <t xml:space="preserve">CD1-12</t>
  </si>
  <si>
    <t xml:space="preserve">109968</t>
  </si>
  <si>
    <t xml:space="preserve">109969</t>
  </si>
  <si>
    <t xml:space="preserve">CK180-6</t>
  </si>
  <si>
    <t xml:space="preserve">109970</t>
  </si>
  <si>
    <t xml:space="preserve">109971</t>
  </si>
  <si>
    <t xml:space="preserve">CM13</t>
  </si>
  <si>
    <t xml:space="preserve">Sold Ex-Works, UK Office , Part Number:CM13-6</t>
  </si>
  <si>
    <t xml:space="preserve">56140</t>
  </si>
  <si>
    <t xml:space="preserve">CentroTherm</t>
  </si>
  <si>
    <t xml:space="preserve">DO 12.000-200-FF-HTO-CAN-NT4.0</t>
  </si>
  <si>
    <t xml:space="preserve">Belt Reflow Furnace for solar cell production (Fast Firing Furnace) with Dryer</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</si>
  <si>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https://www.youtube.com/watch?v=I7wetRMVri4&amp;feature=g-upl&amp;context=G2f7c1cdAUAAAAAAABAA
&lt;http://www.youtube.com/watch?v=I7wetRMVri4&amp;feature=g-upl&amp;context=G2f7c1cdAUAAAAAAABAA&gt;
https://www.youtube.com/watch?v=IEeEiiciwWE&amp;feature=g-upl&amp;context=G2c347c2AUAAAAAAACAA
&lt;https://www.youtube.com/watch?v=IEeEiiciwWE&amp;feature=g-upl&amp;context=G2c347c2AUAAAAAAACAA&gt;
Specifications
**************
Throughput 720 - 4320 wafers/h, belt speeds 1200-7200 mm/min
Standard setting Throughput: 3300 wafers/h, belt speed 5500 mm/min
Heating system 6 zone firing, 4 zones dryer temperature control
Process gas compressed dry air / air
Process temperatures drying temperature 250 - 500 °C
burnout temperature 500 - 600 °C
peak temperature 800 - 1050 °C
Overall cross belt uniformity typical: ± 3 °C [guaranteed: ± 5 °C]
Belt speed accuracy ± 0.5%
</t>
  </si>
  <si>
    <t xml:space="preserve">56144</t>
  </si>
  <si>
    <t xml:space="preserve">Centrotherm</t>
  </si>
  <si>
    <t xml:space="preserve">Centronic E2000</t>
  </si>
  <si>
    <t xml:space="preserve">Horizontal diffusion furnace for POCl3 doping</t>
  </si>
  <si>
    <t xml:space="preserve">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http://www.fabsurplus.com/sdi_catalog/salesItemDetails.do?id=56310
&lt;https://www.fabsurplus.com/sdi_catalog/salesItemDetails.do?id=56310&gt; )
Serial number: 1_33596.11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https://www.youtube.com/watch?v=MDYs7vuNYiM&amp;feature=g-upl&amp;context=G23bfb3fAUAAAAAAADAA
&lt;https://www.youtube.com/watch?v=MDYs7vuNYiM&amp;feature=g-upl&amp;context=G23bfb3fAUAAAAAAADAA&gt;</t>
  </si>
  <si>
    <t xml:space="preserve">103801</t>
  </si>
  <si>
    <t xml:space="preserve">DO-FF-8600-300</t>
  </si>
  <si>
    <t xml:space="preserve">Belt Reflow Furnace for solar cell production (Fast Firing Furnace)</t>
  </si>
  <si>
    <t xml:space="preserve">This Furnace is stored in our warehouse in Avezano, Italy.
Dimensions (WxHxD): 380x190x125 + 380x220x125
Inpection available upon request.
Please check the pictures below for more information.
Solar Cell Fast Firing Furnace.
Operational prior to de-installation
Has been used in-line with Baccini Solar Cell Line
Up to 280 mm cell size (Belt width is 300 mm).
Single Lane process
Projekt-Nr: 1_46435.28
Year of Manufacture: 2008
Weight/ Gewicht: 3500 kg
Leistung Pges: 110 KW
Strom Imax: 150 A
Spannung: 3/N 400/230V
Frequenz: 50 Hz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Typical Processes Run
*********************
Firing of front side metallization.
Alloying of rear side contact.
Overcompensation of n+ layer and gettering of metallic impurities (Al-BSF 
formation).
Release of hydrogen from SiN-layer for passivation of silicon defects.
Drying of metallization paste.
Specifications
**************
Throughput 720 - 4320 wafers/h, belt speeds 1200-7200 mm/min
Standard setting Throughput: 3300 wafers/h, belt speed 5500 mm/min
Heating system 6 zone firing, 4 zones dryer temperature control
Process gas compressed dry air / air
Process temperatures drying temperature 250 - 500 °C
burnout temperature 500 - 600 °C
peak temperature 800 - 1050 °C
Overall cross belt uniformity typical: ± 3 °C [guaranteed: ± 5 °C]
Belt speed accuracy ± 0.5%</t>
  </si>
  <si>
    <t xml:space="preserve">77190</t>
  </si>
  <si>
    <t xml:space="preserve">Quartz Door</t>
  </si>
  <si>
    <t xml:space="preserve">Centrotherm/semco(?) Quartz Door, new</t>
  </si>
  <si>
    <t xml:space="preserve">New in the box, like new
Centrotherm quartz door, believed to have been made by Semco Engineering
From our 10MW Solar line, located in Boerne, TX
 </t>
  </si>
  <si>
    <t xml:space="preserve">98721</t>
  </si>
  <si>
    <t xml:space="preserve">E 2000 HT 300-4</t>
  </si>
  <si>
    <t xml:space="preserve">Horizontal Diffusion Furnace for POCl3 doping</t>
  </si>
  <si>
    <t xml:space="preserve">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Up to 4 independently operated stacked quartz tube reactor chambers 
    No thermal interference between different tubes due to advanced water
    cooling system 
    Optionally available for low pressure processes 
    Minimized facility heat load reduces cost of ownership 
    Processes Diffusion (POCl3,
Dimensions (WxHxD): 240x270x145
Quartzware is not included.</t>
  </si>
  <si>
    <t xml:space="preserve">98722</t>
  </si>
  <si>
    <t xml:space="preserve">E 2000 HT 320-4</t>
  </si>
  <si>
    <t xml:space="preserve">Nitride Diffusion Furnace for Anti-refective coating PECVD</t>
  </si>
  <si>
    <t xml:space="preserve">Dimensions (WxHxD): 240x270x145
Quartzware is not included.
Heater type: White John 600 Celcius</t>
  </si>
  <si>
    <t xml:space="preserve">98725</t>
  </si>
  <si>
    <t xml:space="preserve">Loader</t>
  </si>
  <si>
    <t xml:space="preserve">Furnace Loader</t>
  </si>
  <si>
    <t xml:space="preserve">Dimensions (WxHxD): 366x267x140
Quartz parts not included.</t>
  </si>
  <si>
    <t xml:space="preserve">108805</t>
  </si>
  <si>
    <t xml:space="preserve">CHA</t>
  </si>
  <si>
    <t xml:space="preserve">SEC-1000</t>
  </si>
  <si>
    <t xml:space="preserve">E-Beam Evaporator with CV-8 Power Supply</t>
  </si>
  <si>
    <t xml:space="preserve">83874</t>
  </si>
  <si>
    <t xml:space="preserve">CKD</t>
  </si>
  <si>
    <t xml:space="preserve">M4SB080-M5</t>
  </si>
  <si>
    <t xml:space="preserve">AHM-850 SOLENOID VALVE</t>
  </si>
  <si>
    <t xml:space="preserve">D3-7-3
VOLTS: DC24V
WEIGHT: 250 GR.
DIMENSION: 10 CM. X 10 CM. X 7,5 CM. (H) FOR EACH
</t>
  </si>
  <si>
    <t xml:space="preserve">83870</t>
  </si>
  <si>
    <t xml:space="preserve">CKD CYCLINDER</t>
  </si>
  <si>
    <t xml:space="preserve">CSD2-L-32-20</t>
  </si>
  <si>
    <t xml:space="preserve">CYLYNDER</t>
  </si>
  <si>
    <t xml:space="preserve">0</t>
  </si>
  <si>
    <t xml:space="preserve">CKD CYLINDER
WEIGHT: 400 GR.
DIMENSION:5 CM. X 5 CM. X 6,5 CM.(H)</t>
  </si>
  <si>
    <t xml:space="preserve">83871</t>
  </si>
  <si>
    <t xml:space="preserve">CKD CYLINDER
WEIGHT: 150 GR.
DIMENSION:3 CM. X 3 CM. X 7 CM.(H)</t>
  </si>
  <si>
    <t xml:space="preserve">103731</t>
  </si>
  <si>
    <t xml:space="preserve">CKPlas</t>
  </si>
  <si>
    <t xml:space="preserve">TS-MT510-J, TS-MT610-J</t>
  </si>
  <si>
    <t xml:space="preserve">Transfer Solar Wafer Cassette</t>
  </si>
  <si>
    <r>
      <rPr>
        <sz val="8"/>
        <rFont val="Arial"/>
        <family val="0"/>
      </rPr>
      <t xml:space="preserve">QTY 20 PIECES
● Dimension</t>
    </r>
    <r>
      <rPr>
        <sz val="8"/>
        <rFont val="Noto Sans CJK SC"/>
        <family val="2"/>
      </rPr>
      <t xml:space="preserve">：</t>
    </r>
    <r>
      <rPr>
        <sz val="8"/>
        <rFont val="Arial"/>
        <family val="0"/>
      </rPr>
      <t xml:space="preserve">220(L) x 220(W) x 550(H)mm
● Weight</t>
    </r>
    <r>
      <rPr>
        <sz val="8"/>
        <rFont val="Noto Sans CJK SC"/>
        <family val="2"/>
      </rPr>
      <t xml:space="preserve">：</t>
    </r>
    <r>
      <rPr>
        <sz val="8"/>
        <rFont val="Arial"/>
        <family val="0"/>
      </rPr>
      <t xml:space="preserve">3500g
● Capacity</t>
    </r>
    <r>
      <rPr>
        <sz val="8"/>
        <rFont val="Noto Sans CJK SC"/>
        <family val="2"/>
      </rPr>
      <t xml:space="preserve">：</t>
    </r>
    <r>
      <rPr>
        <sz val="8"/>
        <rFont val="Arial"/>
        <family val="0"/>
      </rPr>
      <t xml:space="preserve">100 PCS
● Wafer size: 156x156mm
● Material</t>
    </r>
    <r>
      <rPr>
        <sz val="8"/>
        <rFont val="Noto Sans CJK SC"/>
        <family val="2"/>
      </rPr>
      <t xml:space="preserve">：</t>
    </r>
    <r>
      <rPr>
        <sz val="8"/>
        <rFont val="Arial"/>
        <family val="0"/>
      </rPr>
      <t xml:space="preserve">Customized</t>
    </r>
  </si>
  <si>
    <t xml:space="preserve">21122</t>
  </si>
  <si>
    <t xml:space="preserve">CLEAN ROOM TABLE</t>
  </si>
  <si>
    <t xml:space="preserve">CLEANROOM TABLE</t>
  </si>
  <si>
    <t xml:space="preserve">STEEL CLEANROOM TABLE</t>
  </si>
  <si>
    <t xml:space="preserve">DIMS: 50CM X 90CM X 60 CM (HEIGHT)
WEIGHT: ABOUT 20 KG
HAS AN EARTH POINT
LOCATED IN AVEZZANO, ITALY. Looks really post-industrial IMHO.</t>
  </si>
  <si>
    <t xml:space="preserve">80083</t>
  </si>
  <si>
    <t xml:space="preserve">COLUSSI</t>
  </si>
  <si>
    <t xml:space="preserve">UG 50 E</t>
  </si>
  <si>
    <t xml:space="preserve">AUTOCLAVE FOR STERILIZATION</t>
  </si>
  <si>
    <t xml:space="preserve">AUTOCLAVE MOD. UG 50 E
POWER SUPPLY 3X380V+N+T KW 16
N.F. 6346 N.M. 00/300235/P
DIMENSIONS: 1,13X1,06X1,50
WEIGHT 200 KG
Location: Avezzano (AQ) 67051 Italy.
Warehoused and crated.
MANUALS ARE SOLD WITH THE TOOL.</t>
  </si>
  <si>
    <t xml:space="preserve">109372</t>
  </si>
  <si>
    <t xml:space="preserve">COMDEL</t>
  </si>
  <si>
    <t xml:space="preserve">CB-5000</t>
  </si>
  <si>
    <t xml:space="preserve">Part Number: FP75140240</t>
  </si>
  <si>
    <t xml:space="preserve">109373</t>
  </si>
  <si>
    <t xml:space="preserve">CLX-1000</t>
  </si>
  <si>
    <t xml:space="preserve">Part Number: 0190-07556 Model Number: FP12348R2</t>
  </si>
  <si>
    <t xml:space="preserve">109374</t>
  </si>
  <si>
    <t xml:space="preserve">CLX-10K</t>
  </si>
  <si>
    <t xml:space="preserve">28</t>
  </si>
  <si>
    <t xml:space="preserve">Part Number: 27-257659-00 Model Number: FP1605RA</t>
  </si>
  <si>
    <t xml:space="preserve">109375</t>
  </si>
  <si>
    <t xml:space="preserve">Part Number: 27-257659-00 Model Number: FP6802R5</t>
  </si>
  <si>
    <t xml:space="preserve">109376</t>
  </si>
  <si>
    <t xml:space="preserve">CLX-1250</t>
  </si>
  <si>
    <t xml:space="preserve">Model Number: FP1240R1</t>
  </si>
  <si>
    <t xml:space="preserve">109377</t>
  </si>
  <si>
    <t xml:space="preserve">CLX-2500</t>
  </si>
  <si>
    <t xml:space="preserve">Part Number: 0190-13837 Model Number: FP1336R4</t>
  </si>
  <si>
    <t xml:space="preserve">109378</t>
  </si>
  <si>
    <t xml:space="preserve">Part Number: 0190-22926 Model Number: FP1333R1</t>
  </si>
  <si>
    <t xml:space="preserve">109379</t>
  </si>
  <si>
    <t xml:space="preserve">Part Number: 0190-23570 Model Number: FP1336R6</t>
  </si>
  <si>
    <t xml:space="preserve">109380</t>
  </si>
  <si>
    <t xml:space="preserve">Part Number: 0190-23771 Model Number: FP1333R2</t>
  </si>
  <si>
    <t xml:space="preserve">109381</t>
  </si>
  <si>
    <t xml:space="preserve">Part Number: 27-255494-00 Model Number: FP1339R2</t>
  </si>
  <si>
    <t xml:space="preserve">109382</t>
  </si>
  <si>
    <t xml:space="preserve">Part Number: 27-287258-00 Model Number: FP1339R4</t>
  </si>
  <si>
    <t xml:space="preserve">109383</t>
  </si>
  <si>
    <t xml:space="preserve">Part Number: Model Number: FP1336R4</t>
  </si>
  <si>
    <t xml:space="preserve">109384</t>
  </si>
  <si>
    <t xml:space="preserve">CX-10K</t>
  </si>
  <si>
    <t xml:space="preserve">109385</t>
  </si>
  <si>
    <t xml:space="preserve">LFMN MATCH</t>
  </si>
  <si>
    <t xml:space="preserve">Part Number: 0190-11913 Model Number: FP2241R3</t>
  </si>
  <si>
    <t xml:space="preserve">107379</t>
  </si>
  <si>
    <t xml:space="preserve">Comdel</t>
  </si>
  <si>
    <t xml:space="preserve">CLX 600</t>
  </si>
  <si>
    <t xml:space="preserve">109972</t>
  </si>
  <si>
    <t xml:space="preserve">CB300</t>
  </si>
  <si>
    <t xml:space="preserve">Sold Ex-Works, UK Office , Part Number:FP7114R2</t>
  </si>
  <si>
    <t xml:space="preserve">109973</t>
  </si>
  <si>
    <t xml:space="preserve">109974</t>
  </si>
  <si>
    <t xml:space="preserve">109975</t>
  </si>
  <si>
    <t xml:space="preserve">Sold Ex-Works, UK Office , Part Number:FP7114R3</t>
  </si>
  <si>
    <t xml:space="preserve">109976</t>
  </si>
  <si>
    <t xml:space="preserve">CB4000</t>
  </si>
  <si>
    <t xml:space="preserve">Sold Ex-Works, UK Office , Part Number:FP7563R1</t>
  </si>
  <si>
    <t xml:space="preserve">109977</t>
  </si>
  <si>
    <t xml:space="preserve">Sold Ex-Works, UK Office , Part Number:FP7566R1</t>
  </si>
  <si>
    <t xml:space="preserve">109978</t>
  </si>
  <si>
    <t xml:space="preserve">CB5000</t>
  </si>
  <si>
    <t xml:space="preserve">Sold Ex-Works, UK Office , Part Number:FP7507R1</t>
  </si>
  <si>
    <t xml:space="preserve">109979</t>
  </si>
  <si>
    <t xml:space="preserve">Sold Ex-Works, UK Office , Part Number:FP7511-01R1 , Secondary 
P/N:190005621</t>
  </si>
  <si>
    <t xml:space="preserve">109980</t>
  </si>
  <si>
    <t xml:space="preserve">109981</t>
  </si>
  <si>
    <t xml:space="preserve">109982</t>
  </si>
  <si>
    <t xml:space="preserve">109983</t>
  </si>
  <si>
    <t xml:space="preserve">109984</t>
  </si>
  <si>
    <t xml:space="preserve">109985</t>
  </si>
  <si>
    <t xml:space="preserve">109986</t>
  </si>
  <si>
    <t xml:space="preserve">109987</t>
  </si>
  <si>
    <t xml:space="preserve">109988</t>
  </si>
  <si>
    <t xml:space="preserve">Sold Ex-Works, UK Office , Part Number:FP7511-01R1 , Secondary 
P/N:190005621R</t>
  </si>
  <si>
    <t xml:space="preserve">109989</t>
  </si>
  <si>
    <t xml:space="preserve">109990</t>
  </si>
  <si>
    <t xml:space="preserve">Sold Ex-Works, UK Office , Part Number:FP7514RB , Secondary 
P/N:27-314671-00</t>
  </si>
  <si>
    <t xml:space="preserve">109991</t>
  </si>
  <si>
    <t xml:space="preserve">109992</t>
  </si>
  <si>
    <t xml:space="preserve">CB600</t>
  </si>
  <si>
    <t xml:space="preserve">Sold Ex-Works, UK Office , Part Number:FP7121R1</t>
  </si>
  <si>
    <t xml:space="preserve">109993</t>
  </si>
  <si>
    <t xml:space="preserve">109994</t>
  </si>
  <si>
    <t xml:space="preserve">Sold Ex-Works, UK Office , Part Number:FP7124R4</t>
  </si>
  <si>
    <t xml:space="preserve">109995</t>
  </si>
  <si>
    <t xml:space="preserve">Sold Ex-Works, UK Office , Part Number:FP7124R7</t>
  </si>
  <si>
    <t xml:space="preserve">109996</t>
  </si>
  <si>
    <t xml:space="preserve">CB600A</t>
  </si>
  <si>
    <t xml:space="preserve">Sold Ex-Works, UK Office , Part Number:FP7149R1</t>
  </si>
  <si>
    <t xml:space="preserve">109997</t>
  </si>
  <si>
    <t xml:space="preserve">109998</t>
  </si>
  <si>
    <t xml:space="preserve">109999</t>
  </si>
  <si>
    <t xml:space="preserve">110000</t>
  </si>
  <si>
    <t xml:space="preserve">Sold Ex-Works, UK Office , Part Number:FP7149R3</t>
  </si>
  <si>
    <t xml:space="preserve">110001</t>
  </si>
  <si>
    <t xml:space="preserve">CB600S</t>
  </si>
  <si>
    <t xml:space="preserve">Sold Ex-Works, UK Office , Part Number:FP7117R1</t>
  </si>
  <si>
    <t xml:space="preserve">110002</t>
  </si>
  <si>
    <t xml:space="preserve">CD-1500</t>
  </si>
  <si>
    <t xml:space="preserve">Sold Ex-Works, UK Office , Part Number:CD-1500/13.56/400</t>
  </si>
  <si>
    <t xml:space="preserve">110003</t>
  </si>
  <si>
    <t xml:space="preserve">CDX-1000</t>
  </si>
  <si>
    <t xml:space="preserve">Sold Ex-Works, UK Office , Part Number:FP5201R1 , Secondary P/N:0190-07242</t>
  </si>
  <si>
    <t xml:space="preserve">110004</t>
  </si>
  <si>
    <t xml:space="preserve">CLF 5000</t>
  </si>
  <si>
    <t xml:space="preserve">Sold Ex-Works, UK Office , Part Number:CLF 5000/400 , Secondary 
P/N:FP1540RD</t>
  </si>
  <si>
    <t xml:space="preserve">110005</t>
  </si>
  <si>
    <t xml:space="preserve">Sold Ex-Works, UK Office , Part Number: , Secondary P/N:FP1245R1</t>
  </si>
  <si>
    <t xml:space="preserve">110006</t>
  </si>
  <si>
    <t xml:space="preserve">CLX 600H</t>
  </si>
  <si>
    <t xml:space="preserve">Sold Ex-Works, UK Office , Part Number:CLX600 , Secondary P/N:FP1244R1</t>
  </si>
  <si>
    <t xml:space="preserve">110007</t>
  </si>
  <si>
    <t xml:space="preserve">Sold Ex-Works, UK Office , Part Number:CLX600 , Secondary P/N:FP1241R3</t>
  </si>
  <si>
    <t xml:space="preserve">110008</t>
  </si>
  <si>
    <t xml:space="preserve">Sold Ex-Works, UK Office , Part Number:RPM-1</t>
  </si>
  <si>
    <t xml:space="preserve">110009</t>
  </si>
  <si>
    <t xml:space="preserve">CPM 1000</t>
  </si>
  <si>
    <t xml:space="preserve">Sold Ex-Works, UK Office , Part Number:CPM-1000/R</t>
  </si>
  <si>
    <t xml:space="preserve">110010</t>
  </si>
  <si>
    <t xml:space="preserve">CPM-1000/REMOTE</t>
  </si>
  <si>
    <t xml:space="preserve">110011</t>
  </si>
  <si>
    <t xml:space="preserve">CPM-5000/REMOTE</t>
  </si>
  <si>
    <t xml:space="preserve">110012</t>
  </si>
  <si>
    <t xml:space="preserve">110013</t>
  </si>
  <si>
    <t xml:space="preserve">CPMX REMOTE CONTROLLER</t>
  </si>
  <si>
    <t xml:space="preserve">Sold Ex-Works, UK Office , Part Number:FP2000-01R1</t>
  </si>
  <si>
    <t xml:space="preserve">110014</t>
  </si>
  <si>
    <t xml:space="preserve">Sold Ex-Works, UK Office , Part Number:FP2000RC</t>
  </si>
  <si>
    <t xml:space="preserve">110015</t>
  </si>
  <si>
    <t xml:space="preserve">110016</t>
  </si>
  <si>
    <t xml:space="preserve">110017</t>
  </si>
  <si>
    <t xml:space="preserve">CPMX-1000</t>
  </si>
  <si>
    <t xml:space="preserve">Sold Ex-Works, UK Office , Part Number:CPMX1000 , Secondary P/N:FP2125R4</t>
  </si>
  <si>
    <t xml:space="preserve">110018</t>
  </si>
  <si>
    <t xml:space="preserve">110019</t>
  </si>
  <si>
    <t xml:space="preserve">110020</t>
  </si>
  <si>
    <t xml:space="preserve">Sold Ex-Works, UK Office , Part Number:CPMX1000 , Secondary P/N:FP2125R3</t>
  </si>
  <si>
    <t xml:space="preserve">110021</t>
  </si>
  <si>
    <t xml:space="preserve">CPS 1000 </t>
  </si>
  <si>
    <t xml:space="preserve">Sold Ex-Works, UK Office , Part Number:CPS-1000</t>
  </si>
  <si>
    <t xml:space="preserve">110022</t>
  </si>
  <si>
    <t xml:space="preserve">Sold Ex-Works, UK Office , Part Number:CPS-1000/60</t>
  </si>
  <si>
    <t xml:space="preserve">110023</t>
  </si>
  <si>
    <t xml:space="preserve">CPS 3000</t>
  </si>
  <si>
    <t xml:space="preserve">Sold Ex-Works, UK Office , Part Number:CPS-3000/13.56</t>
  </si>
  <si>
    <t xml:space="preserve">110024</t>
  </si>
  <si>
    <t xml:space="preserve">CV 1000</t>
  </si>
  <si>
    <t xml:space="preserve">Sold Ex-Works, UK Office , Part Number:FP3259R2</t>
  </si>
  <si>
    <t xml:space="preserve">110025</t>
  </si>
  <si>
    <t xml:space="preserve">Sold Ex-Works, UK Office , Part Number:FP3261R1</t>
  </si>
  <si>
    <t xml:space="preserve">110026</t>
  </si>
  <si>
    <t xml:space="preserve">Sold Ex-Works, UK Office , Part Number:FP3263R2</t>
  </si>
  <si>
    <t xml:space="preserve">110027</t>
  </si>
  <si>
    <t xml:space="preserve">Comdel </t>
  </si>
  <si>
    <t xml:space="preserve">CV 500</t>
  </si>
  <si>
    <t xml:space="preserve">Sold Ex-Works, UK Office , Part Number:CV500/AT , Secondary P/N:FP3141R1</t>
  </si>
  <si>
    <t xml:space="preserve">110028</t>
  </si>
  <si>
    <t xml:space="preserve">Sold Ex-Works, UK Office , Part Number:FP3180R1</t>
  </si>
  <si>
    <t xml:space="preserve">110029</t>
  </si>
  <si>
    <t xml:space="preserve">CX 2500S</t>
  </si>
  <si>
    <t xml:space="preserve">Sold Ex-Works, UK Office , Part Number:CX2500 , Secondary P/N:FP3308R1</t>
  </si>
  <si>
    <t xml:space="preserve">110030</t>
  </si>
  <si>
    <t xml:space="preserve">CX 600H</t>
  </si>
  <si>
    <t xml:space="preserve">Sold Ex-Works, UK Office , Part Number:FP3117R1</t>
  </si>
  <si>
    <t xml:space="preserve">110031</t>
  </si>
  <si>
    <t xml:space="preserve">CX2500</t>
  </si>
  <si>
    <t xml:space="preserve">Sold Ex-Works, UK Office , Part Number:FP3322R1</t>
  </si>
  <si>
    <t xml:space="preserve">110032</t>
  </si>
  <si>
    <t xml:space="preserve">Sold Ex-Works, UK Office , Part Number:FP3331R2</t>
  </si>
  <si>
    <t xml:space="preserve">110033</t>
  </si>
  <si>
    <t xml:space="preserve">Sold Ex-Works, UK Office , Part Number:FP3331R4</t>
  </si>
  <si>
    <t xml:space="preserve">110034</t>
  </si>
  <si>
    <t xml:space="preserve">CX2500S</t>
  </si>
  <si>
    <t xml:space="preserve">Sold Ex-Works, UK Office , Part Number:FP3331R1</t>
  </si>
  <si>
    <t xml:space="preserve">110035</t>
  </si>
  <si>
    <t xml:space="preserve">ESC-2</t>
  </si>
  <si>
    <t xml:space="preserve">Sold Ex-Works, UK Office , Part Number:FP6251RB</t>
  </si>
  <si>
    <t xml:space="preserve">110036</t>
  </si>
  <si>
    <t xml:space="preserve">Sold Ex-Works, UK Office , Part Number:FP6251RD</t>
  </si>
  <si>
    <t xml:space="preserve">110037</t>
  </si>
  <si>
    <t xml:space="preserve">LFMN8/5</t>
  </si>
  <si>
    <t xml:space="preserve">Sold Ex-Works, UK Office , Part Number:FP2246R1 , Secondary 
P/N:27-296658-00</t>
  </si>
  <si>
    <t xml:space="preserve">109386</t>
  </si>
  <si>
    <t xml:space="preserve">COMET</t>
  </si>
  <si>
    <t xml:space="preserve">101187</t>
  </si>
  <si>
    <t xml:space="preserve">Part Number: 27-352799-00 Model Number: 10007862</t>
  </si>
  <si>
    <t xml:space="preserve">109387</t>
  </si>
  <si>
    <t xml:space="preserve">Part Number: 27-389171 Model Number: 20045667</t>
  </si>
  <si>
    <t xml:space="preserve">109388</t>
  </si>
  <si>
    <t xml:space="preserve">Part Number: 832-157607-001 Model Number: 20071325</t>
  </si>
  <si>
    <t xml:space="preserve">109389</t>
  </si>
  <si>
    <t xml:space="preserve">300159</t>
  </si>
  <si>
    <t xml:space="preserve">Part Number: 1008826 Model Number: 10007680</t>
  </si>
  <si>
    <t xml:space="preserve">53025</t>
  </si>
  <si>
    <t xml:space="preserve">COMPUMOTOR</t>
  </si>
  <si>
    <t xml:space="preserve">M57-51</t>
  </si>
  <si>
    <t xml:space="preserve">Lead screw</t>
  </si>
  <si>
    <t xml:space="preserve">Stepping motor complete with Lead screw/shaft (brass holder P/N 655 026035 
00)</t>
  </si>
  <si>
    <t xml:space="preserve">82179</t>
  </si>
  <si>
    <t xml:space="preserve">Concoa</t>
  </si>
  <si>
    <t xml:space="preserve">806 6530</t>
  </si>
  <si>
    <t xml:space="preserve">Singe stage Oxygen regulator valve w/ guage</t>
  </si>
  <si>
    <t xml:space="preserve">   Brand new in the box, Concoa Oxygen regulator with valve and guage
single stage
CGA 540
200 PSI
sold as-is, NOS
</t>
  </si>
  <si>
    <t xml:space="preserve">84021</t>
  </si>
  <si>
    <t xml:space="preserve">Condor</t>
  </si>
  <si>
    <t xml:space="preserve">B24-1.2</t>
  </si>
  <si>
    <t xml:space="preserve">dc power supply</t>
  </si>
  <si>
    <t xml:space="preserve">Input: 115V A/C Output: 24V DC at 1.2 AMPS</t>
  </si>
  <si>
    <t xml:space="preserve">21665</t>
  </si>
  <si>
    <t xml:space="preserve">CONDOR</t>
  </si>
  <si>
    <t xml:space="preserve">HCC15 3A +</t>
  </si>
  <si>
    <t xml:space="preserve">POWER SUPPLY UNIT FOR KLA 7700 SURFSCAN</t>
  </si>
  <si>
    <t xml:space="preserve">I/P 100/120 230/240V OP +/- 15V 3A OR +/-12V 3.4 A 30 day return warranty</t>
  </si>
  <si>
    <t xml:space="preserve">108741</t>
  </si>
  <si>
    <t xml:space="preserve">Contamination Control</t>
  </si>
  <si>
    <t xml:space="preserve">Desiccator boxes, 10ea Available</t>
  </si>
  <si>
    <t xml:space="preserve">Chamber Size  	
  Width  	21.50  in  (54.61 cm)
  Depth  	13.38  in  (33.97 cm)
  Height  	13.50  in  (34.29 cm)
Exterior Dimensions  	 
  Width  	22.000  in  (55.9 cm)
  Depth  	14.000  in  (35.6 cm)
  Height  	14.000  in  (35.6 cm)
 </t>
  </si>
  <si>
    <t xml:space="preserve">99395</t>
  </si>
  <si>
    <t xml:space="preserve">Convac</t>
  </si>
  <si>
    <t xml:space="preserve">CBA-M-2000-U</t>
  </si>
  <si>
    <t xml:space="preserve">Photoresist coater</t>
  </si>
  <si>
    <t xml:space="preserve">In working condition. Currently de-installed and warehoused. Inspection is 
available by appointment.
Please check pictures below for more information.</t>
  </si>
  <si>
    <t xml:space="preserve">13143</t>
  </si>
  <si>
    <t xml:space="preserve">COSEL</t>
  </si>
  <si>
    <t xml:space="preserve">MMC100-2</t>
  </si>
  <si>
    <t xml:space="preserve">IN ORIGINAL PACKAGING
SWITCHING REGULATOR
PIN: 142W MAX
IN: 100-120 V AC
47-440 Hz
2.4 A
2 PIECES
WEIGHT FOR EACH : 1 KG.
DIMENSION : 22 CM. X 10 CM. X 6 CM. (H)</t>
  </si>
  <si>
    <t xml:space="preserve">108742</t>
  </si>
  <si>
    <t xml:space="preserve">CR TECHNOLOGY</t>
  </si>
  <si>
    <t xml:space="preserve">UF160-0</t>
  </si>
  <si>
    <t xml:space="preserve">Xray System</t>
  </si>
  <si>
    <t xml:space="preserve">109533</t>
  </si>
  <si>
    <t xml:space="preserve">Creative Design Engineering (CDE)</t>
  </si>
  <si>
    <t xml:space="preserve">ResMap 178 </t>
  </si>
  <si>
    <t xml:space="preserve">Resistivity Mapping System </t>
  </si>
  <si>
    <t xml:space="preserve">Up to 200 mm</t>
  </si>
  <si>
    <t xml:space="preserve">The CDE Resmap 4 point resistivity mapper is used for measuring resistivity 
across the wafer for substrates and thin films deposited in the facility. 
The system can do automated resistivity mapping for pieces to 8 inch 
wafers.
The resistivity range is 2 mOhm/Square to 5 MOhm/square. Contour plots, 3D 
plots, histograms, data exporting are supported from the Windows XP based 
control system.
SPECIFICATIONS:
Type:     Table Top
Wafer load:     Manual
Wafer size:     2” to 8”
Mini Environment     N/A
Probe Changer     N/A
Aligner     N/A
Size:     12” x 19” x 10”
Range:     1mΩ/ to 10MΩ/
Accuracy :    0.5%
Repeatability:     0.02% static
Repeatability:     0.1% dynamic</t>
  </si>
  <si>
    <t xml:space="preserve">78638</t>
  </si>
  <si>
    <t xml:space="preserve">Credence</t>
  </si>
  <si>
    <t xml:space="preserve">Duo SX (Spare Parts)</t>
  </si>
  <si>
    <t xml:space="preserve">SPARE PARTS FROM AUTOMATED TEST SYSTEM</t>
  </si>
  <si>
    <t xml:space="preserve">-A set of boards only which came from a Credence Duo SX test system
Warehoused in Boerne, TX, 78006 USA..
Can be inspected by appointment
Please refer to the attached photos for details.
-Includes service manual , Duo and Logic 100 test system PN 071-1022-01.
-Includes Wavecrest Digital Time System
-Power supplies:: Astec</t>
  </si>
  <si>
    <t xml:space="preserve">87089</t>
  </si>
  <si>
    <t xml:space="preserve">Personal Kalos I</t>
  </si>
  <si>
    <t xml:space="preserve">Test system</t>
  </si>
  <si>
    <t xml:space="preserve">Test system - in excellent condition.
Includes all parts needed for operation.
Has CE mark.
Please refer to the attached photos for details.
The test has 2 boards.
Kalos s/w version installed is B1.105 Build 2227
Front Panel V2002.11.00 Release 1.10.x or greater.
NT Software Windows NT
KNET Version B.1.10.5.0
TPE Version B.1.10.5.0
Hardware
                                K48   K 96   KXW48   KXW96
Modules per system   16     8prs     32        16prs
Ch per module            48       96      48        96
Total Channels           768      768   1536     1536
Front Panel Configurations = All enabled</t>
  </si>
  <si>
    <t xml:space="preserve">84278</t>
  </si>
  <si>
    <t xml:space="preserve">671-4394-01</t>
  </si>
  <si>
    <t xml:space="preserve">Test head connector board</t>
  </si>
  <si>
    <t xml:space="preserve">Credence Duo SX test head board, removed from working system
Located at our Avezzano 67051 Italy warehouse.</t>
  </si>
  <si>
    <t xml:space="preserve">84279</t>
  </si>
  <si>
    <t xml:space="preserve">671-4270-02</t>
  </si>
  <si>
    <t xml:space="preserve">Capture Processor board 1A</t>
  </si>
  <si>
    <t xml:space="preserve">Credence Duo SX Capture Processor board, removed from working system
Located at our Avezzano 67051 Italy warehouse.</t>
  </si>
  <si>
    <t xml:space="preserve">84280</t>
  </si>
  <si>
    <t xml:space="preserve">671-4394-04</t>
  </si>
  <si>
    <t xml:space="preserve">Credence Duo SX test head board, removed from working system
AT AVEZZANO 67051 ITALY</t>
  </si>
  <si>
    <t xml:space="preserve">84281</t>
  </si>
  <si>
    <t xml:space="preserve">672-6051-01</t>
  </si>
  <si>
    <t xml:space="preserve">Support Module Interface</t>
  </si>
  <si>
    <t xml:space="preserve">Credence Duo SX Support Module Interface board, removed from working tester
also have -03 version</t>
  </si>
  <si>
    <t xml:space="preserve">80211</t>
  </si>
  <si>
    <t xml:space="preserve">Duo SX PC</t>
  </si>
  <si>
    <t xml:space="preserve">Credence Duo SX Main PC</t>
  </si>
  <si>
    <t xml:space="preserve">Removed from working system, in Texas warehouse
This is the main Credence Duo PC that was removed from a workingi Credence 
Duo PC, and probably has the software on it. Includes main PC as shown 
along with a iomega Jazz 2GB backup drive installed in PC
Powers up, see photos with lights next to connectors, and CD-ROM shows 
power.
This is all we can determine.
</t>
  </si>
  <si>
    <t xml:space="preserve">83559</t>
  </si>
  <si>
    <t xml:space="preserve">671-4276-50</t>
  </si>
  <si>
    <t xml:space="preserve">PIN card FOR CREDENCE DUO SX TESTER</t>
  </si>
  <si>
    <t xml:space="preserve">   Digital PIN card 
qty 1 671-4276-50
qty 1 671-4276-52 REV A
678-1659-9911018L
Removed from working tester.
Located at our Avezzano 67051 Italy warehouse.
qty 3 available</t>
  </si>
  <si>
    <t xml:space="preserve">83819</t>
  </si>
  <si>
    <t xml:space="preserve">671-4359-01</t>
  </si>
  <si>
    <t xml:space="preserve">DPAC Parallel Pattern Memory PCB</t>
  </si>
  <si>
    <t xml:space="preserve">Credence Duo SX DPAC Parallel Pattern Memory card, removed from working 
system.</t>
  </si>
  <si>
    <t xml:space="preserve">84099</t>
  </si>
  <si>
    <t xml:space="preserve">671-1376-02</t>
  </si>
  <si>
    <t xml:space="preserve">Analog Power Monitor PCB 584-02</t>
  </si>
  <si>
    <t xml:space="preserve">Credence Duo SX board for immediate sale.
De-installed from a working system. Located at our Avezzano 67051 Italy 
warehouse.</t>
  </si>
  <si>
    <t xml:space="preserve">80269</t>
  </si>
  <si>
    <t xml:space="preserve">671-4283-01</t>
  </si>
  <si>
    <t xml:space="preserve">Duo SX ROM Sequencer TPI/PD</t>
  </si>
  <si>
    <t xml:space="preserve">P.C.B.for immediate sale.
De-installed from a working system. Located at our Avezzano 67051 Italy 
warehouse.</t>
  </si>
  <si>
    <t xml:space="preserve">80270</t>
  </si>
  <si>
    <t xml:space="preserve">671-4331-01</t>
  </si>
  <si>
    <t xml:space="preserve">DUO SX ROM Sequencer PCB</t>
  </si>
  <si>
    <t xml:space="preserve">Credence Duo SX P.C.B.for immediate sale.
De-installed from a working system. Located at our Avezzano 67051 Italy 
warehouse.</t>
  </si>
  <si>
    <t xml:space="preserve">80271</t>
  </si>
  <si>
    <t xml:space="preserve">670-9426-05</t>
  </si>
  <si>
    <t xml:space="preserve">DUO SX Controller I/O PCB</t>
  </si>
  <si>
    <t xml:space="preserve">Controller I/O Board, removed from working tester.
P.C.B.for immediate sale.
De-installed from a working system. Located at our Avezzano 67051 Italy 
warehouse.</t>
  </si>
  <si>
    <t xml:space="preserve">80272</t>
  </si>
  <si>
    <t xml:space="preserve">671-0693-04</t>
  </si>
  <si>
    <t xml:space="preserve">Duo SX DMA2 Controller PCB</t>
  </si>
  <si>
    <t xml:space="preserve">DMA2 Controller for Credence Duo SX Tester
P.C.B.for immediate sale.
De-installed from a working system. Located at our Avezzano 67051 Italy 
warehouse.</t>
  </si>
  <si>
    <t xml:space="preserve">80273</t>
  </si>
  <si>
    <t xml:space="preserve">671-4043-01</t>
  </si>
  <si>
    <t xml:space="preserve">DUO SX FUNCTIONAL TEST CONTROLLER PCB</t>
  </si>
  <si>
    <t xml:space="preserve">Credence Duo SX Test controller board for immediate sale.
De-installed from a working system. Located at our Avezzano 67051 Italy 
warehouse.
 </t>
  </si>
  <si>
    <t xml:space="preserve">80274</t>
  </si>
  <si>
    <t xml:space="preserve">671-4098-952707</t>
  </si>
  <si>
    <t xml:space="preserve">DUO SX Master Clock Dist.</t>
  </si>
  <si>
    <t xml:space="preserve">Credence Duo SX Duo Logic 100 board</t>
  </si>
  <si>
    <t xml:space="preserve">81829</t>
  </si>
  <si>
    <t xml:space="preserve">202-2000-00</t>
  </si>
  <si>
    <t xml:space="preserve">Credence Duo SX controller</t>
  </si>
  <si>
    <t xml:space="preserve">Removed from working system, in Texas warehouse
This is the main Credence tester controller with cables.  
Ships from our Boerne, TX Warehouse</t>
  </si>
  <si>
    <t xml:space="preserve">106924</t>
  </si>
  <si>
    <t xml:space="preserve">671-4359-00 REV 3</t>
  </si>
  <si>
    <t xml:space="preserve">DPAC Parallel Pattern Memory</t>
  </si>
  <si>
    <t xml:space="preserve">Credence Duo SX DPAC Parallel Pattern Memory PCB, removed from working 
system.</t>
  </si>
  <si>
    <t xml:space="preserve">106925</t>
  </si>
  <si>
    <t xml:space="preserve">671-4177-04</t>
  </si>
  <si>
    <t xml:space="preserve">Support Module Interface PCB</t>
  </si>
  <si>
    <t xml:space="preserve">Credence Duo SX Support Module interface board, removed from working system
Will ship from Avezzano 67051 Italy</t>
  </si>
  <si>
    <t xml:space="preserve">106926</t>
  </si>
  <si>
    <t xml:space="preserve">671-4351-00 rev A</t>
  </si>
  <si>
    <t xml:space="preserve">Intersegment Communications Connector</t>
  </si>
  <si>
    <t xml:space="preserve">Credence Duo SX Intersegment Communications Connector, removed from working 
tester.
Ships from Avezzano 67051 Italy.</t>
  </si>
  <si>
    <t xml:space="preserve">83631</t>
  </si>
  <si>
    <t xml:space="preserve">071-1022-01</t>
  </si>
  <si>
    <t xml:space="preserve">Duo &amp; Logic 100 Test System Service Manual</t>
  </si>
  <si>
    <t xml:space="preserve">MANUAL</t>
  </si>
  <si>
    <t xml:space="preserve">Complete service manual and wiring diagrams for Credence Duo SX and Logic 
100 systems. Excellent condition
Located at our Avezzano 67051 Italy warehouse.
 </t>
  </si>
  <si>
    <t xml:space="preserve">106927</t>
  </si>
  <si>
    <t xml:space="preserve">671-2119-00</t>
  </si>
  <si>
    <t xml:space="preserve">Analog Support Air flow / Bus Grant</t>
  </si>
  <si>
    <t xml:space="preserve">Crecende Analog Support Air Flow / Bus Grant
U4700 U6700
   </t>
  </si>
  <si>
    <t xml:space="preserve">106928</t>
  </si>
  <si>
    <t xml:space="preserve">Credence </t>
  </si>
  <si>
    <t xml:space="preserve">671-4270-02 REV A</t>
  </si>
  <si>
    <t xml:space="preserve">Capture Processor PCB 1A</t>
  </si>
  <si>
    <t xml:space="preserve">Credence Duo SX Capture Processor board, removed from working system
Ships from our AVEZZANO 67051 ITALY  warehouse.</t>
  </si>
  <si>
    <t xml:space="preserve">106929</t>
  </si>
  <si>
    <t xml:space="preserve">671-4270-03 rev A</t>
  </si>
  <si>
    <t xml:space="preserve">Capture Processor 1a pcb</t>
  </si>
  <si>
    <t xml:space="preserve">Credence Duo SX Capture Processor 1A PC board, removed from working system
</t>
  </si>
  <si>
    <t xml:space="preserve">106930</t>
  </si>
  <si>
    <t xml:space="preserve">671-4155-05</t>
  </si>
  <si>
    <t xml:space="preserve">Analog Support Module VHF PCB</t>
  </si>
  <si>
    <t xml:space="preserve">Credence VHF Analog support card, Credence Duo DuoSX Logic 100 systems</t>
  </si>
  <si>
    <t xml:space="preserve">106931</t>
  </si>
  <si>
    <t xml:space="preserve">DUO SX Master Clock Dist. PCB</t>
  </si>
  <si>
    <t xml:space="preserve">106932</t>
  </si>
  <si>
    <t xml:space="preserve">671-4283-01 REV 4</t>
  </si>
  <si>
    <t xml:space="preserve">Duo SX ROM Sequencer TPI/PD PCB</t>
  </si>
  <si>
    <t xml:space="preserve">106933</t>
  </si>
  <si>
    <t xml:space="preserve">DUO SX ROM Sequencer  PCB</t>
  </si>
  <si>
    <t xml:space="preserve">FROM A CREDENCE DUO
 </t>
  </si>
  <si>
    <t xml:space="preserve">106934</t>
  </si>
  <si>
    <t xml:space="preserve">Controller I/O Board, removed from working CREDENCE DUO tester.</t>
  </si>
  <si>
    <t xml:space="preserve">80311</t>
  </si>
  <si>
    <t xml:space="preserve">671-4127-00</t>
  </si>
  <si>
    <t xml:space="preserve">Scan Memory</t>
  </si>
  <si>
    <t xml:space="preserve">Scan Memory board, removed from working Credence Duo SX Tester.
QTY 15 AVAILABLE.
LOCATION: AVEZZANO 67051 ITALY</t>
  </si>
  <si>
    <t xml:space="preserve">106935</t>
  </si>
  <si>
    <t xml:space="preserve">DMA2 Controller for Credence Duo SX Tester</t>
  </si>
  <si>
    <t xml:space="preserve">80312</t>
  </si>
  <si>
    <t xml:space="preserve">671-4359-00</t>
  </si>
  <si>
    <t xml:space="preserve">35</t>
  </si>
  <si>
    <t xml:space="preserve">Credence Duo SX DPAC Parallel Pattern Memory card, removed from working 
system.
total qty 33 available.
location: Avezzano 67051 Italy</t>
  </si>
  <si>
    <t xml:space="preserve">106936</t>
  </si>
  <si>
    <t xml:space="preserve">671-4043-01 REV A</t>
  </si>
  <si>
    <t xml:space="preserve">Credence Duo SX SX Test controller board, removed from working service.</t>
  </si>
  <si>
    <t xml:space="preserve">80313</t>
  </si>
  <si>
    <t xml:space="preserve">672-4359-00</t>
  </si>
  <si>
    <t xml:space="preserve">106937</t>
  </si>
  <si>
    <t xml:space="preserve">671-0951-04</t>
  </si>
  <si>
    <t xml:space="preserve">DUO SX Analog I/O Board</t>
  </si>
  <si>
    <t xml:space="preserve">Credence Duo SX Analog I/O Board, removed from working tester
qty 3 available in stock in AVEZZANO ITALY</t>
  </si>
  <si>
    <t xml:space="preserve">80314</t>
  </si>
  <si>
    <t xml:space="preserve">672-6051-03</t>
  </si>
  <si>
    <t xml:space="preserve">Support Module Interface PCB for a Credence Duo tester</t>
  </si>
  <si>
    <t xml:space="preserve">Credence Duo SX Support Module Interface board, removed from working tester
also have -03 version
Location: Avezzano 67051 Italy</t>
  </si>
  <si>
    <t xml:space="preserve">106938</t>
  </si>
  <si>
    <t xml:space="preserve">Scan Memory PCB FOR A CREDENCE DUO SX TESTER</t>
  </si>
  <si>
    <t xml:space="preserve">Scan Memory board, removed from working Credence Duo SX Tester</t>
  </si>
  <si>
    <t xml:space="preserve">106939</t>
  </si>
  <si>
    <t xml:space="preserve">671-4394-05 REV A</t>
  </si>
  <si>
    <t xml:space="preserve">Test head connector PCB</t>
  </si>
  <si>
    <t xml:space="preserve">Credence Duo SX test head board, removed from working system
</t>
  </si>
  <si>
    <t xml:space="preserve">80316</t>
  </si>
  <si>
    <t xml:space="preserve">671-4270-03</t>
  </si>
  <si>
    <t xml:space="preserve">Capture Processor</t>
  </si>
  <si>
    <t xml:space="preserve">Credence Duo SX Capture Processor board, removed from working system
Ships Fedex from our Boerne, TX 78006 warehouse.
</t>
  </si>
  <si>
    <t xml:space="preserve">106940</t>
  </si>
  <si>
    <t xml:space="preserve">Support Module Interface tpi / td pcb</t>
  </si>
  <si>
    <t xml:space="preserve">Credence Duo SX Support Module Interface board, removed from working tester
also have -03 version
</t>
  </si>
  <si>
    <t xml:space="preserve">80317</t>
  </si>
  <si>
    <t xml:space="preserve">Analog Support Air flow Bus Grant PCB , for Credence DUO tester</t>
  </si>
  <si>
    <t xml:space="preserve">Credence Analog Support Air Flow / Bus Grant PCB.
REMOVED FROM A WORKING SYSTEM.
U4700 U6700
   </t>
  </si>
  <si>
    <t xml:space="preserve">80318</t>
  </si>
  <si>
    <t xml:space="preserve">Analog Support Module VHF PCB for Credence Duo Tester</t>
  </si>
  <si>
    <t xml:space="preserve">Credence VHF Analog support card, Credence Duo DuoSX Logic 100 systems.
De-installed from a working system. Located at our Avezzano 67051 Italy 
warehouse.</t>
  </si>
  <si>
    <t xml:space="preserve">80320</t>
  </si>
  <si>
    <t xml:space="preserve">671-4351-00</t>
  </si>
  <si>
    <t xml:space="preserve">Credence Duo SX Intersegment Communications Connector, removed from working 
tester.
Ships FEDEX from our Boerne, TX 78006 warehouse
</t>
  </si>
  <si>
    <t xml:space="preserve">81864</t>
  </si>
  <si>
    <t xml:space="preserve">671-4098-02</t>
  </si>
  <si>
    <t xml:space="preserve">Credence Duo SX Clock Dist Board
S9-4006-00671-4098-02
Has Techtrol M4001-1000J onboard.</t>
  </si>
  <si>
    <t xml:space="preserve">81866</t>
  </si>
  <si>
    <t xml:space="preserve">671-4635-01</t>
  </si>
  <si>
    <t xml:space="preserve">Testhead connector PCB  board, from a Credence Duo SX test system</t>
  </si>
  <si>
    <t xml:space="preserve">Credence Duo SX board,
De-installed from a working system. Located at our Avezzano 67051 Italy 
warehouse.</t>
  </si>
  <si>
    <t xml:space="preserve">82168</t>
  </si>
  <si>
    <t xml:space="preserve">671-1461-04</t>
  </si>
  <si>
    <t xml:space="preserve">Intersegment communications board</t>
  </si>
  <si>
    <t xml:space="preserve">Credence Intersegment communications board, for credence duo SX tester
De-installed from a working system. Located at our Avezzano 67051 Italy 
warehouse.</t>
  </si>
  <si>
    <t xml:space="preserve">109081</t>
  </si>
  <si>
    <t xml:space="preserve">CTI Cryogenics</t>
  </si>
  <si>
    <t xml:space="preserve">9600</t>
  </si>
  <si>
    <t xml:space="preserve">CRYOGENIC COMPRESSOR</t>
  </si>
  <si>
    <t xml:space="preserve">9600 Compressor:
P/N: 8135900G001
Documentation, etc.</t>
  </si>
  <si>
    <t xml:space="preserve">54562</t>
  </si>
  <si>
    <t xml:space="preserve">CTI cryogenics</t>
  </si>
  <si>
    <t xml:space="preserve">CRYOTORR-100</t>
  </si>
  <si>
    <t xml:space="preserve">Cryopump</t>
  </si>
  <si>
    <t xml:space="preserve">Suitable for ion implant systems</t>
  </si>
  <si>
    <t xml:space="preserve">94583</t>
  </si>
  <si>
    <t xml:space="preserve">8033168</t>
  </si>
  <si>
    <t xml:space="preserve">Torr High Vacuum Pump</t>
  </si>
  <si>
    <t xml:space="preserve">Cryo-Pump CT8</t>
  </si>
  <si>
    <t xml:space="preserve">94584</t>
  </si>
  <si>
    <t xml:space="preserve">8033167</t>
  </si>
  <si>
    <t xml:space="preserve">94585</t>
  </si>
  <si>
    <t xml:space="preserve">94586</t>
  </si>
  <si>
    <t xml:space="preserve">94587</t>
  </si>
  <si>
    <t xml:space="preserve">94588</t>
  </si>
  <si>
    <t xml:space="preserve">94589</t>
  </si>
  <si>
    <t xml:space="preserve">8116036 G 002</t>
  </si>
  <si>
    <t xml:space="preserve">Pump On Board</t>
  </si>
  <si>
    <t xml:space="preserve">Cryo-Pump 8 F</t>
  </si>
  <si>
    <t xml:space="preserve">94590</t>
  </si>
  <si>
    <t xml:space="preserve">80182 G 001</t>
  </si>
  <si>
    <t xml:space="preserve">Torr Pump</t>
  </si>
  <si>
    <t xml:space="preserve"> Cryo-Pump CT 10</t>
  </si>
  <si>
    <t xml:space="preserve">69855</t>
  </si>
  <si>
    <t xml:space="preserve">Cryotorr 100</t>
  </si>
  <si>
    <t xml:space="preserve">pump</t>
  </si>
  <si>
    <t xml:space="preserve">Part number 8103055G001 s/n 4L9307922 Last serviced date 6/6/97 In working 
condition CE marked</t>
  </si>
  <si>
    <t xml:space="preserve">4259</t>
  </si>
  <si>
    <t xml:space="preserve">CTI-CRYOGENIC</t>
  </si>
  <si>
    <t xml:space="preserve">8040406 REV C</t>
  </si>
  <si>
    <t xml:space="preserve">ONBOARD FASTREGEN OPERATION MANUAL</t>
  </si>
  <si>
    <t xml:space="preserve">FOR ON-BOARD CRYOPUMP</t>
  </si>
  <si>
    <t xml:space="preserve">4260</t>
  </si>
  <si>
    <t xml:space="preserve">8040491 REV B</t>
  </si>
  <si>
    <t xml:space="preserve">ONBOARD CRYOPUMP INST. MAINT MANUAL</t>
  </si>
  <si>
    <t xml:space="preserve">4265</t>
  </si>
  <si>
    <t xml:space="preserve">4266</t>
  </si>
  <si>
    <t xml:space="preserve">106521</t>
  </si>
  <si>
    <t xml:space="preserve">Custom</t>
  </si>
  <si>
    <t xml:space="preserve">Polypropylene 3 ft Bench</t>
  </si>
  <si>
    <t xml:space="preserve">3ft Develop Hood Positive Resist Batch </t>
  </si>
  <si>
    <t xml:space="preserve">106523</t>
  </si>
  <si>
    <t xml:space="preserve">S-Cubed</t>
  </si>
  <si>
    <t xml:space="preserve">Spin Coat Bake System</t>
  </si>
  <si>
    <t xml:space="preserve">Clamshell</t>
  </si>
  <si>
    <t xml:space="preserve">Professionally de-installed and wareghoused.</t>
  </si>
  <si>
    <t xml:space="preserve">4261</t>
  </si>
  <si>
    <t xml:space="preserve">CVC</t>
  </si>
  <si>
    <t xml:space="preserve">31-313216-8171</t>
  </si>
  <si>
    <t xml:space="preserve">CONNEXION INSTRUCTION MANUAL</t>
  </si>
  <si>
    <t xml:space="preserve">4267</t>
  </si>
  <si>
    <t xml:space="preserve">83892</t>
  </si>
  <si>
    <t xml:space="preserve">GTC-036</t>
  </si>
  <si>
    <t xml:space="preserve">TERMOCOUPLE GAUGE TUBE</t>
  </si>
  <si>
    <t xml:space="preserve">WEIGHT: GR.80
DIMENSION 5 CM. X 5 CM. 5 X 10,5 (H)
3 PIECES (1 A PART)
THE PRICE IS FOR EACH</t>
  </si>
  <si>
    <t xml:space="preserve">109044</t>
  </si>
  <si>
    <t xml:space="preserve">CVD Equipment Corporation</t>
  </si>
  <si>
    <t xml:space="preserve">Easy Tube 3000</t>
  </si>
  <si>
    <t xml:space="preserve">Growth Equipment</t>
  </si>
  <si>
    <t xml:space="preserve">106647</t>
  </si>
  <si>
    <t xml:space="preserve">CYBER OPTICS</t>
  </si>
  <si>
    <t xml:space="preserve">CYBERSCAN C212/110</t>
  </si>
  <si>
    <t xml:space="preserve">Laser Measure</t>
  </si>
  <si>
    <t xml:space="preserve">106018</t>
  </si>
  <si>
    <t xml:space="preserve">Cymer</t>
  </si>
  <si>
    <t xml:space="preserve">01-13500-07</t>
  </si>
  <si>
    <t xml:space="preserve">Paddle for Cymer 4300 laser</t>
  </si>
  <si>
    <t xml:space="preserve">-see photos for details.
-will ship to you from our warehouse in Avezzano (AQ) 67051 Italy</t>
  </si>
  <si>
    <t xml:space="preserve">108963</t>
  </si>
  <si>
    <t xml:space="preserve">XLA 160+/165</t>
  </si>
  <si>
    <t xml:space="preserve">193 nm excimer laser</t>
  </si>
  <si>
    <t xml:space="preserve">deinstalled, warehoused, inspection available by appointment</t>
  </si>
  <si>
    <t xml:space="preserve">52159</t>
  </si>
  <si>
    <t xml:space="preserve">4300</t>
  </si>
  <si>
    <t xml:space="preserve">Maintenance Tool kit and spare parts</t>
  </si>
  <si>
    <t xml:space="preserve">Tool Maintenance kit for Cymer laser of Canon 248 nm DUV equipment. 
Includes Laser chamber window replacement kit p/n 1300-050 and many other 
spare parts. PLEASE REFER TO THE ATTACHED PHOTOS FOR DETAILS OF WHAT IS 
INCLUDED WITH THE KIT.
Cymer parts included, not a complete list:
CPG6
7202-0608
7962-0400
7202-1008
7962-0600
7962-1000
7201-0406
2801-175
2517-015
2517-010
2524-001
2805-030
7202-1012
2801-170
2400-097
7202-1006
7202-0806
7207-0606
2450-010
2450-005
2450-015
2400-096
7202-0808
3000-030
04-01136-1
1402-001
2320-00083-0
04-06044-0
50 Y75-6010-000 000
01-13568-37
04-01136-1
1150-001
C1337
04-06051-0
04-01118-0</t>
  </si>
  <si>
    <t xml:space="preserve">108806</t>
  </si>
  <si>
    <t xml:space="preserve">DAGE</t>
  </si>
  <si>
    <t xml:space="preserve">Series 5000</t>
  </si>
  <si>
    <t xml:space="preserve">Assembly Test System, Incomplete - Call for Details</t>
  </si>
  <si>
    <t xml:space="preserve">108807</t>
  </si>
  <si>
    <t xml:space="preserve">XD6500</t>
  </si>
  <si>
    <t xml:space="preserve">X-Ray Inspection Tool</t>
  </si>
  <si>
    <t xml:space="preserve">108808</t>
  </si>
  <si>
    <t xml:space="preserve">DAGE </t>
  </si>
  <si>
    <t xml:space="preserve">2400-WP-100</t>
  </si>
  <si>
    <t xml:space="preserve">100g Wire Pull Load Cell</t>
  </si>
  <si>
    <t xml:space="preserve">108809</t>
  </si>
  <si>
    <t xml:space="preserve">2400PC-BS500G</t>
  </si>
  <si>
    <t xml:space="preserve">500g Ball Shear Load Cell for Dage 2400</t>
  </si>
  <si>
    <t xml:space="preserve">108810</t>
  </si>
  <si>
    <t xml:space="preserve">2400PC-WP10KG</t>
  </si>
  <si>
    <t xml:space="preserve">10 Kg Wire Pull Load Cell for Dage 2400</t>
  </si>
  <si>
    <t xml:space="preserve">108642</t>
  </si>
  <si>
    <t xml:space="preserve">Dage</t>
  </si>
  <si>
    <t xml:space="preserve">4000</t>
  </si>
  <si>
    <t xml:space="preserve">Bond Pull tester</t>
  </si>
  <si>
    <t xml:space="preserve">DEINSTALLED, WAREHOUSED
- Microscope
- PC &amp; Monitor
- Mouse and Keyboard
Choice of One Below Included with System: 
- BS250R 
- BS5KGR 
- CBP1KG</t>
  </si>
  <si>
    <t xml:space="preserve">95116</t>
  </si>
  <si>
    <t xml:space="preserve">PC2400</t>
  </si>
  <si>
    <t xml:space="preserve">Bond &amp; Wire Tester Operators Guide</t>
  </si>
  <si>
    <t xml:space="preserve">Version 1.07</t>
  </si>
  <si>
    <t xml:space="preserve">69789</t>
  </si>
  <si>
    <t xml:space="preserve">4000-HK-5-2</t>
  </si>
  <si>
    <t xml:space="preserve">160-OT12-PTP-02 PULL TEST hook</t>
  </si>
  <si>
    <t xml:space="preserve">DAGE 4000-HK-5-2 160-OT12-PTP-02 PULL TEST PIN FOR THE DAGE 4000 
MULTI-PURPOSE BOND TESTER NEW / SURPLUS STOCK INCLUDES ONLY WHAT IS 
PICTURED!</t>
  </si>
  <si>
    <t xml:space="preserve">108743</t>
  </si>
  <si>
    <t xml:space="preserve">BT23PC</t>
  </si>
  <si>
    <t xml:space="preserve">Die Shear Tester with LC200 Die Shear Load Cell, 2ea Available</t>
  </si>
  <si>
    <t xml:space="preserve">DAGE Microtester Specifications
• Serial Number 
• PC Controlled Operation
• Destructive and Non-Destructive Testing 
• BS23-LC200 200 gram Die Shear Load Cell 
• Load Cell Calibration Kit
• BT23-WH232 Vacuum Base Workholder
• 6” (dia.) Vacuum Top Plate
• Micrometer Controlled XY Motion
• Manual Rotation Control
• BAUSCH &amp; LOMB StereoZoom 4 Microscope
• Required Facilities: 110VAC, 50/60Hz, 20 in. Hg Minimum Vacuum
Guaranteed fully functional</t>
  </si>
  <si>
    <t xml:space="preserve">108744</t>
  </si>
  <si>
    <t xml:space="preserve">BT24</t>
  </si>
  <si>
    <t xml:space="preserve">Ball/Bump Shear Tester</t>
  </si>
  <si>
    <t xml:space="preserve">    * 0-200gm LC200 Load Cartridge
    * BT24-APF6 Workholder
    * BAUSCH &amp; LOMB StereoZoom 7 Microscope w/0.5X Adapter
    * 0.01 mm/s – 0.625 mm/s Shear Speed
    * 6 sec/shear at 0.25 mm/s
    * 1.3 microns – 10.4 mm Stepback Height Range
    * Oblique Illumination
    * Stand Alone Control Console
    * Intelligent Z Tool Positioning
    * Automatic Calibration System
    * Less than 25 microns/0.001" Tool Deflection on all ranges
 </t>
  </si>
  <si>
    <t xml:space="preserve">108745</t>
  </si>
  <si>
    <t xml:space="preserve">BT23-PC</t>
  </si>
  <si>
    <t xml:space="preserve">Die Shear Tester with LC200 Die Shear Load Cell</t>
  </si>
  <si>
    <t xml:space="preserve">    * Shear Tester for Ball Bonds and Tab Bump with integrated PC
      controller.
    * LC200 Load Cell
    * Destruct/Non-Destruct Testing
    * 2.0mm (0.08in) X-Axis Travel
    * 0.15mm (0.006in) tip width – Shear Tool Size
    * 3 to 7g (0.107 to 0.25ozf) Tool Landing Force
    * 0.5mm (0.02in) full scale – Load Beam Deflection
    * X-Axis – left to right, Shear Test Direction
    * MANUAL INCLUDED</t>
  </si>
  <si>
    <t xml:space="preserve">108746</t>
  </si>
  <si>
    <t xml:space="preserve">2400PC</t>
  </si>
  <si>
    <t xml:space="preserve">Wire pull tester</t>
  </si>
  <si>
    <t xml:space="preserve">106447</t>
  </si>
  <si>
    <t xml:space="preserve">DAGE 4000 SHEAR TESTER</t>
  </si>
  <si>
    <t xml:space="preserve">Manual Shut down in Fab. Needs to be removed in the next few weeks.</t>
  </si>
  <si>
    <t xml:space="preserve">106448</t>
  </si>
  <si>
    <t xml:space="preserve">OPS DAGE 4000 SHEAR TESTER w/computer</t>
  </si>
  <si>
    <t xml:space="preserve">109390</t>
  </si>
  <si>
    <t xml:space="preserve">DAIHEN</t>
  </si>
  <si>
    <t xml:space="preserve">AGA-50B2</t>
  </si>
  <si>
    <t xml:space="preserve">109391</t>
  </si>
  <si>
    <t xml:space="preserve">AMN-30F-V</t>
  </si>
  <si>
    <t xml:space="preserve">Part Number: 3D80-000142-V6</t>
  </si>
  <si>
    <t xml:space="preserve">109392</t>
  </si>
  <si>
    <t xml:space="preserve">AMN-50B2A</t>
  </si>
  <si>
    <t xml:space="preserve">109393</t>
  </si>
  <si>
    <t xml:space="preserve">AMN-50F</t>
  </si>
  <si>
    <t xml:space="preserve">109394</t>
  </si>
  <si>
    <t xml:space="preserve">ATM-30A</t>
  </si>
  <si>
    <t xml:space="preserve">109395</t>
  </si>
  <si>
    <t xml:space="preserve">ATP-15B</t>
  </si>
  <si>
    <t xml:space="preserve">109396</t>
  </si>
  <si>
    <t xml:space="preserve">DGP-120A2</t>
  </si>
  <si>
    <t xml:space="preserve">109397</t>
  </si>
  <si>
    <t xml:space="preserve">FGA-30A2</t>
  </si>
  <si>
    <t xml:space="preserve">16</t>
  </si>
  <si>
    <t xml:space="preserve">Part Number: ES2L39-000006-21</t>
  </si>
  <si>
    <t xml:space="preserve">109398</t>
  </si>
  <si>
    <t xml:space="preserve">FGA-30C</t>
  </si>
  <si>
    <t xml:space="preserve">Part Number: 3155132-012</t>
  </si>
  <si>
    <t xml:space="preserve">109399</t>
  </si>
  <si>
    <t xml:space="preserve">Part Number: ES2L39-000047-13</t>
  </si>
  <si>
    <t xml:space="preserve">109400</t>
  </si>
  <si>
    <t xml:space="preserve">FRM-30A</t>
  </si>
  <si>
    <t xml:space="preserve">Part Number: ES2L39-000017-15</t>
  </si>
  <si>
    <t xml:space="preserve">109401</t>
  </si>
  <si>
    <t xml:space="preserve">Part Number: ES2L39-000017-31</t>
  </si>
  <si>
    <t xml:space="preserve">109402</t>
  </si>
  <si>
    <t xml:space="preserve">FTM-80A1</t>
  </si>
  <si>
    <t xml:space="preserve">Part Number: ES2L39-000039-26</t>
  </si>
  <si>
    <t xml:space="preserve">109403</t>
  </si>
  <si>
    <t xml:space="preserve">MFG-20SA3</t>
  </si>
  <si>
    <t xml:space="preserve">109404</t>
  </si>
  <si>
    <t xml:space="preserve">MFT-20SB</t>
  </si>
  <si>
    <t xml:space="preserve">109405</t>
  </si>
  <si>
    <t xml:space="preserve">NX-HGA-30B</t>
  </si>
  <si>
    <t xml:space="preserve">Part Number: ES2L39-000042-51</t>
  </si>
  <si>
    <t xml:space="preserve">109406</t>
  </si>
  <si>
    <t xml:space="preserve">NX-HRM-30B</t>
  </si>
  <si>
    <t xml:space="preserve">Part Number: ES2L39-000040-13</t>
  </si>
  <si>
    <t xml:space="preserve">109407</t>
  </si>
  <si>
    <t xml:space="preserve">NX-HRM-30B4</t>
  </si>
  <si>
    <t xml:space="preserve">Part Number: ES2L39-000040-51</t>
  </si>
  <si>
    <t xml:space="preserve">109408</t>
  </si>
  <si>
    <t xml:space="preserve">NX-PLB-01</t>
  </si>
  <si>
    <t xml:space="preserve">109409</t>
  </si>
  <si>
    <t xml:space="preserve">NX-RGA-10G</t>
  </si>
  <si>
    <t xml:space="preserve">Part Number: ES2L39-000052-11</t>
  </si>
  <si>
    <t xml:space="preserve">109410</t>
  </si>
  <si>
    <t xml:space="preserve">NX-WMN-50G</t>
  </si>
  <si>
    <t xml:space="preserve">109411</t>
  </si>
  <si>
    <t xml:space="preserve">RMN-50M</t>
  </si>
  <si>
    <t xml:space="preserve">109412</t>
  </si>
  <si>
    <t xml:space="preserve">RTGA-30A1</t>
  </si>
  <si>
    <t xml:space="preserve">Part Number: ES2L39-000009-21</t>
  </si>
  <si>
    <t xml:space="preserve">109413</t>
  </si>
  <si>
    <t xml:space="preserve">WGA-50E</t>
  </si>
  <si>
    <t xml:space="preserve">Part Number: 3D80-000602-12</t>
  </si>
  <si>
    <t xml:space="preserve">109414</t>
  </si>
  <si>
    <t xml:space="preserve">109415</t>
  </si>
  <si>
    <t xml:space="preserve">WGA-50E1</t>
  </si>
  <si>
    <t xml:space="preserve">109416</t>
  </si>
  <si>
    <t xml:space="preserve">WMN-50C6A</t>
  </si>
  <si>
    <t xml:space="preserve">110038</t>
  </si>
  <si>
    <t xml:space="preserve">Daihen</t>
  </si>
  <si>
    <t xml:space="preserve">Daihen Match</t>
  </si>
  <si>
    <t xml:space="preserve">Sold Ex-Works, UK Office , Part Number:RNM-20E2</t>
  </si>
  <si>
    <t xml:space="preserve">110039</t>
  </si>
  <si>
    <t xml:space="preserve">Sold Ex-Works, UK Office , Part Number:RNM-50N6</t>
  </si>
  <si>
    <t xml:space="preserve">110040</t>
  </si>
  <si>
    <t xml:space="preserve">Sold Ex-Works, UK Office , Part Number:RMN-40A</t>
  </si>
  <si>
    <t xml:space="preserve">110041</t>
  </si>
  <si>
    <t xml:space="preserve">MFM 20SA</t>
  </si>
  <si>
    <t xml:space="preserve">Sold Ex-Works, UK Office , Part Number:MFM 20SA2</t>
  </si>
  <si>
    <t xml:space="preserve">110042</t>
  </si>
  <si>
    <t xml:space="preserve">Daihen </t>
  </si>
  <si>
    <t xml:space="preserve">NGA-30C</t>
  </si>
  <si>
    <t xml:space="preserve">Sold Ex-Works, UK Office , Part Number:NGA-30C1</t>
  </si>
  <si>
    <t xml:space="preserve">110043</t>
  </si>
  <si>
    <t xml:space="preserve">NMN-20A1</t>
  </si>
  <si>
    <t xml:space="preserve">Sold Ex-Works, UK Office , Part Number:TC13941R</t>
  </si>
  <si>
    <t xml:space="preserve">110044</t>
  </si>
  <si>
    <t xml:space="preserve">WGA-20A</t>
  </si>
  <si>
    <t xml:space="preserve">Sold Ex-Works, UK Office , Part Number:WGA-20A5</t>
  </si>
  <si>
    <t xml:space="preserve">110045</t>
  </si>
  <si>
    <t xml:space="preserve">WMN-25</t>
  </si>
  <si>
    <t xml:space="preserve">Sold Ex-Works, UK Office , Part Number:WMN-25B3</t>
  </si>
  <si>
    <t xml:space="preserve">91136</t>
  </si>
  <si>
    <t xml:space="preserve">Daitron</t>
  </si>
  <si>
    <t xml:space="preserve">CVP-320</t>
  </si>
  <si>
    <t xml:space="preserve">Wafer Edge Grinder</t>
  </si>
  <si>
    <t xml:space="preserve">De-installed, warehoused. Can be inspected by appointment. See attached 
photos for details of the current condition.
Summary
A chamfering system which can form a trapezoid or radius shape on the edge 
of an AS-slice wafer using the same resin-bonded wheel. Edge processing of 
the device wafer prior to BG decreases the amount of wafer breakage or 
chipping after BG.
Features
Two grinding stations
Enhanced processing accuracy and shortened processing time by using the 
"Twin-contouring" method, compared to the conventional machine.
Reduced processing time compared to the conventional machine.
A built-in wafer profile measurement device is available.
Enables measurement of the cross-section profile after processing for 
feedback correction of the processing data.
Basic Specifications
Wafer type     Notch
Wafer size     12-inch or 8-inch (selectable)
Loading/Unloading     8-cassette or 2 dry stacks to 6-cassette or 
4-cassette (or 2-casstte) (selectable)
Thickness measurement unit     Multi-point measurement
Fine alignment     Edge contact or Non-edge contact
Qty of grind axis     Two stations
Spindle     [1] Horizontal circumference grinding (coarse)
Metal-bonded wheel (100mm) (Optional)
[2] Vertical circumference contouring (finish)
Resin bonded wheel (60mm)
[3] Vertical circumference contouring 2 (finish)
Resin-bonded wheel (60mm) (Optional)
[4] Notch grinding (horizontal)
Metal-bonded wheel (Optional)
Washing unit     Included (Edge polishing, 2-fluid washing, high-pressure 
jet can be included.) (Optional)
Profile measurement     Measurement items: cross-section profile, notch 
profile, diameter, notch vertical surface width</t>
  </si>
  <si>
    <t xml:space="preserve">106482</t>
  </si>
  <si>
    <t xml:space="preserve">Datacon</t>
  </si>
  <si>
    <t xml:space="preserve">CS1250</t>
  </si>
  <si>
    <t xml:space="preserve">Die Pick and Sort to tape reel</t>
  </si>
  <si>
    <t xml:space="preserve">150 mm/200 mm/300 MM</t>
  </si>
  <si>
    <t xml:space="preserve">A Shut down in Fab. Needs to be removed in the next few weeks.
DATACON / BESI WAFER TO TAPE AND REEL SORTER MODEL CS1250
Specifications:-
-Picks, flips and places devices from wafer to tape reel.
-Sorts to tape reel at up to 16,500 U.P.H.
-Includes a 4 point vision system.
-Will handle devices from 0.3 mm up to 10 mm.
-Wafer up to 300 mm diameter
-Placement accuracy +/- 37 um 3 sigma.
-Has post tape seal inspection.
-Will load tape width 8 mm to 24 mm.
-Touch screen UI.
-Real time wafer map.
-Will work with pressure sensitive and heat activated tapes
-Allows management of rejected dies automatically.</t>
  </si>
  <si>
    <t xml:space="preserve">80176</t>
  </si>
  <si>
    <t xml:space="preserve">Dayton</t>
  </si>
  <si>
    <t xml:space="preserve">4C446</t>
  </si>
  <si>
    <t xml:space="preserve">Blower motor 115v</t>
  </si>
  <si>
    <t xml:space="preserve">   Blower motor, new old stock,  Located in our Boerne, TX warehouse    </t>
  </si>
  <si>
    <t xml:space="preserve">109032</t>
  </si>
  <si>
    <t xml:space="preserve">DDM Novastar</t>
  </si>
  <si>
    <t xml:space="preserve">1800HT</t>
  </si>
  <si>
    <t xml:space="preserve">Reflow Oven</t>
  </si>
  <si>
    <t xml:space="preserve">-Still installed and operational
-Located in USA
-See attached photos
-Can be inspected by appointment</t>
  </si>
  <si>
    <t xml:space="preserve">109040</t>
  </si>
  <si>
    <t xml:space="preserve">DEK</t>
  </si>
  <si>
    <t xml:space="preserve">Horizon 03iX</t>
  </si>
  <si>
    <t xml:space="preserve">84375</t>
  </si>
  <si>
    <t xml:space="preserve">DELL</t>
  </si>
  <si>
    <t xml:space="preserve">PWB 9578D</t>
  </si>
  <si>
    <t xml:space="preserve">GX B-V0A</t>
  </si>
  <si>
    <t xml:space="preserve">94V-0</t>
  </si>
  <si>
    <t xml:space="preserve">
WEIGHT:20 GR.
DIMENSION: 13,5 X 0,1 CM X 2,3 (H)
</t>
  </si>
  <si>
    <t xml:space="preserve">77204</t>
  </si>
  <si>
    <t xml:space="preserve">Delta</t>
  </si>
  <si>
    <t xml:space="preserve">??</t>
  </si>
  <si>
    <t xml:space="preserve">Impulse Driver Board, 5000V, 3A, for PECVD</t>
  </si>
  <si>
    <t xml:space="preserve">   Unknown Impulse Driver Board
For 10MW Solar line PECVD tool.
Used, in box, ships from our Boerne, TX warehouse
Sold as-is, where-is.</t>
  </si>
  <si>
    <t xml:space="preserve">106450</t>
  </si>
  <si>
    <t xml:space="preserve">4CJ</t>
  </si>
  <si>
    <t xml:space="preserve">Photoresist Coater</t>
  </si>
  <si>
    <t xml:space="preserve">poor</t>
  </si>
  <si>
    <t xml:space="preserve">106451</t>
  </si>
  <si>
    <t xml:space="preserve">5AQ</t>
  </si>
  <si>
    <t xml:space="preserve">Positive Photoresist Developer</t>
  </si>
  <si>
    <t xml:space="preserve">106456</t>
  </si>
  <si>
    <t xml:space="preserve">DI Wafer Cleaner</t>
  </si>
  <si>
    <t xml:space="preserve">106458</t>
  </si>
  <si>
    <t xml:space="preserve">CUSTOM</t>
  </si>
  <si>
    <t xml:space="preserve">DI Wafer Cleaner </t>
  </si>
  <si>
    <t xml:space="preserve">108747</t>
  </si>
  <si>
    <t xml:space="preserve">DELTRONIC</t>
  </si>
  <si>
    <t xml:space="preserve">DH14-RR</t>
  </si>
  <si>
    <t xml:space="preserve">Profile Projector with 20X Objective Lens</t>
  </si>
  <si>
    <t xml:space="preserve">110594</t>
  </si>
  <si>
    <t xml:space="preserve">Delvotec</t>
  </si>
  <si>
    <t xml:space="preserve">4500/Siplace A2</t>
  </si>
  <si>
    <t xml:space="preserve">Die Bonder</t>
  </si>
  <si>
    <t xml:space="preserve">Double head, multichip
refurbished and checked by a specialist</t>
  </si>
  <si>
    <t xml:space="preserve">110595</t>
  </si>
  <si>
    <t xml:space="preserve">6200</t>
  </si>
  <si>
    <t xml:space="preserve">Gold Ball Wire Bonder</t>
  </si>
  <si>
    <t xml:space="preserve">REFURBISHED AND CHECKED BY A SPECIALIST ENGINEER.
Full automatic Goldball Wirebonder for fine wire MCM and Hybrid 
Applications.
The 6200 family of machines was developed from the successful 6100 series 
of thermosonic gold ball bonders and offers the best choice for a wide 
range of commercially and strategically important applications where a 
truly universal bonder is required.
Linear motor drive systems allow fast, smooth-running operation with 
accuracy and repeatability in a small footprint.
• X/Y2 motion contained in the head enables rigid clamping of device and 
simpler design of automatic handling systems
• Pentium TM processor with UNIX based operating system and full network 
capability
• The basic machine is configured for an 8" x 6" bond area
• All machines use a process tolerant, grey-level pattern recognition 
system from Cognex
• Red and white light sources available with direct, oblique and diffuse 
lighting
• Programmable piezo-technology controlled wire clamp unit allows better 
process control
• Programmable bond weight controlled by linear motor system
• Over 10,000 wires and 200 dice in a single programme
• Step and repeat capability for modular programming
• Component handling can be manual, semi-automatic, fully automatic 
magazine-to-magazine or with an in-line link to conveyor systems
The family concept with a common hardware and software base allows retrofit 
of all options at any time but keeps the cost of the initial investment 
down to an absolute minimum.
    Specifications
  Bond area 200 x 150mm
  Z-range 20mm
  Wire diameter 17 to 50um
  Wire feed 2" spool
  Ultrasonic system   60kHz or 100kHz
  Pattern recognition travelling CCD camera and Cognex
  Lighting            3 channels, direct, indirect and side light
  Wire count          &gt; 10,000
  Die count           200 standard
  Control             Pentium processor with UNIX-based operating
                      system
  Programme storage   Hard disk, floppy disk and streamer
  Data transfer       several standard options for export of quality
                      control data;
                      CAD data import optional
  Network capability  TCP/IP network standard built in, allowing
                      remote access for diagnosis, service and
                      software maintenance
  Overall dimensions  58 x 100 x 150cm WxDxH
  Line requirements   100 - 260VAC, 50 - 60Hz, 3kW, single phase
  Air I vacuum        5 bar 550 mm/Hg
  Material Input
  Substrate size      200 x 150mm maximum
  Substrate types     Leadframes, PCBs, boats, carriers etc.
  Component           Manual, semi-automatic, automatic
  handling            magazine to magazine or in-line
                      including temperature controller, 3 heating
                      systems optional
  Operating Data
  Position            better than +/-3um typically
  repeatability
  Bond speed          350ms for 2mm loop typically
With rigid heating plates with a width of 170 mm
Working area: 200 x 150 mm
Heated oven/plates    
Microscope</t>
  </si>
  <si>
    <t xml:space="preserve">83627</t>
  </si>
  <si>
    <t xml:space="preserve">DENSAN</t>
  </si>
  <si>
    <t xml:space="preserve">DSB-S17</t>
  </si>
  <si>
    <t xml:space="preserve">OUTPUT BOARD SDB-S17</t>
  </si>
  <si>
    <t xml:space="preserve">RAD 2500 F/8
2 PIECES IN BOX
NEW</t>
  </si>
  <si>
    <t xml:space="preserve">108811</t>
  </si>
  <si>
    <t xml:space="preserve">DENTON</t>
  </si>
  <si>
    <t xml:space="preserve">DV-502A</t>
  </si>
  <si>
    <t xml:space="preserve">Electron-Beam Evaporator with Telemark TT3 P/S, 4 Pocket E-Gun</t>
  </si>
  <si>
    <t xml:space="preserve">77186</t>
  </si>
  <si>
    <t xml:space="preserve">Despatch</t>
  </si>
  <si>
    <t xml:space="preserve">KK33UH-009-00-4,MC</t>
  </si>
  <si>
    <t xml:space="preserve">Thermocouple sensor probe</t>
  </si>
  <si>
    <t xml:space="preserve">Like new, with extra plugs</t>
  </si>
  <si>
    <t xml:space="preserve">77187</t>
  </si>
  <si>
    <t xml:space="preserve">164700</t>
  </si>
  <si>
    <t xml:space="preserve">Thermocouple</t>
  </si>
  <si>
    <t xml:space="preserve">new, unused.
Located at our Avezzano 67051 Italy warehouse. </t>
  </si>
  <si>
    <t xml:space="preserve">108995</t>
  </si>
  <si>
    <t xml:space="preserve">CDF 7210 (SPARES)</t>
  </si>
  <si>
    <t xml:space="preserve">55 cm length of furnace belt</t>
  </si>
  <si>
    <t xml:space="preserve">see photos for details.
New unused.
width 25.5 CM</t>
  </si>
  <si>
    <t xml:space="preserve">81837</t>
  </si>
  <si>
    <t xml:space="preserve">Deublin</t>
  </si>
  <si>
    <t xml:space="preserve">55-000-003</t>
  </si>
  <si>
    <t xml:space="preserve">Deublin,  Rotary Union 5/8" NEW</t>
  </si>
  <si>
    <t xml:space="preserve">Deublin rotary union, new in the box, unused
Ships from our AVEZZANO 67051 ITALY Warehouse
  Brand new  </t>
  </si>
  <si>
    <t xml:space="preserve">110599</t>
  </si>
  <si>
    <t xml:space="preserve">Diener</t>
  </si>
  <si>
    <t xml:space="preserve">Tetra 30LF PC</t>
  </si>
  <si>
    <t xml:space="preserve">Plasma Surface Treatment Machine</t>
  </si>
  <si>
    <t xml:space="preserve">In excellent condition, located in Germany. Please check the pictures below 
for more information.</t>
  </si>
  <si>
    <t xml:space="preserve">110614</t>
  </si>
  <si>
    <t xml:space="preserve">Currently de-installed and warehoused. Inspection is available by 
appointment.</t>
  </si>
  <si>
    <t xml:space="preserve">76954</t>
  </si>
  <si>
    <t xml:space="preserve">Dimetric</t>
  </si>
  <si>
    <t xml:space="preserve">JGT-10F</t>
  </si>
  <si>
    <t xml:space="preserve">Relay 380V 80A</t>
  </si>
  <si>
    <t xml:space="preserve">Box of qty 4 brand new relays
Sold as-is where is</t>
  </si>
  <si>
    <t xml:space="preserve">109110</t>
  </si>
  <si>
    <t xml:space="preserve">Disco</t>
  </si>
  <si>
    <t xml:space="preserve">DAD 3350</t>
  </si>
  <si>
    <t xml:space="preserve">Automatic Dicing Saw</t>
  </si>
  <si>
    <t xml:space="preserve">The DAD3350 (maximum workpiece size ø8” [standard], 250 mm square 
[optional]) has been designed to process a wide variety of materials with 
either a 1.8 kW spindle (standard; supports 2” blades) or 2.2 kW 
high-torque spindle (optional; supports 3”-5” blades). Whether your 
material is ultra-thin to several millimeters thick, single wafer or 
multiple panel (optional), straight cut or optical angle cut (optional), 
the DAD3350 can be customized for your applications needs.
Process Quality
The field proven bridge-type frame structure optimizes rigidity and 
stability. To reduce transient vibration the DAD3350 utilizes cast iron for 
the bridge-type frame resulting in superior and consistent cut quality.
Throughput
With a return speed of 600 mm/s, theta speed of 180 degree/s, and Y-axis 
speed of 200 mm/s the DAD3350 spends more time cutting and less time 
preparing to cut.
Operation
The Graphical User Interface (GUI) operates via an LCD touch screen. While 
improving the ease of use, the GUI also features on screen real time 
display illustrating process details.
Process Controls
Auto alignment, auto focus, and auto kerf check features - all standard - 
directly improve productivity. In addition, the microscope includes a 
positive air pressure mechanism and a lens shutter to prevent 
contamination. The DAD3350 also includes advanced process control features 
such as a cutting water flow control and spindle current monitoring to 
support process analysis. As an option, a dual-magnification microscope is 
available to help reduce alignment times.
Small Footprint
The bridge-type frame structure reduces footprint while increasing 
performance. Suspended from the bridge is a front-mounted spindle, which 
provides greater space to process large area substrates.
                              Workpiece Size - Max. ø8"
X-axis
Cutting range
  mm
    260
Max. cutting speed
  mm/s
    600
Y-axis
Cutting range
  mm
    260
Index step
  mm
    0.0001
Positioning accuracy
  mm
  0.003 or less/260 (Single error) 0.002/5
Z-axis
Max. stroke
  mm
32.2
 31.4
Moving resolution
  mm
 0.00005
Repeatability accuracy
  mm
 0.001
Max. blade size(*2)
  mm
ø58
 ø127
-axis
Max. rotating angle
  deg.
 380
Max. 250 mm square (*1)
 Process Controls
 Auto alignment, auto focus, and auto kerf check features - all standard - 
 directly improve productivity. In addition, the microscope includes a 
 positive air pressure mechanism and a lens shutter to prevent
 contamination. The DAD3350 also includes advanced process control 
 features such as a cutting water flow control and spindle current
 monitoring to support process analysis. As an option, a dual-magnification 
 microscope is available to help reduce alignment times.
 Small Footprint
 The bridge-type frame structure reduces footprint while increasing 
 performance. Suspended from the bridge is a front-mounted spindle, which
 provides greater space to process large area substrates.
Spindle
Output
kW
 1.8 at 60,000 min-1
2.2at 30,000 min-1
Rated torque
N·m
 0.29
0.7
Revolution speed range
min-1
 6,000 ~ 60,000
3,000 ~ 30,000
 Applicable Tape Frame - 2-8-1
 Utilities Power supply - 200 ~ 240 V AC±10 %, 3-phase (50/60 Hz)
                 For other than the above voltages, a transformer is
                 necessary.
Power consumption - -
     When processing kW 0.9 (for reference)
     During warm-up kW 0.8 (for reference)
     When idling (in standby) kW 0.3 (for reference)
                  Max. power kVA When 1.8 kW spindle installed: 4.9 When
                  2.2 kW spindle installed: 4.5
    Air pressure MPa 0.5 ~ 0.8
    Air max. consumption L/min(ANR) 200
Cutting water - -
     Water pressure MPa 0.2 ~ 0.4
     Max. Consumption flow rate L/min 4.0
    Cooling water - -
     Water pressure MPa 0.2 ~ 0.4
    Consumption flow rate L/min 1.5 at 0.3 MPa Exhaust duct capacity m3
    /min 5.0
    Machine dimensions (W x D x H) mm 900 x 1,050 x 1,800
Machine weight kg Approx. 1,200 (without transfomer for overseas use)
 Approx. 1,268 (with transfomer for overseas use)
                   (*1) A special jig is required for this function. (*2)
                   When selecting optional specification.
 </t>
  </si>
  <si>
    <t xml:space="preserve">109111</t>
  </si>
  <si>
    <t xml:space="preserve">DFD 6240</t>
  </si>
  <si>
    <t xml:space="preserve">Fully automatic dicing saw</t>
  </si>
  <si>
    <t xml:space="preserve">Includes DFD 6240 and DTU125 and Disco tool accessories.
This tool is not refurbished, but the tool condition is good.
The equipment is deinstalled and warehoused, and can be inspected by 
appointment. The tool manuals are included (In Japanese)
Disco 6000 Series Features and Performance
The Disco DFD6240 Fully Automatic Dicing Saw features the advanced 
functions and spindle lineup of the Disco 6000 series technology which is a 
very popular tool with many installations worldwide.This 200 mm 
single-spindle dicing saw is designed for dicing silicon and compound 
semiconductors, as well as for cutting and grooving ceramics, glasses, and 
other electronic and optical materials.
Factory-Friendly Design
The rigid and compact frame along with it's improved wafer handling system 
allow for an extremely small footprint of (20 % less than DFD641).
Reduced energy and air consumption allow lower running cost and less 
environmental impact.
A machine status monitor relays processing status and key machine 
information in real time for use in machine inspections and process 
management.
More easy to maintain and use
Spindle shaft-lock feature and auto-open/close wheel cover (accessible from 
machine front) make blade changes easy and quick.
Touch-panel display supports an easy-to-use GUI.
Higher Throughput
Increased speed ranges and return speeds for machine axes contribute to 
improved dicing throughput.
Improved Cut Quality
This saw offers highly consistent and dependable cut quality through the 
new Synchro SpindleTM featuring superior radial rigidity. The coolant water 
flow rate controller, programmable via the touch-panel display, sets the 
flow rate for each process recipe. Atomizing nozzle technology (optional) 
is available for the wheel cover, where it effectively reduces particle 
adhesion, as well as for the spinner cleaning unit, where it yields 
exceptionally clean wafers after dicing.
Spindle Lineup
Newly developed 1.2 kW spindle (standard) features superior rigidity.
Center thrust design gives 1.8 kW spindle (option, uses 2" blades) and 2.2 
kW spindle (option, uses 3" blades) extra rigidity for processing glasses, 
ceramics, and other high-load materials.
Workpiece    Size    -    ø8"
X-axis    Cutting range    mm    210
    Max. cutting speed    mm/s    0.1 - 600
Y-axis    Cutting range    mm    210
    Index step    mm    0.0001
    Index positioning accuracy    mm    0.003/210
mm (Single error) 0.002 or less/5           
    Scale resolution    mm    0.0001
Z-axis    Max. stroke    mm    19.22 (for ø2" blade)
    Moving resolution    mm    5E-05
    Repeatablity accuracy    mm    0.001
    Max. blade size    mm    ø58
-axis    Max. rotating angle    deg    380
Spindle    Output    kW    1.2 at 60,000 min-1
    Rated torque    N·m    0.19
    Revolution speed range    min-1    6,000 - 60,000
Applicable Tape Frame-            2-8-1
Power consumption               
When processing kW 1.5 (for reference)               
During warm-up kW 1.0 (for reference)           
Max. power kVA 4.9           
Air pressure MPa 0.5 - 0.8           
Air max. consumption L/min(ANR) 250           
Clean air pressure MPa 0.5 - 0.8           
Clean air max. consumption L/min(ANR) 243           
Cutting water, spinner cleaning water, water curtain           
Water pressure MPa 0.2 - 0.4           
Water flow rate L/min Wheel coolant: 6 Water curtain: 1           
Water pressure MPa 0.2 - 0.4           
Water flow rate  L/min 1.5 at 0.3 MPa Exhaust duct capacity m3/min  5.0     
Machine dimensions (W x D x H) mm  900 x 1,190 x 1,800
Machine weight  kg Approx. 1,200 (without transformer for overseas use)     
Approx. 1,280 (with transformer for overseas use)           </t>
  </si>
  <si>
    <t xml:space="preserve">106816</t>
  </si>
  <si>
    <t xml:space="preserve">DAD 321</t>
  </si>
  <si>
    <t xml:space="preserve">Automatic wafer dicing saw</t>
  </si>
  <si>
    <t xml:space="preserve">De-installed, warehoused. Can be inspected by appointment.
Can either be sold in "as is" conditions, or sold refurbished, in working 
condition, with the possibility to see a power-on working demonstration.
Please refer to the attached photos for the details about this tools' 
current condition.
Here follow the standrad performance specifications for the Disco DAD 321 
Dicing saw:-
Cutting Section           
X-Axis        Metric    Imperial
    Max Stroke Length    248 mm    9.75"
    Cutting Range    192 mm    7.5"
    Work Width Setting Range    0 to 160 mm    0" to 6"
Y-axis           
    Max Stroke Length    162 mm    6.37"
    Cutting Range    +/- 81 mm    6.37"
    Work Width Setting Range    0 to 160 mm    0" to 6"
Z-axis           
    Max Stroke Length    32 mm    1.25"
    Travel Resolution    .0001 mm   
Theta-axis           
    Maximum Rotation Angle    380°   
        (-100° + 280°)   
Cutting Section           
Bearing:    Air Bearing       
Rotating Speed range:    3,000 to 40,000 RPM       
Output Power:    1.5 KW       
Microscope Section           
Microscope type:    Trinocular head Microscope       
Magnification:    195x       
Utilities Section           
Power Requirements:           
Input Voltage:    3 Phase, 200VAC±10%       
Power Frequency:    50-60 Hz       
Maximum Power Consumption:    2.5 kVA       
Air Requirements:           
Supply Pressure:    0.5 to 0.6 MPa.G    71 PSI   
Filtration:    .00001 mm /99.5% or higher       
Residual oil content:    0.1 PPM Wt/Wt       
Atmospheric dew point:    -15° C or Less    -5° F   
Connection port:    Rc (PT) 1/4" female       
Water Requirements:           
Wheel Coolant:           
Pressure:    0.3 MPa    42 PSI   
Water Temperature:    Room Temp + 2° C    Room Temp + 4° F   
Connection Port;    Rc (PT) 1/4" Female       
Flow Rate Setting Range:    0.2 to 4 l/min or higher       
Spindle Coolant:           
Pressure:    0.3 MPa    42 PSI   
Water Temperature:    Room Temperature       
Connection Port:    Rc (PT) 1/4" female       
Consumption Flow Rate:    1.5 l/min or higher    0.4 GPM   
Water Drainage           
Connection Port    Duct Hose       
    32 mm ID    1.26" ID   
Duct           
Duct Capacity    1.5 m^3/min or higher       
Connection Port    Duct Hose       
    50 mm ID    2.00" ID   
Main Dimensions    500 W x 1050 D x 1455H    20 x 41.3 x 57.3"   
Machine Dry Weight    500 kg    1100 lb   </t>
  </si>
  <si>
    <t xml:space="preserve">108396</t>
  </si>
  <si>
    <t xml:space="preserve">DFL7160</t>
  </si>
  <si>
    <t xml:space="preserve">Laser Saw</t>
  </si>
  <si>
    <t xml:space="preserve">Excellent condition, still in production.
HDD not included in sale</t>
  </si>
  <si>
    <t xml:space="preserve">108397</t>
  </si>
  <si>
    <t xml:space="preserve">DFL7340</t>
  </si>
  <si>
    <t xml:space="preserve">As new: never installed or used. Currently configured for 150mm</t>
  </si>
  <si>
    <t xml:space="preserve">108398</t>
  </si>
  <si>
    <t xml:space="preserve">DFS8910</t>
  </si>
  <si>
    <t xml:space="preserve">Surface Planarization</t>
  </si>
  <si>
    <t xml:space="preserve">109169</t>
  </si>
  <si>
    <t xml:space="preserve">DISCO</t>
  </si>
  <si>
    <t xml:space="preserve">109170</t>
  </si>
  <si>
    <t xml:space="preserve">109171</t>
  </si>
  <si>
    <t xml:space="preserve">DGP8760/DFM2700</t>
  </si>
  <si>
    <t xml:space="preserve">Wafer Backside Grinder</t>
  </si>
  <si>
    <t xml:space="preserve">108155</t>
  </si>
  <si>
    <t xml:space="preserve">DFG-82IF/8</t>
  </si>
  <si>
    <t xml:space="preserve">Rotary Surface Grinder</t>
  </si>
  <si>
    <t xml:space="preserve">108951</t>
  </si>
  <si>
    <t xml:space="preserve">DSC 141</t>
  </si>
  <si>
    <t xml:space="preserve">After Sawing Cleaner</t>
  </si>
  <si>
    <t xml:space="preserve">Excellent fully operational condition</t>
  </si>
  <si>
    <t xml:space="preserve">106461</t>
  </si>
  <si>
    <t xml:space="preserve">DFD6361</t>
  </si>
  <si>
    <t xml:space="preserve">DICING SAW</t>
  </si>
  <si>
    <r>
      <rPr>
        <sz val="8"/>
        <rFont val="Arial"/>
        <family val="0"/>
      </rPr>
      <t xml:space="preserve">Deinstalled and in an inspection facility.
Can be inspected by an appointment.
DFD6361Fully Automatic Dicing Saw
Features improved productivity over previous models of fully automatic dual 
spindle dicing saws.
300 mm
Facing dual spindle
DFD6361 is the latest fully automatic dual spindle dicing saw for 12-inch 
wafers, incorporating the throughput enhancement technology developed in 
DFD6362 for 300 mm wafers. Adoption of a uniquely developed axis mechanism 
enables X-axis return speeds up to 1,000 mm/s. Improved acceleration and 
deceleration performance for each axis also increases the distance where 
the axis moves at maximum speed, substantially improving throughput. In 
addition, optimization of the parts used increases the speed of the major 
transfer unit and a shorter distance between the spindles allows for less 
processing time during dual cut.
Easy operation
A GUI (graphical user interface) which has been recognized as easy to use 
on existing models has been included on the DFD6361.Combined with an LCD 
touch panel, the DFD6361 allows for easy operation.
High speed flash alignment (optional)
Combines a xenon flash lamp and a high speed CCD shutter to perform high 
speed alignment without the need to stop the chuck table, which reduces 
alignment time and increases throughput.
DFD6361 Operation flow
1. Lower arm moves workpiece from the cassette to the pre-alignment stage. 
Lower arm moves the workpiece to the chuck table -&gt; cutting-&gt;
2. Upper arm moves the workpiece to the spinner table -&gt; cleaning &amp; drying 
-&gt;
3. Lower arm returns the workpiece to the cassette
Specifications
Specification     Unit     1.2, 1.8 kW High speed rotation     2.2 kW
Max. workpiece size     -     12 inch
X-axis     Cutting range     mm     310
Cutting speed     mm/s     0.1 - 600
Y1/Y2-axis     Cutting range     mm     310
Index step     mm     0.0001
Positioning accuracy     mm     Within 0.003/310
(Single error) Within 0.002/5
Z-axis     Max. stroke     mm     14.7 (For 2 inch blade)
Moving resolution     mm     0.00005
Repeatability accuracy     mm     0.001
Max blade size          mm 58 dia.
Theta-axis     Max. rotating angle     deg     380
Spindle     Rated torque     Nm     0.19</t>
    </r>
    <r>
      <rPr>
        <sz val="8"/>
        <rFont val="Noto Sans CJK SC"/>
        <family val="2"/>
      </rPr>
      <t xml:space="preserve">（</t>
    </r>
    <r>
      <rPr>
        <sz val="8"/>
        <rFont val="Arial"/>
        <family val="0"/>
      </rPr>
      <t xml:space="preserve">1.2 kW/High speed rotation</t>
    </r>
    <r>
      <rPr>
        <sz val="8"/>
        <rFont val="Noto Sans CJK SC"/>
        <family val="2"/>
      </rPr>
      <t xml:space="preserve">）
</t>
    </r>
    <r>
      <rPr>
        <sz val="8"/>
        <rFont val="Arial"/>
        <family val="0"/>
      </rPr>
      <t xml:space="preserve">Revolution speed range     min‐1     6,000 - 60,000
Machine dimensions(WxDxH)     mm     1,200 x 1,550 x 1,800
Machine weight     kg     Approx. 2,150 including transformer for overseas 
use.
 </t>
    </r>
  </si>
  <si>
    <t xml:space="preserve">106462</t>
  </si>
  <si>
    <t xml:space="preserve">DFD6362</t>
  </si>
  <si>
    <t xml:space="preserve">DEINSTALLED, WAREHOUSED. CAN BE INSPECTED BY APPOINTMENT</t>
  </si>
  <si>
    <t xml:space="preserve">106463</t>
  </si>
  <si>
    <t xml:space="preserve">DFD651</t>
  </si>
  <si>
    <t xml:space="preserve">8" Dual Spindle Automated DICING Saw</t>
  </si>
  <si>
    <t xml:space="preserve">Professionally de-installed from running condition in the fab in September 
2022. Currently located at an inspection warehouse. Can be inspected by 
appointment.
o Parallel Dual Spindle Dicing Saw: Dual Cut, Step Cut or Bevel Cut 
Capabilities  
o Production Date: 1997
o X-axis Cutting Range 210mm
o Cut speed 0.1-450mm/sec.
o Y-axis Cutting range 26mm
o Index step 0.0001mm
o Single error 0.002mm or less over 5mm
o Positioning accuracy 0.002mm or less over 26mm range
o Scale resolution 0.0002mm
o Z-axis Maximum stroke 7.2mm
o Moving resolution 0.00025mm
o Repeating accuracy 0.001mm
o Maximum blade size 55.56mm
o Maximum Rotating Angle: 380 degrees
o Spindle output 1.0kw@ 60,000 RPM
o Rated torque: .16Nm
o Revolution speed range: 6,000-60,000 RPM
o Dimensions/Weight: 1,350mm X 1,168mm X 1,235mm, 1,300 Kg</t>
  </si>
  <si>
    <t xml:space="preserve">106464</t>
  </si>
  <si>
    <t xml:space="preserve">8 inch Dual Spindle Dicing Saw</t>
  </si>
  <si>
    <t xml:space="preserve">90089</t>
  </si>
  <si>
    <t xml:space="preserve">WBL LASER SAW (DAF Type)</t>
  </si>
  <si>
    <r>
      <rPr>
        <sz val="8"/>
        <rFont val="Arial"/>
        <family val="0"/>
      </rPr>
      <t xml:space="preserve">De-installed, warehoused.
Can be inspected by appointment.
See attached photos for details.
This saw is DAF type.
The daf type is sawing using daf tape.
The daf tape has two layers of dicing tape, so when the dicing is done, 
there is a layer of adhesive tape on the chip.
In general tape, when the dicing is finished, the adhesive is not separated 
from the film, so only the chip is separated
The daf tape is used when the adhesive is separated from the film and 
attached directly to the stack (Stackchip).
Laser hour is good. Good state
Generic Equipment Specifications:-
Machine Models
DFL7160
ABLATION PROCESS
Max. Workpiece Size
mm
ø300
X-axis
Processing range
mm
310
(Chuck table)
Max. feed speed
mm/s
600
Y-axis
Processing range
mm
310
(Chuck table)
Index step
mm
0.0001
Index positioning accuracy
mm
0.003 or less/310 (Single error) 0.002 or less/5
Scale resolution
mm
0.0001
y-axis
Processing range
mm
-
(Z2axis
Index step
mm
-
process
Index positioning accuracy
mm
-
point)
Scale resolution
mm
-
Z-axis
Input range for lens height
mm
-2.000</t>
    </r>
    <r>
      <rPr>
        <sz val="8"/>
        <rFont val="Noto Sans CJK SC"/>
        <family val="2"/>
      </rPr>
      <t xml:space="preserve">～</t>
    </r>
    <r>
      <rPr>
        <sz val="8"/>
        <rFont val="Arial"/>
        <family val="0"/>
      </rPr>
      <t xml:space="preserve">5.000
Moving resolution
mm
0.00005
Repeatability accuracy
mm
0.002
θ-axis
Max. rotating angle
deg
380
(Chuck table)
(320º in the positive (+) direction and 60º in the
negative (-) direction from the initial position)
Laser Oscillator / Oscillator Model
Semicondutor laser diode (LD)
excitation Q-switch solid laser
Applicable Tape Frame
2-12
UtilitiesPower supply
kW
200 ~ 240 V AC±10 %, 3-phase
For other than the above voltages, a transformer is necessary.
Power
When processing
kW
1.2 (for reference)
consumption
During warm-up
kW
1.1 (for reference)
Max. power
kVA
6.9
Air pressure
Mpa
0.5</t>
    </r>
    <r>
      <rPr>
        <sz val="8"/>
        <rFont val="Noto Sans CJK SC"/>
        <family val="2"/>
      </rPr>
      <t xml:space="preserve">～</t>
    </r>
    <r>
      <rPr>
        <sz val="8"/>
        <rFont val="Arial"/>
        <family val="0"/>
      </rPr>
      <t xml:space="preserve">0.8
Air max. consumption
L/min</t>
    </r>
    <r>
      <rPr>
        <sz val="8"/>
        <rFont val="Noto Sans CJK SC"/>
        <family val="2"/>
      </rPr>
      <t xml:space="preserve">（</t>
    </r>
    <r>
      <rPr>
        <sz val="8"/>
        <rFont val="Arial"/>
        <family val="0"/>
      </rPr>
      <t xml:space="preserve">ANR</t>
    </r>
    <r>
      <rPr>
        <sz val="8"/>
        <rFont val="Noto Sans CJK SC"/>
        <family val="2"/>
      </rPr>
      <t xml:space="preserve">）
</t>
    </r>
    <r>
      <rPr>
        <sz val="8"/>
        <rFont val="Arial"/>
        <family val="0"/>
      </rPr>
      <t xml:space="preserve">275.0
Clean air pressure
MPa
0.5</t>
    </r>
    <r>
      <rPr>
        <sz val="8"/>
        <rFont val="Noto Sans CJK SC"/>
        <family val="2"/>
      </rPr>
      <t xml:space="preserve">～</t>
    </r>
    <r>
      <rPr>
        <sz val="8"/>
        <rFont val="Arial"/>
        <family val="0"/>
      </rPr>
      <t xml:space="preserve">0.8
Clean air max. consumption
L/min</t>
    </r>
    <r>
      <rPr>
        <sz val="8"/>
        <rFont val="Noto Sans CJK SC"/>
        <family val="2"/>
      </rPr>
      <t xml:space="preserve">（</t>
    </r>
    <r>
      <rPr>
        <sz val="8"/>
        <rFont val="Arial"/>
        <family val="0"/>
      </rPr>
      <t xml:space="preserve">ANR</t>
    </r>
    <r>
      <rPr>
        <sz val="8"/>
        <rFont val="Noto Sans CJK SC"/>
        <family val="2"/>
      </rPr>
      <t xml:space="preserve">）
</t>
    </r>
    <r>
      <rPr>
        <sz val="8"/>
        <rFont val="Arial"/>
        <family val="0"/>
      </rPr>
      <t xml:space="preserve">200
Water pressure (Spinner)
MPa
0.2</t>
    </r>
    <r>
      <rPr>
        <sz val="8"/>
        <rFont val="Noto Sans CJK SC"/>
        <family val="2"/>
      </rPr>
      <t xml:space="preserve">～</t>
    </r>
    <r>
      <rPr>
        <sz val="8"/>
        <rFont val="Arial"/>
        <family val="0"/>
      </rPr>
      <t xml:space="preserve">0.4
Water max. flow rate (Spinner)
L/min
1.0
Exhaust duct capacity
m3/min
5.0
Machine dimensions (W x D x H)
mm
1,200×1,550×1,800
  Machine weight
kg
Approx. 1,750 (without transformer for overseas use)
Approx. 1,870 (with transformer for overseas use)
Notes For the DFL7260, DAL7020 or DFL7360, the chiller unit should be 
installed outside of
the equipment.
 </t>
    </r>
  </si>
  <si>
    <t xml:space="preserve">91658</t>
  </si>
  <si>
    <t xml:space="preserve">DNS</t>
  </si>
  <si>
    <t xml:space="preserve">SS-3000-A</t>
  </si>
  <si>
    <t xml:space="preserve">Scrubber (4F)</t>
  </si>
  <si>
    <t xml:space="preserve">91660</t>
  </si>
  <si>
    <t xml:space="preserve">91661</t>
  </si>
  <si>
    <t xml:space="preserve">De-installed, warehoused. Can be inspected by appointment.
Composition : 1. MAIN / 2. EFEM / 3. POWER RACK / 4. PART BOX
 </t>
  </si>
  <si>
    <t xml:space="preserve">91662</t>
  </si>
  <si>
    <t xml:space="preserve">SS-3000-AR</t>
  </si>
  <si>
    <t xml:space="preserve">Scrubber (2F/2B)</t>
  </si>
  <si>
    <t xml:space="preserve">De-installed, warehoused. Can be inspected by appointment.
Composition : EFEM / MAIN BODY / AC RACK / PART BOX</t>
  </si>
  <si>
    <t xml:space="preserve">107022</t>
  </si>
  <si>
    <t xml:space="preserve">SK-2000</t>
  </si>
  <si>
    <t xml:space="preserve">C&amp;D Track</t>
  </si>
  <si>
    <t xml:space="preserve">91664</t>
  </si>
  <si>
    <t xml:space="preserve">Scrubber (4B)</t>
  </si>
  <si>
    <t xml:space="preserve">91667</t>
  </si>
  <si>
    <t xml:space="preserve">91674</t>
  </si>
  <si>
    <t xml:space="preserve">SU-3000</t>
  </si>
  <si>
    <t xml:space="preserve">Cleaner (MP Type) (2L/P)</t>
  </si>
  <si>
    <t xml:space="preserve">91675</t>
  </si>
  <si>
    <t xml:space="preserve">Cleaner (MP Type) (3L/P) (1R)</t>
  </si>
  <si>
    <t xml:space="preserve">91677</t>
  </si>
  <si>
    <t xml:space="preserve">91678</t>
  </si>
  <si>
    <t xml:space="preserve">91679</t>
  </si>
  <si>
    <t xml:space="preserve">91680</t>
  </si>
  <si>
    <t xml:space="preserve">Cleaner (SR Type) (3L/P)</t>
  </si>
  <si>
    <t xml:space="preserve">110624</t>
  </si>
  <si>
    <t xml:space="preserve">FC-821L</t>
  </si>
  <si>
    <t xml:space="preserve">Wet</t>
  </si>
  <si>
    <t xml:space="preserve">91681</t>
  </si>
  <si>
    <t xml:space="preserve">Cleaner (MP Type) (3L/P)</t>
  </si>
  <si>
    <t xml:space="preserve">110625</t>
  </si>
  <si>
    <t xml:space="preserve">110626</t>
  </si>
  <si>
    <t xml:space="preserve">SPW-813A</t>
  </si>
  <si>
    <t xml:space="preserve">91683</t>
  </si>
  <si>
    <t xml:space="preserve">91684</t>
  </si>
  <si>
    <t xml:space="preserve">110628</t>
  </si>
  <si>
    <t xml:space="preserve">SCW-80A Coater</t>
  </si>
  <si>
    <t xml:space="preserve">Lithography Coater and Developer</t>
  </si>
  <si>
    <t xml:space="preserve">110629</t>
  </si>
  <si>
    <t xml:space="preserve">SDW-80A Developer</t>
  </si>
  <si>
    <t xml:space="preserve">106022</t>
  </si>
  <si>
    <t xml:space="preserve">SK 2000 BVPE</t>
  </si>
  <si>
    <t xml:space="preserve">COATER AND DEVELOPER TRACK WITH 2 CT, 2 BCT, 4 DEVELOPERS</t>
  </si>
  <si>
    <r>
      <rPr>
        <sz val="8"/>
        <rFont val="Arial"/>
        <family val="0"/>
      </rPr>
      <t xml:space="preserve">Inspection is available by appointment.
Config: 2 Coaters / 2BARC / 4 Developers
Wafer flow direction: Right to Left (Track interface is on the left side)
To see a video of the tool, taken in October 2014, showing the system shut 
down in the fab, please click here:-
&lt;http://youtu.be/jItameMz0dU&gt;
1.GENERAL INFORMATION 	Clean Track SK2000 2 Coater/2 BARC 4 Developer w/ 
Stepper IF
Tool ID 	 
Serial Number 	 
Vintage 	2003
OEM 	DAI NIPPON SCREEN
Model 	SOKUDO SK2000-BVPEU
Process 	COAT/DEVE
Software version 	9.G.0.1
2.WAFER SPECIFICATION 	 
Wafer Size 	200MM
Wafer Shape 	SNNF (Semi Notch No Flat)
Wafer Cassette 	8” PP Miraial
SMIF Interface 	NO
3. SYSTEM CONFIGURATION 	 
Process Block# 	2
Coater head# 	2
Barc Coater head# 	2
Develop head# 	4
Adhesion Chamber# 	2
Cooling Plate# 	10
Rapid Hot Plate(RHP)# 	12
Hot Plate(RHP)# 	3
EEW# 	1
EEFT# 	1
IFB# 	1
Sourcs Bottle CCaabbiinneett((RREESSIISSTT)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248nm
3-10. EEFT (EEW and Thickness) 	 
Lamp 	Mercury xenon
Wave length 	248nm
Lamp for resist thickness 	Halogen
Wave length 	400nm-800nm with low cut filter 480nm
3-11. IFB 	 
Robot</t>
    </r>
    <r>
      <rPr>
        <sz val="8"/>
        <rFont val="Noto Sans CJK SC"/>
        <family val="2"/>
      </rPr>
      <t xml:space="preserve">（</t>
    </r>
    <r>
      <rPr>
        <sz val="8"/>
        <rFont val="Arial"/>
        <family val="0"/>
      </rPr>
      <t xml:space="preserve">BHU1) 	1
Robot</t>
    </r>
    <r>
      <rPr>
        <sz val="8"/>
        <rFont val="Noto Sans CJK SC"/>
        <family val="2"/>
      </rPr>
      <t xml:space="preserve">（</t>
    </r>
    <r>
      <rPr>
        <sz val="8"/>
        <rFont val="Arial"/>
        <family val="0"/>
      </rPr>
      <t xml:space="preserve">BHU2) 	1
Buffer 	2
  	 </t>
    </r>
  </si>
  <si>
    <t xml:space="preserve">110630</t>
  </si>
  <si>
    <t xml:space="preserve">SK-3000-BVPEU</t>
  </si>
  <si>
    <t xml:space="preserve">106023</t>
  </si>
  <si>
    <t xml:space="preserve">Photoresist coater and developer - 2 ct - 2 bct - 4 dev</t>
  </si>
  <si>
    <r>
      <rPr>
        <sz val="8"/>
        <rFont val="Arial"/>
        <family val="0"/>
      </rPr>
      <t xml:space="preserve">
Inspection is available by appointment.
Config: 2 Coaters / 2 BARC / 4 Developers
Wafer flow direction: Right to Left (Track interface is on the left side)
To see a video of this tool , de-installed in the fab, please visit the 
following link:-
&lt;http://youtu.be/eepoieAa7GI&gt;
1.GENERAL INFORMATION 	Clean Track SK2000 2 Coater/2 BARC 4 Developer w/ 
Stepper IF
Vintage 	2004
OEM 	DNS - SOKUDO
Model 	SOKUDO SK2000-BVPE
Process 	COAT/DEVE
Software version 	9.K.0.0
2.WAFER SPECIFICATION 	 
Wafer Size 	200MM
Wafer Shape 	SNNF (Semi Notch No Flat)
Wafer Cassette 	8” PP Miraial
SMIF Interface 	NO
3. SYSTEM CONFIGURATION 	 
Process Block# 	2
Coater head# 	2
Barc Coater head# 	2
Develop head# 	4
Adhesion Chamber# 	2
Cooling Plate# 	10
Rapid Hot Plate(RHP)# 	8
Hot Plate(RHP)# 	3
EEW# 	1
EEFT# 	1
IFB# 	1
Sourcws Bottle Cabinet((RESIST)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365nm
3-10. EEFT (EEW and Thickness) 	 
Lamp 	Mercury xenon
Wave length 	365nm
Lamp for resist thickness 	Halogen
Wave length 	400nm-800nm with low cut filter 480nm
3-11. IFB 	 
Robot</t>
    </r>
    <r>
      <rPr>
        <sz val="8"/>
        <rFont val="Noto Sans CJK SC"/>
        <family val="2"/>
      </rPr>
      <t xml:space="preserve">（</t>
    </r>
    <r>
      <rPr>
        <sz val="8"/>
        <rFont val="Arial"/>
        <family val="0"/>
      </rPr>
      <t xml:space="preserve">BHU1) 	1
Robot</t>
    </r>
    <r>
      <rPr>
        <sz val="8"/>
        <rFont val="Noto Sans CJK SC"/>
        <family val="2"/>
      </rPr>
      <t xml:space="preserve">（</t>
    </r>
    <r>
      <rPr>
        <sz val="8"/>
        <rFont val="Arial"/>
        <family val="0"/>
      </rPr>
      <t xml:space="preserve">BHU2) 	1
Buffer 	2
  	 </t>
    </r>
  </si>
  <si>
    <t xml:space="preserve">110637</t>
  </si>
  <si>
    <t xml:space="preserve">FC3000</t>
  </si>
  <si>
    <t xml:space="preserve">106817</t>
  </si>
  <si>
    <t xml:space="preserve">DNS </t>
  </si>
  <si>
    <t xml:space="preserve">RF3S</t>
  </si>
  <si>
    <t xml:space="preserve">coater and developer( 5C5D)</t>
  </si>
  <si>
    <t xml:space="preserve">103518</t>
  </si>
  <si>
    <t xml:space="preserve">Pre Metal Cleaner</t>
  </si>
  <si>
    <t xml:space="preserve">103520</t>
  </si>
  <si>
    <t xml:space="preserve">Wafer Scrubber</t>
  </si>
  <si>
    <t xml:space="preserve">103521</t>
  </si>
  <si>
    <t xml:space="preserve">103522</t>
  </si>
  <si>
    <t xml:space="preserve">Wafer Scrubber (4Back)</t>
  </si>
  <si>
    <t xml:space="preserve">108898</t>
  </si>
  <si>
    <t xml:space="preserve">AS2000</t>
  </si>
  <si>
    <t xml:space="preserve">Oxide Wafer scrubbing system</t>
  </si>
  <si>
    <t xml:space="preserve">CMP
In-let type, wafer transfer unit, Chemical supply unit, monitor rack.
Please check pictures below for more information. De-installed and 
warehoused as shown in the pictures. Inspection is welcomed by appointment.
</t>
  </si>
  <si>
    <t xml:space="preserve">103523</t>
  </si>
  <si>
    <t xml:space="preserve">Cleaner (SR Type)(SST)      (3LoadPort)</t>
  </si>
  <si>
    <t xml:space="preserve">103524</t>
  </si>
  <si>
    <t xml:space="preserve">Cleaner (MP Type) (2_AM1/2_DHF) (2LoadPort)</t>
  </si>
  <si>
    <t xml:space="preserve">109164</t>
  </si>
  <si>
    <t xml:space="preserve">SS-3000</t>
  </si>
  <si>
    <t xml:space="preserve">109165</t>
  </si>
  <si>
    <t xml:space="preserve">109166</t>
  </si>
  <si>
    <t xml:space="preserve">109167</t>
  </si>
  <si>
    <t xml:space="preserve">109168</t>
  </si>
  <si>
    <t xml:space="preserve">108401</t>
  </si>
  <si>
    <t xml:space="preserve">MP-3000</t>
  </si>
  <si>
    <t xml:space="preserve">Single Wafer Processing</t>
  </si>
  <si>
    <t xml:space="preserve">108156</t>
  </si>
  <si>
    <t xml:space="preserve">SS-W80A-AR</t>
  </si>
  <si>
    <t xml:space="preserve">Wafer &amp; Mask Scrubber</t>
  </si>
  <si>
    <t xml:space="preserve">108157</t>
  </si>
  <si>
    <t xml:space="preserve">De-installed, warehoused. Can be inspected by appointment 4C/H</t>
  </si>
  <si>
    <t xml:space="preserve">105871</t>
  </si>
  <si>
    <t xml:space="preserve">2-39-06099</t>
  </si>
  <si>
    <t xml:space="preserve">NISSHIN VACUUM  gauge 0-76 cmHg</t>
  </si>
  <si>
    <t xml:space="preserve">105872</t>
  </si>
  <si>
    <t xml:space="preserve">2-39-06106</t>
  </si>
  <si>
    <t xml:space="preserve">NISSHIN pressure gauge 0-0.5 kgf cm2</t>
  </si>
  <si>
    <t xml:space="preserve">93076</t>
  </si>
  <si>
    <t xml:space="preserve">SK-200W-AVPF</t>
  </si>
  <si>
    <t xml:space="preserve">Coater / Developer system (2C/2D)</t>
  </si>
  <si>
    <t xml:space="preserve">93077</t>
  </si>
  <si>
    <t xml:space="preserve">SK-200W-BVPE</t>
  </si>
  <si>
    <t xml:space="preserve">i-Line Photo Track Coater (3C3D)</t>
  </si>
  <si>
    <t xml:space="preserve">106648</t>
  </si>
  <si>
    <t xml:space="preserve">WET SCRUBBER – Including HDD</t>
  </si>
  <si>
    <t xml:space="preserve">106649</t>
  </si>
  <si>
    <t xml:space="preserve">WET SCRUBBER – No HDD</t>
  </si>
  <si>
    <t xml:space="preserve">108697</t>
  </si>
  <si>
    <t xml:space="preserve">SU3000 Acquaspin</t>
  </si>
  <si>
    <t xml:space="preserve">Wet wafer acid processing</t>
  </si>
  <si>
    <t xml:space="preserve">Configuration: 12" Wafer cleaning system 4 AQUASPIN Chambers Spin 1 SRM 
Spin 2 MPC Bevel Spin 3 MPC Spin 4 MPC JDP Factory interface 2 FOUP's 
Complete system including all delivery systems</t>
  </si>
  <si>
    <t xml:space="preserve">106650</t>
  </si>
  <si>
    <t xml:space="preserve">106651</t>
  </si>
  <si>
    <t xml:space="preserve">106652</t>
  </si>
  <si>
    <t xml:space="preserve">Wafer Scrubber (4Back) (Including HDD)</t>
  </si>
  <si>
    <t xml:space="preserve">106653</t>
  </si>
  <si>
    <t xml:space="preserve">106654</t>
  </si>
  <si>
    <t xml:space="preserve">SU3100</t>
  </si>
  <si>
    <t xml:space="preserve">WET ETCH</t>
  </si>
  <si>
    <t xml:space="preserve">108201</t>
  </si>
  <si>
    <t xml:space="preserve">INSPECTION SCOPE</t>
  </si>
  <si>
    <t xml:space="preserve">Inspection Scope</t>
  </si>
  <si>
    <t xml:space="preserve">91581</t>
  </si>
  <si>
    <t xml:space="preserve">SK-80BW AVPE</t>
  </si>
  <si>
    <t xml:space="preserve">Photoresist Coater and Developer system (2C/2D)</t>
  </si>
  <si>
    <t xml:space="preserve">1. SYSTEM POWER RATING: 208 AC 3-PHASE
2. LOADING CONFIGURATION: Right side to Left
SYSTEM CONFIGURATION
1. MAIN BODY X 1
2. CASSETTE INDEX STATION 1 X 4 SIDE LOADING x1
3. WAFER TRANSFER ROBOT X 1
4. ETU with THC: 2Head control
5. CCD Cabinet
6. LCSS(Developer supply only)
Controller information
1. Main controller : NEC 9801B Model2
2. Language : English
- Coater -
1. 4PR nozzle system
2. PR Pump : Iwaki bellow pump
3. EBR
4. Back rinse
5. Cup rinse
- Developer -
1. DEV nozzle 1/2
2. DI rinse nozzle 1/2
3. Pre-wet nozzle
4. Back rinse
5. Dev nozzle tip : 4 side hole type
De-installed, warehoused. Can be inspected by appointment.</t>
  </si>
  <si>
    <t xml:space="preserve">18878</t>
  </si>
  <si>
    <t xml:space="preserve">806 9406</t>
  </si>
  <si>
    <t xml:space="preserve">D-SPIN 60A Instruction manual</t>
  </si>
  <si>
    <t xml:space="preserve">18879</t>
  </si>
  <si>
    <t xml:space="preserve">803-9605</t>
  </si>
  <si>
    <t xml:space="preserve">D-SPIN 80A Parts list </t>
  </si>
  <si>
    <t xml:space="preserve">18880</t>
  </si>
  <si>
    <t xml:space="preserve">8089702</t>
  </si>
  <si>
    <t xml:space="preserve">D-SPIN 80A Engineer's manual</t>
  </si>
  <si>
    <t xml:space="preserve">18881</t>
  </si>
  <si>
    <t xml:space="preserve">2229</t>
  </si>
  <si>
    <t xml:space="preserve">D-SPIN 80A Electrical circuit diagram</t>
  </si>
  <si>
    <t xml:space="preserve">18882</t>
  </si>
  <si>
    <t xml:space="preserve">603 9309</t>
  </si>
  <si>
    <t xml:space="preserve">D-SPIN 60A Part list</t>
  </si>
  <si>
    <t xml:space="preserve">93378</t>
  </si>
  <si>
    <t xml:space="preserve">WS820L</t>
  </si>
  <si>
    <t xml:space="preserve">Wet Bench (Porous Silicon Process)</t>
  </si>
  <si>
    <t xml:space="preserve">-Very good condition and available for immediate purchase
-Full system documentation , manuals and videos available on request
-Has been set up for use with square solar wafers
Summary of technical information:-
. Automated Alpha Tool (Double Sided Porous
Silicon: 25 wafer batch) based on WS-820L platform
retrofittable to 50 wafer batch double sided
a. Wafer size 200mm
b. Wafer Flow Left to right
c. Cassette included
2. Components to include:
a. Main body – 1 unit
b. Loader – 1 unit
c. Unloader – 1 unit
d. Two robots for bath to bath transfer systems –
one robot for wet wafers and one for dry wafers;
Robot arms to be Teflon coated quartz - 2 units
e. Double Sided Porous Silicon bath – 1 unit
f. Electrical Breaker Box for U.S. safety regulation
g. CD ROM Manuals
h. Material is FM-PVC to meet FM4910 criteria
3. System description:
a. Position 1 : Loader (CTC type)
b. Position 2 : CHCL (Robot Chuck Clean)
c. Position 3 : PS (Single-Double Sided Porous
Silicon bath)
d. Position 4 : QDR (Quick Dump Rinse)
e. Position 5 : SD (Spin Dryer)
f. Position 6 : Unloader (CTC type)
4. Other components:
a. Notch Aligner
b. Wafer Counter
c. IPA replenishment function for PS bath(w/ anti
explosion)
d. HF49% replenishment function for PS bath
e. Fire extinguisher system for PS bath
Includes 2 pcs BCDS cabinets</t>
  </si>
  <si>
    <t xml:space="preserve">18883</t>
  </si>
  <si>
    <t xml:space="preserve">006 9105</t>
  </si>
  <si>
    <t xml:space="preserve">D-SPIN 622 Service manual / part list</t>
  </si>
  <si>
    <t xml:space="preserve">18884</t>
  </si>
  <si>
    <t xml:space="preserve">6398</t>
  </si>
  <si>
    <t xml:space="preserve">D-SPIN 60 A Electrical circuit diagram</t>
  </si>
  <si>
    <t xml:space="preserve">18885</t>
  </si>
  <si>
    <t xml:space="preserve">D-SPIN 60 A Part list</t>
  </si>
  <si>
    <t xml:space="preserve">18886</t>
  </si>
  <si>
    <t xml:space="preserve">D-SPIN 60A Service manual</t>
  </si>
  <si>
    <t xml:space="preserve">18887</t>
  </si>
  <si>
    <t xml:space="preserve">806-9311</t>
  </si>
  <si>
    <t xml:space="preserve">18888</t>
  </si>
  <si>
    <t xml:space="preserve">603-9311</t>
  </si>
  <si>
    <t xml:space="preserve">18889</t>
  </si>
  <si>
    <t xml:space="preserve">806-9371</t>
  </si>
  <si>
    <t xml:space="preserve">D-SPIN 60 Instruction manual</t>
  </si>
  <si>
    <t xml:space="preserve">98268</t>
  </si>
  <si>
    <t xml:space="preserve">SS-3100</t>
  </si>
  <si>
    <t xml:space="preserve">WET Scrubber</t>
  </si>
  <si>
    <t xml:space="preserve">Software Version: YM200N
Process: 4F/4B
Hardware Configuration
Main System 	Main Body 	1
SMIF System 	Shinko Selop Loadports 	4
Handler System 	Indexer Robot 	1
  	Transfer Robot 	1
  	PASS transfer 	1
  	SS Chuck 	4
  	SSR Chuck 	4
  	Reverser 	2
Process Chambers 	SC 1 	1
  	CO2 WATER 	1
  	Rinse/spin dry 	1
Equipment Configuration
Front side Chamber 	4 units
Vacuum chuck 	4 set
SC1 Nozzle 	4 set
CO2 rinse Dry each chamber 	4 set
Brush clean scan 	4 set
Bevel brush 	4 set
Nanospray scan 	4 set
Backside Chamber 	4 units
Chuck pin chuck 	4 units
SC1 Nozzle 	4 set
CO2 rinse Dry each chamber 	4 set
Brush clean scan 	4 set
Nanospray scan 	4 set
Reverser 	 
Reverser to flip wafers for backside processing 	1 unit
Reverser to flip wafers for return to device side up 	1 unit
Transport 	1 unit
Kawasaki IR (indexer robot) 	1 unit
PASS (between IR and CR) 	1 unit
Kawasaki TR (transfer robot) 	1 unit
Please check pictures below for more information</t>
  </si>
  <si>
    <t xml:space="preserve">94447</t>
  </si>
  <si>
    <t xml:space="preserve">DNS SS-3000-A</t>
  </si>
  <si>
    <t xml:space="preserve">Bevel Scrubber (4F)</t>
  </si>
  <si>
    <t xml:space="preserve">94448</t>
  </si>
  <si>
    <t xml:space="preserve">94449</t>
  </si>
  <si>
    <t xml:space="preserve">Wafer Scrubber (4Front)</t>
  </si>
  <si>
    <t xml:space="preserve">94450</t>
  </si>
  <si>
    <t xml:space="preserve">DNS SS-3000-AR</t>
  </si>
  <si>
    <t xml:space="preserve">Bevel Scrubber (4B)</t>
  </si>
  <si>
    <t xml:space="preserve">106738</t>
  </si>
  <si>
    <t xml:space="preserve">DUOI</t>
  </si>
  <si>
    <t xml:space="preserve">ARF-I TRACK</t>
  </si>
  <si>
    <t xml:space="preserve">94451</t>
  </si>
  <si>
    <t xml:space="preserve">94452</t>
  </si>
  <si>
    <t xml:space="preserve">94454</t>
  </si>
  <si>
    <t xml:space="preserve">DNS SU-3000</t>
  </si>
  <si>
    <t xml:space="preserve">Cleaner (MP Type)(DHF)    (2LoadPort)</t>
  </si>
  <si>
    <t xml:space="preserve">94456</t>
  </si>
  <si>
    <t xml:space="preserve">Cleaner (SR Type)(SST)                (3LoadPort)</t>
  </si>
  <si>
    <t xml:space="preserve">109567</t>
  </si>
  <si>
    <t xml:space="preserve">Batch Wafer Cleaner</t>
  </si>
  <si>
    <t xml:space="preserve">-Professionally deinstalled and warehoused
-Can be inspected by appointment
1.Fundamental Data               
    Wafer size    12"        Process    WAFER SCRUBBER
    Model    SS 3000-AR           
    Maker    DNS           
2.Configuration of equipment       
1) SYSTEM COMPOSITION       
    SS 3000-AR    4 Front
    1    Load Port
    2    INDEX UNIT
    3    MAIN BODY
2) GENERAL SPEC               
    WAFER    TYPE    THICKNESS    DIAMETER       
    MAIN PRESSURE ALARM    DI,AIR,VAC,EXH,N2        
    PROCESS FORMULA           
    BRUSH    NO USE       
    ZET NOZZLE    NO USE       
    E-FLOW     UNIT-3,4,5,6 Back &amp; Front Nozzle       
    NANO SPRAY NOZZLE     1 NOZZLE       
    RINSE NOZZLE     2 Front Rinse Nozzle       
    BACK RINSE NOZZLE     2 BaCk Rinse Nozzle       
3)SYSTEM       
    UNIT  MATERRIAL   
    CONTROL FORMULA    UMC
    INDEX-R    IDA
    MOVING STAGE    TR  UNIT2
    SPIN UNIT     UNIT5,6
    SPIN UNIT    FRONT  UNIT3,4
    RETURN UNIT    FRONT  UNIT7,8
    DI RESISTBITY COTROL    AS
    FLOW METER SENSOR    RK
4)UMC       
    MAIN CONTROLLER   
    UNIT CONTROLLER   
    MEMORY SYSTEM   
    SPIN PROGRAM   
5)IDA       
    W/F SENSING    PENETRATION TYPE PHOTOSENSOR
    ARM MOVE Y    SERVO MOTOR
    ARM MOVE X,Z    STEPPING MOTOR
    CASSETTE SIZE    25SLOT
6)TR       
    W/F SENSING    PENETRATION TYPE PHOTOSENSOR
    ARM Y,Z    AC SERVO MOTOR
    ARM X,θ    STEPPING MOTOR
    ARM MATERIAL    POLYMID
7)SSV (Front)           
    SCRUBBER TYPE    NANO SPRAY NOZZLE
    RINSE TYPE    DI RINSE 1,2, BACK RINSE
    SPIN MOTOR     0~6000rpm(10rpm,CCW), ACCELERATION 30000rpm/s
8.Utility List       
    AIR    MAIN BODY
    N2    MAIN BODY
    VACUUM    MAIN BODY
    DI IN    MAIN BODY
    DI OUT    MAIN BODY
    NEUTRAL EXHAUST    MAIN BODY (SPIN)
    DRAIN    MAIN BODY
    AIR    SUPPLY BOX
    N2    SUPPLY BOX
    DI    SUPPLY BOX
    DI    SUPPLY BOX
    POWER    SUPPLY BOX</t>
  </si>
  <si>
    <t xml:space="preserve">110621</t>
  </si>
  <si>
    <t xml:space="preserve">DNS / Sokudo</t>
  </si>
  <si>
    <t xml:space="preserve">RF3</t>
  </si>
  <si>
    <t xml:space="preserve">108220</t>
  </si>
  <si>
    <t xml:space="preserve">DNS / SOKUDO</t>
  </si>
  <si>
    <t xml:space="preserve">Photoresist Coater and Developer Track</t>
  </si>
  <si>
    <t xml:space="preserve">Configuration:-
-See attached the block diagram of the tool
1. Main Body Frame (Left to Right wafer flow)
2. Indexer with 2 load ports
3. B2 3 Resist cups, 1 Develop cup
Coat module B2-SC#1- pumped dispense for: -
- B2-SC#1, Nozzle #1 = 1 x PDS-105 pump (ArF resist - filtered)
- B2-SC#1, Nozzle #2 = 1 x PDS-107 pump (no filter, by-pass filter housing 
only)
- B2-SC#1, Nozzles #3 - #10 = future use nozzles and dispense lines (pumps 
not included)
- Pre wet nozzle required
- Top EBR - Solvent
- Back EBR - Solvent
Coat module B2-SC#2- pumped dispense for: -
- B2-SC#2, Nozzle #1 = 1 x PDS-105 pump (no filter, by-pass filter housing 
only)
- B2-SC#2, Nozzles #2 - #10 = future use nozzles and dispense lines (pumps 
not included)
- Pre wet nozzle required
- Top EBR - Acetone
- Back EBR - Acetone
Coat module B2-SC#3- pumped dispense for: -
- Nozzle #1 - Acetone (semiconductor grade)
- Nozzle #2 - IPA (99% semiconductor grade)
- Nozzle #3 - DI Water
- Nozzle #4 - #10 - future use nozzles and dispense lines (pumps not 
included)
- Pre wet nozzle required
- Top EBR - Acetone
- Back EBR - Acetone
B2-SD#1 - standard develop module with ECO nozzle as dispense system
Thermal Modules:
- RHP 1 unit
- CP 4 units
- HP 4 units
5.B3 4 Resist cup
Coat module B3-SC#1- pumped dispense for: -
- B3-SC#1, Nozzles #1 - #10 = PDS-105 pumps (no filter, by-pass filter 
housing only)
- Pre wet nozzle required
- Top EBR - not required
- Back EBR - not required
Coat module B3-SC#2- pumped dispense for: -
- B3-SC#2, Nozzles #1 - #10 = PDS-105 pumps (no filter, by-pass filter 
housing only)
- Pre wet nozzle required
- Top EBR - not required
- Back EBR - not required
Coat module B3-SC#3- pumped dispense for: -
- Nozzle #1 - Acetone (semiconductor grade)
- Nozzle #2 - IPA (99% semiconductor grade)
- Nozzle #3 - DI Water
- Nozzle #4 - #10 - future use nozzles and dispense lines (pumps not 
included)
- Pre wet nozzle required
- Top EBR - Acetone
- Back EBR - Acetone
Coat module B3-SC#4- pumped dispense for: -
- Nozzle #1 - Acetone (semiconductor grade)
- Nozzle #2 - IPA (99% semiconductor grade)
- Nozzle #3 - DI Water
- Nozzle #4 - #10 - future use nozzles and dispense lines (pumps not 
included)
- Pre wet nozzle required
- Top EBR - Acetone
- Back EBR - Acetone
Oven
- F-RHP 3 units
- CP 3 units
- HP 2 units
6. Software
Flex Flow Software
GEM
7. Supporting Units
ACU cabinet -Support B2-SC#1 only 1 unit
SC cabinet 2 units
SC cabinet#1
- Supporting B2-SC#3, B3-SC#3, B3-SC#4 for IPA pressurized dispense via 
nozzles
- Supporting B2-SC#3, B3-SC#3, B3-SC#4 for Acetone pressurized dispense via 
nozzles
SC cabinet#2
- Supporting B2-SC#2, B2-SC#3, B3-SC#3, B3-SC#4 for Top &amp; Bottom Acetone 
EBR
- Supporting B2-SC#1 for solvent Top EBR and Bottom EBR
SD cabinet -Support B2-SD#1 module only- 1 unit
Canister cabinets -Feeding SC cabinets, SD cabinet and supporting pre wet 
nozzles
ETU cabinet -Supporting B2-SC#1 Nozzle #1 and B2-SD#1 Nozzle #1 1 unit
Power box 1 unit
8. Others
Tower Lamp -SOKUDO standard spec
Third Party Electrical Site Inspection
Installation
Compliance to mutually agreeable Performance Specification (details TBD)
Training Credits for 4 Engineers
9. Special requirements
Water jacket control for B3-SC#1 and 2
- Will support all 10 dispense lines at 65C for a minimum time of 10 
minutes (5ml dispenses)
Waste fluid cabinet for B2 SC#1-3 and B3 SC#1-4
- Will support waste containment for SC modules- includes auto switching 
function
between qty 2 waste containers (~5G each)</t>
  </si>
  <si>
    <t xml:space="preserve">83876</t>
  </si>
  <si>
    <t xml:space="preserve">DOMNICK HUNTER</t>
  </si>
  <si>
    <t xml:space="preserve">QR 010 REV.4.0</t>
  </si>
  <si>
    <t xml:space="preserve">FILTER</t>
  </si>
  <si>
    <t xml:space="preserve">QR 010 Rev.4.0
DELIVERY DOCKET No.A03-4075-10
DIRECT TO STOCK
WEIGTH: 100 GR.
DIMENSION: 16 CM.X 7 CM. X 7 CM. (H) FOR EACH
THE IS FOR EACH</t>
  </si>
  <si>
    <t xml:space="preserve">107440</t>
  </si>
  <si>
    <t xml:space="preserve">Dressler</t>
  </si>
  <si>
    <t xml:space="preserve">107444</t>
  </si>
  <si>
    <t xml:space="preserve">VM 700 A</t>
  </si>
  <si>
    <t xml:space="preserve">110046</t>
  </si>
  <si>
    <t xml:space="preserve">110047</t>
  </si>
  <si>
    <t xml:space="preserve">110048</t>
  </si>
  <si>
    <t xml:space="preserve">110049</t>
  </si>
  <si>
    <t xml:space="preserve">Cesar 133</t>
  </si>
  <si>
    <t xml:space="preserve">110050</t>
  </si>
  <si>
    <t xml:space="preserve">Cesar 1330</t>
  </si>
  <si>
    <t xml:space="preserve">110051</t>
  </si>
  <si>
    <t xml:space="preserve">110052</t>
  </si>
  <si>
    <t xml:space="preserve">110053</t>
  </si>
  <si>
    <t xml:space="preserve">110054</t>
  </si>
  <si>
    <t xml:space="preserve">110055</t>
  </si>
  <si>
    <t xml:space="preserve">110056</t>
  </si>
  <si>
    <t xml:space="preserve">110057</t>
  </si>
  <si>
    <t xml:space="preserve">Cesar 2740</t>
  </si>
  <si>
    <t xml:space="preserve">110058</t>
  </si>
  <si>
    <t xml:space="preserve">Hilight</t>
  </si>
  <si>
    <t xml:space="preserve">Sold Ex-Works, UK Office , Part Number:HILIGHT 012PSVC0</t>
  </si>
  <si>
    <t xml:space="preserve">110059</t>
  </si>
  <si>
    <t xml:space="preserve">110060</t>
  </si>
  <si>
    <t xml:space="preserve">110061</t>
  </si>
  <si>
    <t xml:space="preserve">110062</t>
  </si>
  <si>
    <t xml:space="preserve">110063</t>
  </si>
  <si>
    <t xml:space="preserve">110064</t>
  </si>
  <si>
    <t xml:space="preserve">110065</t>
  </si>
  <si>
    <t xml:space="preserve">110066</t>
  </si>
  <si>
    <t xml:space="preserve">110067</t>
  </si>
  <si>
    <t xml:space="preserve">110068</t>
  </si>
  <si>
    <t xml:space="preserve">110069</t>
  </si>
  <si>
    <t xml:space="preserve">110070</t>
  </si>
  <si>
    <t xml:space="preserve">83568</t>
  </si>
  <si>
    <t xml:space="preserve">Driver board</t>
  </si>
  <si>
    <t xml:space="preserve">005843</t>
  </si>
  <si>
    <t xml:space="preserve">Stepper motor driver board </t>
  </si>
  <si>
    <t xml:space="preserve">005843 REV B/REV F driver board
unknown mfr
with led display
 </t>
  </si>
  <si>
    <t xml:space="preserve">110071</t>
  </si>
  <si>
    <t xml:space="preserve">Drytech</t>
  </si>
  <si>
    <t xml:space="preserve">13.56Mhz Power Source</t>
  </si>
  <si>
    <t xml:space="preserve">Sold Ex-Works, UK Office , Part Number:2600560</t>
  </si>
  <si>
    <t xml:space="preserve">105864</t>
  </si>
  <si>
    <t xml:space="preserve">DWYER</t>
  </si>
  <si>
    <t xml:space="preserve">RMA-10-SSV</t>
  </si>
  <si>
    <t xml:space="preserve">AIR FLOWMETER,1/8 NPT CONN.,UP TO 100PSI</t>
  </si>
  <si>
    <t xml:space="preserve">NEW IN BOX
WITH INSTRUCTIONS</t>
  </si>
  <si>
    <t xml:space="preserve">79394</t>
  </si>
  <si>
    <t xml:space="preserve">Ebara</t>
  </si>
  <si>
    <t xml:space="preserve">A30W</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</si>
  <si>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</si>
  <si>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</si>
  <si>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</si>
  <si>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108620</t>
  </si>
  <si>
    <t xml:space="preserve">EBARA</t>
  </si>
  <si>
    <t xml:space="preserve">AA70WN</t>
  </si>
  <si>
    <t xml:space="preserve">108621</t>
  </si>
  <si>
    <t xml:space="preserve">AA70W</t>
  </si>
  <si>
    <t xml:space="preserve">108622</t>
  </si>
  <si>
    <t xml:space="preserve">77147</t>
  </si>
  <si>
    <t xml:space="preserve">Ebanet 1250 AD</t>
  </si>
  <si>
    <t xml:space="preserve">Communications module for dry pumps</t>
  </si>
  <si>
    <t xml:space="preserve">facilities</t>
  </si>
  <si>
    <t xml:space="preserve">Location: The office, Naples, Italy
Condition: Used
In working condition
weight 720 Grams
dimensions = 22 cm x 26 cm x 17 cm ( In cardboard shipping box)</t>
  </si>
  <si>
    <t xml:space="preserve">109172</t>
  </si>
  <si>
    <t xml:space="preserve">FREX300 Tungsten</t>
  </si>
  <si>
    <t xml:space="preserve">Tungsten CMP</t>
  </si>
  <si>
    <t xml:space="preserve">109173</t>
  </si>
  <si>
    <t xml:space="preserve">FREX300S Tungsten</t>
  </si>
  <si>
    <t xml:space="preserve">109174</t>
  </si>
  <si>
    <t xml:space="preserve">108408</t>
  </si>
  <si>
    <t xml:space="preserve">108409</t>
  </si>
  <si>
    <t xml:space="preserve">FREX300S Poly/STI</t>
  </si>
  <si>
    <t xml:space="preserve">108410</t>
  </si>
  <si>
    <t xml:space="preserve">108411</t>
  </si>
  <si>
    <t xml:space="preserve">FREX300S2 Tungsten</t>
  </si>
  <si>
    <t xml:space="preserve">98460</t>
  </si>
  <si>
    <t xml:space="preserve">Frex 300</t>
  </si>
  <si>
    <t xml:space="preserve">W CMP</t>
  </si>
  <si>
    <t xml:space="preserve">Deinstalled, warehoused. Can be inspected by appointment.
HDD NOT INCLUDED, otherwise complete and in excellent condition</t>
  </si>
  <si>
    <t xml:space="preserve">98461</t>
  </si>
  <si>
    <t xml:space="preserve">STI CMP ( missing front end robot and load port)</t>
  </si>
  <si>
    <t xml:space="preserve">70304</t>
  </si>
  <si>
    <t xml:space="preserve">30024-02</t>
  </si>
  <si>
    <t xml:space="preserve">RING, ONE PIECE EBARA FREX 200</t>
  </si>
  <si>
    <t xml:space="preserve">FOR EBARA FREX 200</t>
  </si>
  <si>
    <t xml:space="preserve">70305</t>
  </si>
  <si>
    <t xml:space="preserve">C-1120-008-0001</t>
  </si>
  <si>
    <t xml:space="preserve">BALL SCREW, APROX 170 CM LENGTH, FOR EBARA FREX 200</t>
  </si>
  <si>
    <t xml:space="preserve">NEW IN BOX
FOR EBARA FREX 200
S/N 070066401
</t>
  </si>
  <si>
    <t xml:space="preserve">70306</t>
  </si>
  <si>
    <t xml:space="preserve">FREX 200 (Spares)</t>
  </si>
  <si>
    <t xml:space="preserve">PRESSURE SENSITIVE VALVE  FOR EBARA FREX 200</t>
  </si>
  <si>
    <t xml:space="preserve">pressure sensitive valve, 20 TO 350 Pa
FOR EBARA FREX 200</t>
  </si>
  <si>
    <t xml:space="preserve">106174</t>
  </si>
  <si>
    <t xml:space="preserve">AAS70WN</t>
  </si>
  <si>
    <t xml:space="preserve">Dry pump</t>
  </si>
  <si>
    <t xml:space="preserve">Dry pumps only
 </t>
  </si>
  <si>
    <t xml:space="preserve">106466</t>
  </si>
  <si>
    <t xml:space="preserve">ECI</t>
  </si>
  <si>
    <t xml:space="preserve">QL-10-EX</t>
  </si>
  <si>
    <t xml:space="preserve">PLATING BATH ANALYSER</t>
  </si>
  <si>
    <t xml:space="preserve">107007</t>
  </si>
  <si>
    <t xml:space="preserve">ECO Snow</t>
  </si>
  <si>
    <t xml:space="preserve">VersaClean 1200</t>
  </si>
  <si>
    <t xml:space="preserve">Mask / Substrate cleaner</t>
  </si>
  <si>
    <t xml:space="preserve">The equipment has been de-installed to a storage area. The equipment was 
fully functional before it was removed from service and was very little 
used in an R and D environment.
Located in Europe. This therefore has European voltage set up and CE mark. 
Fully automated. Cassette to cassette. See attached photos for details.</t>
  </si>
  <si>
    <t xml:space="preserve">80001</t>
  </si>
  <si>
    <t xml:space="preserve">EDA Industries</t>
  </si>
  <si>
    <t xml:space="preserve">PCBA 05568 REV 1.6</t>
  </si>
  <si>
    <t xml:space="preserve">Pattern test Driver module for BIB oven</t>
  </si>
  <si>
    <t xml:space="preserve">Reliability</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</si>
  <si>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</si>
  <si>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 xml:space="preserve">80029</t>
  </si>
  <si>
    <t xml:space="preserve">PCBA 05758 </t>
  </si>
  <si>
    <t xml:space="preserve">UBTS Diagnostic Board for BIB oven</t>
  </si>
  <si>
    <t xml:space="preserve">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</si>
  <si>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 xml:space="preserve">80030</t>
  </si>
  <si>
    <t xml:space="preserve">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</si>
  <si>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 xml:space="preserve">80031</t>
  </si>
  <si>
    <t xml:space="preserve">PCBA 05431</t>
  </si>
  <si>
    <t xml:space="preserve">DRIVER module for BIB oven</t>
  </si>
  <si>
    <t xml:space="preserve">POWER SUPPLY MODULE FOR RELIABILITY OVEN MANUFACTURED BY EDA INDUSTRIES SpA 
Italy.
WEIGHT AND DIMS OF BOX CONTAINING QTY 6 PSUs: 21 cm x 40 cm x 17 cm weight 
2 KG
Location: Avezzano (AQ) 67051 Italy.
Warehoused and crated.
</t>
  </si>
  <si>
    <t xml:space="preserve">80032</t>
  </si>
  <si>
    <t xml:space="preserve">PCBA 07009</t>
  </si>
  <si>
    <t xml:space="preserve">PTDM TO ART 200 EXTENDER CARD</t>
  </si>
  <si>
    <t xml:space="preserve">EXTENDER CARD FOR  RELIABILITY OVEN MANUFACTURED BY EDA INDUSTRIES SpA 
Italy.
Dimensions of box containing board: 60 cm (l) x 18 cm (w) x 8 cm (h)
Weight of board: 2 KG
Location: Avezzano (AQ) 67051 Italy.
Warehoused and crated.</t>
  </si>
  <si>
    <t xml:space="preserve">80040</t>
  </si>
  <si>
    <t xml:space="preserve">PCBA 05568 REV 1.4</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</si>
  <si>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</si>
  <si>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 xml:space="preserve">80041</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</si>
  <si>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</si>
  <si>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 xml:space="preserve">80042</t>
  </si>
  <si>
    <t xml:space="preserve">PCBA 05568 REV 1.2</t>
  </si>
  <si>
    <t xml:space="preserve">Pattern test Driver module for BIB oven with 6 drivers</t>
  </si>
  <si>
    <t xml:space="preserve">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</si>
  <si>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 xml:space="preserve">80045</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</si>
  <si>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</si>
  <si>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 xml:space="preserve">80052</t>
  </si>
  <si>
    <t xml:space="preserve">PCBA 05568 REV 1.3</t>
  </si>
  <si>
    <t xml:space="preserve">Pattern test Driver module for BIB oven with 3 x PSU</t>
  </si>
  <si>
    <t xml:space="preserve">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</si>
  <si>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 xml:space="preserve">80080</t>
  </si>
  <si>
    <t xml:space="preserve">Pattern test Driver PCB for BIB oven</t>
  </si>
  <si>
    <t xml:space="preserve">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</si>
  <si>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 xml:space="preserve">80081</t>
  </si>
  <si>
    <t xml:space="preserve">Pattern test Driver PCB for BIB oven with 6 drivers</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</si>
  <si>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</si>
  <si>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80082</t>
  </si>
  <si>
    <t xml:space="preserve">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</si>
  <si>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 xml:space="preserve">80084</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</si>
  <si>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</si>
  <si>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80033</t>
  </si>
  <si>
    <t xml:space="preserve">EDA Industries ERNI</t>
  </si>
  <si>
    <t xml:space="preserve">914796 RC</t>
  </si>
  <si>
    <t xml:space="preserve">BURN IN BOARD SOCKET Hard Metric Connectors (154 Contacts, Vertical, Gold Plated). </t>
  </si>
  <si>
    <t xml:space="preserve">256</t>
  </si>
  <si>
    <t xml:space="preserve">NEW UNUSED.
FOR  RELIABILITY OVEN MANUFACTURED BY EDA INDUSTRIES SpA Italy.
Dimensions of box containing SOCKETS: 34 cm (l) x 35 cm (w) x 15 cm (h)
Location: Avezzano (AQ) 67051 Italy.
Warehoused and crated.
ERNI 914796  Hard Metric Connectors (154 Contacts, Vertical, Gold Plated).</t>
  </si>
  <si>
    <t xml:space="preserve">106200</t>
  </si>
  <si>
    <t xml:space="preserve">EDAX</t>
  </si>
  <si>
    <t xml:space="preserve">Eagle 2</t>
  </si>
  <si>
    <t xml:space="preserve">Micro-probe EDX analyser</t>
  </si>
  <si>
    <t xml:space="preserve">- in working condition (Still installed)
-see photo for details
-was little used in an R and D laboratory</t>
  </si>
  <si>
    <t xml:space="preserve">82180</t>
  </si>
  <si>
    <t xml:space="preserve">Edwards</t>
  </si>
  <si>
    <t xml:space="preserve">Flange</t>
  </si>
  <si>
    <t xml:space="preserve">Edwards pump flange 10 7/8" i.d. 11 3/8" O.D.</t>
  </si>
  <si>
    <t xml:space="preserve">  Inner Dimension 10 7/8" Outer Dimension 11 3/8"
27.5cm I.D. 29cm o.d.
Stainless steel, used
Boerne,TX Warehouse </t>
  </si>
  <si>
    <t xml:space="preserve">109572</t>
  </si>
  <si>
    <t xml:space="preserve">EDWARDS</t>
  </si>
  <si>
    <t xml:space="preserve">iH1000 Mark 5</t>
  </si>
  <si>
    <t xml:space="preserve">50</t>
  </si>
  <si>
    <t xml:space="preserve">109573</t>
  </si>
  <si>
    <t xml:space="preserve">iH1800 Mark 5</t>
  </si>
  <si>
    <t xml:space="preserve">98059</t>
  </si>
  <si>
    <t xml:space="preserve">iXH-1820H</t>
  </si>
  <si>
    <t xml:space="preserve">Dry Pump</t>
  </si>
  <si>
    <t xml:space="preserve">98060</t>
  </si>
  <si>
    <t xml:space="preserve">iGX100L</t>
  </si>
  <si>
    <t xml:space="preserve">108812</t>
  </si>
  <si>
    <t xml:space="preserve">E2M5</t>
  </si>
  <si>
    <t xml:space="preserve">Mechanical Vacuum Pump</t>
  </si>
  <si>
    <t xml:space="preserve">108813</t>
  </si>
  <si>
    <t xml:space="preserve">E2M18</t>
  </si>
  <si>
    <t xml:space="preserve">108814</t>
  </si>
  <si>
    <t xml:space="preserve">iQDP80/QMB500</t>
  </si>
  <si>
    <t xml:space="preserve">Dry Vacuum Pump/Blower Package, with Lower Enclosure</t>
  </si>
  <si>
    <t xml:space="preserve">108564</t>
  </si>
  <si>
    <t xml:space="preserve">EPX500NE</t>
  </si>
  <si>
    <t xml:space="preserve">97081</t>
  </si>
  <si>
    <t xml:space="preserve">STP-XH2603P</t>
  </si>
  <si>
    <t xml:space="preserve">Turbomolecular pump</t>
  </si>
  <si>
    <t xml:space="preserve">IN WORKING CONDITION</t>
  </si>
  <si>
    <t xml:space="preserve">97082</t>
  </si>
  <si>
    <t xml:space="preserve">STP-1003C</t>
  </si>
  <si>
    <t xml:space="preserve">Please check pictures below for more information</t>
  </si>
  <si>
    <t xml:space="preserve">97083</t>
  </si>
  <si>
    <t xml:space="preserve">ih600 Mk5</t>
  </si>
  <si>
    <t xml:space="preserve">Vacuum pump</t>
  </si>
  <si>
    <t xml:space="preserve">Includes pump, controller and cable</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</si>
  <si>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</si>
  <si>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</si>
  <si>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</si>
  <si>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</si>
  <si>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108623</t>
  </si>
  <si>
    <t xml:space="preserve">QMB500</t>
  </si>
  <si>
    <t xml:space="preserve">108624</t>
  </si>
  <si>
    <t xml:space="preserve">IPX100A</t>
  </si>
  <si>
    <t xml:space="preserve">108625</t>
  </si>
  <si>
    <t xml:space="preserve">IPX100</t>
  </si>
  <si>
    <t xml:space="preserve">108626</t>
  </si>
  <si>
    <t xml:space="preserve">IH1800</t>
  </si>
  <si>
    <t xml:space="preserve">108627</t>
  </si>
  <si>
    <t xml:space="preserve">IH1000</t>
  </si>
  <si>
    <t xml:space="preserve">21</t>
  </si>
  <si>
    <t xml:space="preserve">108628</t>
  </si>
  <si>
    <t xml:space="preserve">IGX100L</t>
  </si>
  <si>
    <t xml:space="preserve">108629</t>
  </si>
  <si>
    <t xml:space="preserve">IGX1000N</t>
  </si>
  <si>
    <t xml:space="preserve">108630</t>
  </si>
  <si>
    <t xml:space="preserve">EPXTWIN180L</t>
  </si>
  <si>
    <t xml:space="preserve">108631</t>
  </si>
  <si>
    <t xml:space="preserve">EPX500LE</t>
  </si>
  <si>
    <t xml:space="preserve">108632</t>
  </si>
  <si>
    <t xml:space="preserve">EPX180NE</t>
  </si>
  <si>
    <t xml:space="preserve">108633</t>
  </si>
  <si>
    <t xml:space="preserve">EPX180LE</t>
  </si>
  <si>
    <t xml:space="preserve">108634</t>
  </si>
  <si>
    <t xml:space="preserve">EPX180L</t>
  </si>
  <si>
    <t xml:space="preserve">108635</t>
  </si>
  <si>
    <t xml:space="preserve">EPX 500NE</t>
  </si>
  <si>
    <t xml:space="preserve">83582</t>
  </si>
  <si>
    <t xml:space="preserve">ETM63X PLASMA</t>
  </si>
  <si>
    <t xml:space="preserve">HEATING CONTROL UNIT</t>
  </si>
  <si>
    <t xml:space="preserve">PIPELINE
GRC INLET
CAL.9900
WEIGHT 10 KG.
DIMENSION: 43 CM. X 24 CM. X 12 CM.(H)
</t>
  </si>
  <si>
    <t xml:space="preserve">106879</t>
  </si>
  <si>
    <t xml:space="preserve">iXH 1820H</t>
  </si>
  <si>
    <t xml:space="preserve">-STILL INSTALLED. IN EXCELLENT CONDITION WITH NO KNOWN MISSING OR BROKEN 
PARTS.
-CAN BE INSPECTED BY APPOINTMENT.</t>
  </si>
  <si>
    <t xml:space="preserve">106880</t>
  </si>
  <si>
    <t xml:space="preserve">106881</t>
  </si>
  <si>
    <t xml:space="preserve">Turbo Pump</t>
  </si>
  <si>
    <t xml:space="preserve">106882</t>
  </si>
  <si>
    <t xml:space="preserve">STP-1003P</t>
  </si>
  <si>
    <t xml:space="preserve">77209</t>
  </si>
  <si>
    <t xml:space="preserve">Edwards pump flange 5 1/8" OD 4" ID</t>
  </si>
  <si>
    <t xml:space="preserve">Inner Dimension 4" Outer Dimension 5 1/8"
Stainless steel
Boerne,TX Warehouse </t>
  </si>
  <si>
    <t xml:space="preserve">106919</t>
  </si>
  <si>
    <t xml:space="preserve">STP-A1303C</t>
  </si>
  <si>
    <t xml:space="preserve">TURBOMOLECULAR PUMP</t>
  </si>
  <si>
    <t xml:space="preserve">ONLY THE PUMP.
CABLES AND CONTROLLER NOT INCLUDED.
HAS BEEN USED WITH BCl3 Cl2, HBr, SF6.
HAS NOT BEEN DECONTAMINATED. WILL REQUIRE CLEANING BEFORE USE.</t>
  </si>
  <si>
    <t xml:space="preserve">18865</t>
  </si>
  <si>
    <t xml:space="preserve">A529-80-905</t>
  </si>
  <si>
    <t xml:space="preserve">QMKII dry pumping system</t>
  </si>
  <si>
    <t xml:space="preserve">72127</t>
  </si>
  <si>
    <t xml:space="preserve">Speedivalve</t>
  </si>
  <si>
    <t xml:space="preserve">SPEEDI VALVE</t>
  </si>
  <si>
    <t xml:space="preserve">72128</t>
  </si>
  <si>
    <t xml:space="preserve">040020030</t>
  </si>
  <si>
    <t xml:space="preserve">Cable, motor drive, 5M seiko</t>
  </si>
  <si>
    <t xml:space="preserve">106947</t>
  </si>
  <si>
    <t xml:space="preserve">Turbomolecular pump + controller + cable set</t>
  </si>
  <si>
    <t xml:space="preserve">-in good , working condition - includes the pump, the cable set and the 
controller.</t>
  </si>
  <si>
    <t xml:space="preserve">54217</t>
  </si>
  <si>
    <t xml:space="preserve">iQDP80 / QMB1200</t>
  </si>
  <si>
    <t xml:space="preserve">Dry Vacuum Pump combo</t>
  </si>
  <si>
    <t xml:space="preserve">p/n 810-08442R Was used for doped Poly process
Location: Avezzano (AQ) 67051 Italy</t>
  </si>
  <si>
    <t xml:space="preserve">54218</t>
  </si>
  <si>
    <t xml:space="preserve">p/n 810-08442R Was used for doped Poly process Stock photos for 
illustrative puposes only.
Location: Avezzano (AQ) 67051 Italy</t>
  </si>
  <si>
    <t xml:space="preserve">54219</t>
  </si>
  <si>
    <t xml:space="preserve">p/n 810-08442R Was used for doped Poly process.
Location: Avezzano (AQ) 67051 Italy</t>
  </si>
  <si>
    <t xml:space="preserve">54220</t>
  </si>
  <si>
    <t xml:space="preserve">QDP80 + QMB 250F</t>
  </si>
  <si>
    <t xml:space="preserve">Location: Avezzano (AQ) 67051 Italy</t>
  </si>
  <si>
    <t xml:space="preserve">74445</t>
  </si>
  <si>
    <t xml:space="preserve">iQDP 80</t>
  </si>
  <si>
    <t xml:space="preserve">Dry vacuum pump</t>
  </si>
  <si>
    <t xml:space="preserve">s/n 1/80003737 CE marked IQ System code No. A53280905. At our warehouse in 
Avezzano (AQ) 67051 , Italy. Can be quoted refurbished on request. See 
attached photos for details. WEIGHT (UNCRATED): 216 KG DIMS (UNCRATED) 95 
CM X 45 CM X 65 CM (H) Includes internet module</t>
  </si>
  <si>
    <t xml:space="preserve">54221</t>
  </si>
  <si>
    <t xml:space="preserve">74446</t>
  </si>
  <si>
    <t xml:space="preserve">s/n 1/80004187 CE marked IQ System code No. A53280905. At our warehouse in 
Avezzano (AQ) 67051 , Italy. Can be quoted refurbished on request. See 
attached photos for details. WEIGHT (UNCRATED): 216 KG DIMS (UNCRATED) 95 
CM X 45 CM X 65 CM (H)</t>
  </si>
  <si>
    <t xml:space="preserve">54222</t>
  </si>
  <si>
    <t xml:space="preserve">QDP80</t>
  </si>
  <si>
    <t xml:space="preserve">Dry Vacuum Pump</t>
  </si>
  <si>
    <t xml:space="preserve">74447</t>
  </si>
  <si>
    <t xml:space="preserve">iQDP 80 + QMB 500F</t>
  </si>
  <si>
    <t xml:space="preserve">Dry vacuum pump COMBO</t>
  </si>
  <si>
    <t xml:space="preserve">s/n 006686964 CE marked V 208 V 50 HZ 24.8 A / 3PHASE iQDP 80 S/N 006686964 
iQMB500F S/N 00668701 ELECTRONICS MODULE D37207000 S/N 974133382 GAS MODULE 
00646824 TYPE SYSTEM (HARSH) SENSOR MODULE D37208000 REMOTE CONTROL HANDSET 
P/N D37209000 At our warehouse in Avezzano (AQ) 67051 , Italy. Can be 
quoted refurbished on request. See attached photos for details. WEIGHT 
(UNCRATED): 348 kg DIMS (UNCRATED) 45 cm x 95 cm x 90 cm (H)</t>
  </si>
  <si>
    <t xml:space="preserve">74448</t>
  </si>
  <si>
    <t xml:space="preserve">Dry vacuum pump combo</t>
  </si>
  <si>
    <t xml:space="preserve">s/n 996180014 CE marked MODEL: IQ6120103 V 208 V 50 HZ 24.8 A / 3PHASE QDP 
80 S/N I3342 QMB500F S/N Q4051 ELECTRONICS MODULE P/N D37207000 S/N 
974119450 IQDP80 CODE A532-80-905 W=233 KG S/N 96-2046257 REMOTE CONTROL 
HANDSET P/N D37209000 At our warehouse in Avezzano (AQ) 67051 , Italy. Can 
be quoted refurbished on request. See attached photos for details. WEIGHT 
(UNCRATED): 348 kg DIMS (UNCRATED) 45 cm x 95 cm x 95 cm (H)</t>
  </si>
  <si>
    <t xml:space="preserve">74449</t>
  </si>
  <si>
    <t xml:space="preserve">Overall Model number IQ6120103 s/n 996117331 CE marked 208V 50 HZ 24.8 A 3 
PHASE IQ SYSTEM A532-80-905 S/N 972124108 At our warehouse in Avezzano (AQ) 
67051 , Italy. Can be quoted refurbished on request. See attached photos 
for details. WEIGHT (UNCRATED): 348 KG DIMS (UNCRATED) 110 CM X 45 CM X 108 
CM (H) INCLUDES GV 100P Gate valve missing parts: internet module Includes 
remote handset p/n D37209000</t>
  </si>
  <si>
    <t xml:space="preserve">74450</t>
  </si>
  <si>
    <t xml:space="preserve">iQDP 80 + QMB250F</t>
  </si>
  <si>
    <t xml:space="preserve">s/n I/80003449 CE marked IQ System Code No. A53280905: V 208 V 50 HZ 24.8 A 
/ 3PHASE iQDP 80 S/N 3449 iQMB250F S/N Q3315 ELECTRONICS MODULE P/N 
D37207000 REMOTE CONTROL HANDSET P/N D37209000 At our warehouse in Avezzano 
(AQ) 67051 , Italy. Can be quoted refurbished on request. See attached 
photos for details. WEIGHT (UNCRATED): 348 kg DIMS (UNCRATED) 45 cm x 95 cm 
x 90 cm (H)</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</si>
  <si>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</si>
  <si>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</si>
  <si>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</si>
  <si>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</si>
  <si>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106973</t>
  </si>
  <si>
    <t xml:space="preserve">QDP80 + QMB250F</t>
  </si>
  <si>
    <t xml:space="preserve">Dry Vacuum pump combo with power box</t>
  </si>
  <si>
    <t xml:space="preserve">-deinstalled from working condition
-CE MARKED
-208V 3 PH 50/60 HZ
-see attached photos for details</t>
  </si>
  <si>
    <t xml:space="preserve">106974</t>
  </si>
  <si>
    <t xml:space="preserve">QDP40 + QMB250F</t>
  </si>
  <si>
    <t xml:space="preserve">106975</t>
  </si>
  <si>
    <t xml:space="preserve">11233</t>
  </si>
  <si>
    <t xml:space="preserve">GVI 100P</t>
  </si>
  <si>
    <t xml:space="preserve">Gate valve</t>
  </si>
  <si>
    <t xml:space="preserve">Gate valves components part that are connected to the process system.The 
inlet of the pump is ISO 40 and the outlet of the exhaust-extraction system 
has an NW 40 flange.Weight:0.8kg</t>
  </si>
  <si>
    <t xml:space="preserve">18921</t>
  </si>
  <si>
    <t xml:space="preserve">03-A344-02-881</t>
  </si>
  <si>
    <t xml:space="preserve">Rotary vacuum pump E1M40, E1M80,E2M40,E2M80</t>
  </si>
  <si>
    <t xml:space="preserve">18922</t>
  </si>
  <si>
    <t xml:space="preserve">03-A301-51-883</t>
  </si>
  <si>
    <t xml:space="preserve">Eh series mechanical booster pump and combination units</t>
  </si>
  <si>
    <t xml:space="preserve">18923</t>
  </si>
  <si>
    <t xml:space="preserve">03-A344-02-882</t>
  </si>
  <si>
    <t xml:space="preserve">Rotary vacuum pump E1M40,E2M40,E2M80 and E2M40S, E2M80S superpumps</t>
  </si>
  <si>
    <t xml:space="preserve">69878</t>
  </si>
  <si>
    <t xml:space="preserve">Edwards / 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</si>
  <si>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</si>
  <si>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</si>
  <si>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</si>
  <si>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</si>
  <si>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108041</t>
  </si>
  <si>
    <t xml:space="preserve">EDWARDS. ETC.</t>
  </si>
  <si>
    <t xml:space="preserve">Vacuum Pumps</t>
  </si>
  <si>
    <t xml:space="preserve">Various Vacuum Pumps, Tubo Pumps, Controllers for sale</t>
  </si>
  <si>
    <t xml:space="preserve">At this time, we have the following list of Vacuum Pumps for sale.
Please refer to the list attached in excel and below in HTML:-
No. 	Manufacturer 	MODEL 	COMMENT 	Q'ty
1 	SHIMADZU 	TMP-203M-G1 Turbo Pump 	  	3
2 	TMP-3403 LMC-T4 	  	3
3 	TMP-3413LMTC(K2) 	  	3
4 	EI-303M 	  	1
5 	TMP-303LMEC 	  	1
6 	EI-D203M Controller 	  	3
7 	EI-R04MT Controller 	  	3
8 	VARIAN 	TV551 SEM Turbo Pump 	  	1
9 	TV81M Turbo Pump 	  	1
10 	9290023 Controller 	  	1
11 	969-9507 Controller 	  	1
12 	LEYBOLD 	NT340M Controller 	  	1
13 	NT341M Controller 	  	2
14 	MAG.DRIVE digital Controller 	  	6
15 	ULVAC 	FTI-3303W Controller 	  	1
16 	OSAKA VACUUM 	TC010MT Controller 	  	2
17 	SEIKO SEIKI
&amp;
EDWARDS 	STP CONTROL UNIT SCU-21D Controller 	  	1
18 	STP-A1303W1 Turbo Pump 	SET ( &amp; Cable) 	1
19 	SCU-A1303W1 Controller
20 	STP-H301C Turbo Pump 	SET ( &amp; Cable) 	2
21 	SCU-H301C Controller
22 	STP - 1000S Turbo Pump 	  	1
23 	A52844410 Interface Module 	  	1
24 	A52844440 Interface Module 	  	1
25 	D37310000 INIM NETWORK INTERFACE 	  	7
26 	D37311000 INIM NETWORK INTERFACE 	  	1
27 	D37272000 Remote Display Control Terminal 	  	40
28 	D37232000 iM COMMS Module 	  	14
29 	EBARA 	A30W Dry-Pump 	  	1
30 	ALCATEL 	ADS 1202H Dry-Pump 	  	4
31 	ADS 602H 	  	1
32 	ADS 602P 	  	2
33 	ADS 602LM 	  	1
34 	EDWARDS 	QDP80+QMB250 Dry-Pump 	  	2
35 	iQDP80+QMB500 Dry-Pump 	  	1
 </t>
  </si>
  <si>
    <t xml:space="preserve">79521</t>
  </si>
  <si>
    <t xml:space="preserve">Efector</t>
  </si>
  <si>
    <t xml:space="preserve">500</t>
  </si>
  <si>
    <t xml:space="preserve">Pressure sensor switch, programmable</t>
  </si>
  <si>
    <t xml:space="preserve">Like new in a box, in the Boerne,TX warehouse</t>
  </si>
  <si>
    <t xml:space="preserve">15658</t>
  </si>
  <si>
    <t xml:space="preserve">ELCO</t>
  </si>
  <si>
    <t xml:space="preserve">MMC50-1</t>
  </si>
  <si>
    <t xml:space="preserve">V1-G1 5V 0.75~5A V2-G2 12V 1.5A V3 12V 0.5A AC IN 85~132V PIN: 73W MAX
WEIGHT:500 GR.
DIMENSION: 18 CM. X 10 CM. X 4 CM. (H)</t>
  </si>
  <si>
    <t xml:space="preserve">83636</t>
  </si>
  <si>
    <t xml:space="preserve">ELCO CO. LTD</t>
  </si>
  <si>
    <t xml:space="preserve">K50A-15</t>
  </si>
  <si>
    <t xml:space="preserve">15V3.4A</t>
  </si>
  <si>
    <t xml:space="preserve">POWER SUPPLY
ELCO CO.LTD
K50A-15
ACIN 85-132V
PIN: 77W MAX
15V3.4A
0352499A (2)
9S009SA  (1)
WEIGHT FOR EACH: 0,5 KG.
DIMENSION: 17 CM. X 10 CM. X 4 CM. (H)  FOR ONE</t>
  </si>
  <si>
    <t xml:space="preserve">83639</t>
  </si>
  <si>
    <t xml:space="preserve">K SERIES</t>
  </si>
  <si>
    <t xml:space="preserve">K100 A-12</t>
  </si>
  <si>
    <t xml:space="preserve">SWITCHING REGULATOR
K100A-12
ACIN 85-132V
12V85A
PIN: 137W MAX
WEIGHT: 0,7 KG.. X 10 CM. X 6 CM. (H)
DIMENSION: 20 CM</t>
  </si>
  <si>
    <t xml:space="preserve">78132</t>
  </si>
  <si>
    <t xml:space="preserve">Electroglas</t>
  </si>
  <si>
    <t xml:space="preserve">Horizon 4085X</t>
  </si>
  <si>
    <t xml:space="preserve">Fully Automatic Prober with Optem microscope and an inker</t>
  </si>
  <si>
    <t xml:space="preserve">125 mm, 150 mm and 200 mm</t>
  </si>
  <si>
    <t xml:space="preserve">The Electroglas Horizon 4085X Automatic Wafer Prober System is a precision 
manufacturing
machine which moves wafers through the test process quickly, accurately, 
and safely. It is designed
to probe high-pin-count devices, performing with high accuracy in an 
enclosed clean
environment. Probing accuracy is certified to +/- 0.25 mil, required for 
probing small, densely
packed bond pads. Figure 1-1 illustrates the Horizon 4085X Wafer Prober 
System.
The Horizon 4085X is an operational Basic Unit and includes the components 
listed below.
The Basic Unit can operate alone, or it may be enhanced by adding any of 
the optional
equipment listed.
BASIC UNIT PARTS
Platen
Forcer Assembly
Z Drive Assembly
Standard Chuck
8" Ring Carrier
Power Control Module
Monitor Console, Keyboard,
and Joystick
Prober Vision Software
Material Handler Module
External Control I/O Interface
Auto Align Module
NonContact Edge Sensor
Disk Based System
Real Time Mapping
Wafer Mapping &amp; SECS
Multi-Die Probing
Ink Dot Inspection
Probe Mark Inspection
OPTIONS
Thermal (Hot) Chuck
Ring Inserts
Clean Air Management System
Standard Machine Interface
Microscope
Optical Character Reader
Backside Bar Code Reader
SN: W493110074/153702
Ce marked
Dimensions: 160/180
Weight: 1000 kg
Chuck has temperature control.
 TRANS Component Tag – Standard
Has docking hardware to fit to an
AGILENT Tech 4062 Parametric Tester E-Test (The switching matrix is 
included - see photos)
Includes an optional "Optem"  HF Video Microscope with mount allowing for 
precise mechanical positioning in x and y , OPTEM P/N 28-90-77 mounted onto 
the HP4062 switching matrix unit situated on top of the prober. Microscope 
Optem P/N 28-90-39. Power supply/ Control units qty 2 Optem P/N 29-60-02.
-Has a wafer loader for dual 5, 6 or 8 inch cassettes, and also a single 
wafer loader for manually loading of single wafers.
Location: Avezzano (AQ) 67051 Italy
The prober is also fitted with an inker, which marks bad dies during the 
inspection.
Electrical units include: System 386 PC Controller RMHM4, Display Control 
Module DCM3, Prober Control Module PCM, Vision Module PRM3.</t>
  </si>
  <si>
    <t xml:space="preserve">91591</t>
  </si>
  <si>
    <t xml:space="preserve">ELECTROGLAS</t>
  </si>
  <si>
    <t xml:space="preserve">EG5300</t>
  </si>
  <si>
    <t xml:space="preserve">91592</t>
  </si>
  <si>
    <t xml:space="preserve">EG5/300 A</t>
  </si>
  <si>
    <t xml:space="preserve">91593</t>
  </si>
  <si>
    <t xml:space="preserve">110072</t>
  </si>
  <si>
    <t xml:space="preserve">Electrotech</t>
  </si>
  <si>
    <t xml:space="preserve">LF A48257</t>
  </si>
  <si>
    <t xml:space="preserve">110073</t>
  </si>
  <si>
    <t xml:space="preserve">110074</t>
  </si>
  <si>
    <t xml:space="preserve">99387</t>
  </si>
  <si>
    <t xml:space="preserve">ELES</t>
  </si>
  <si>
    <t xml:space="preserve">ART 200</t>
  </si>
  <si>
    <t xml:space="preserve">Debug Station for Reliability Test System</t>
  </si>
  <si>
    <t xml:space="preserve">RELIABILITY</t>
  </si>
  <si>
    <t xml:space="preserve">-Deinstalled and warehoused from working condition.
-see attached photos for details.
-The Calibration report is attached.
 </t>
  </si>
  <si>
    <t xml:space="preserve">79885</t>
  </si>
  <si>
    <t xml:space="preserve">Elind</t>
  </si>
  <si>
    <t xml:space="preserve">3232</t>
  </si>
  <si>
    <t xml:space="preserve">Laboratory power supply 0-3,2A current adj - 0 - 32 V voltage adj</t>
  </si>
  <si>
    <t xml:space="preserve">In good working condition
Location: Avezzano, Italy
Warehoused
Can be inspected by appointment</t>
  </si>
  <si>
    <t xml:space="preserve">79887</t>
  </si>
  <si>
    <t xml:space="preserve">328</t>
  </si>
  <si>
    <t xml:space="preserve">Laboratory power supply 0-0,8A current adj - 0 - 32 V voltage adj</t>
  </si>
  <si>
    <t xml:space="preserve">Lab Equipment</t>
  </si>
  <si>
    <t xml:space="preserve">In good working condition
Location: Avezzano, Italy
Warehoused
Can be inspected by appointment
</t>
  </si>
  <si>
    <t xml:space="preserve">79596</t>
  </si>
  <si>
    <t xml:space="preserve">KL 1200W</t>
  </si>
  <si>
    <t xml:space="preserve">Laboratory Power supply</t>
  </si>
  <si>
    <t xml:space="preserve">I have a total of Qty 8 available for immediate consignment.
The exact model of the KL 1200W power supplies I have in stock is 30KL 
38/80
These power supplies are 0-30V /0-80A, 960 to 1080 W rated.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</si>
  <si>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 xml:space="preserve">108954</t>
  </si>
  <si>
    <t xml:space="preserve">Empak</t>
  </si>
  <si>
    <t xml:space="preserve">PH9150</t>
  </si>
  <si>
    <t xml:space="preserve">Wafer Transportation Box</t>
  </si>
  <si>
    <t xml:space="preserve">60</t>
  </si>
  <si>
    <t xml:space="preserve">for 6 zoll Wafer
with 25 Slot
used for sale
in stock 26 pieces used complete
in stock 19 pieces used, cleaned, complete
in stock 15 pieces used without a carrier
 </t>
  </si>
  <si>
    <t xml:space="preserve">110080</t>
  </si>
  <si>
    <t xml:space="preserve">ENI</t>
  </si>
  <si>
    <t xml:space="preserve">ACG-10B</t>
  </si>
  <si>
    <t xml:space="preserve">Sold Ex-Works, UK Office , Part Number:ACG-10B-01-M9</t>
  </si>
  <si>
    <t xml:space="preserve">110081</t>
  </si>
  <si>
    <t xml:space="preserve">Sold Ex-Works, UK Office , Part Number:ACG-10B-02 , Secondary P/N:MRC</t>
  </si>
  <si>
    <t xml:space="preserve">110082</t>
  </si>
  <si>
    <t xml:space="preserve">Sold Ex-Works, UK Office , Part Number:ACG-10B-02</t>
  </si>
  <si>
    <t xml:space="preserve">110083</t>
  </si>
  <si>
    <t xml:space="preserve">Sold Ex-Works, UK Office , Part Number:ACG-10B-03</t>
  </si>
  <si>
    <t xml:space="preserve">110084</t>
  </si>
  <si>
    <t xml:space="preserve">Sold Ex-Works, UK Office , Part Number:ACG-10B-07</t>
  </si>
  <si>
    <t xml:space="preserve">110085</t>
  </si>
  <si>
    <t xml:space="preserve">110086</t>
  </si>
  <si>
    <t xml:space="preserve">ACG-10XL</t>
  </si>
  <si>
    <t xml:space="preserve">Sold Ex-Works, UK Office , Part Number:ACG-10-04-XL</t>
  </si>
  <si>
    <t xml:space="preserve">110087</t>
  </si>
  <si>
    <t xml:space="preserve">ACG-3</t>
  </si>
  <si>
    <t xml:space="preserve">110088</t>
  </si>
  <si>
    <t xml:space="preserve">110089</t>
  </si>
  <si>
    <t xml:space="preserve">Sold Ex-Works, UK Office , Part Number:ACG-3LP2</t>
  </si>
  <si>
    <t xml:space="preserve">110090</t>
  </si>
  <si>
    <t xml:space="preserve">110091</t>
  </si>
  <si>
    <t xml:space="preserve">110092</t>
  </si>
  <si>
    <t xml:space="preserve">110093</t>
  </si>
  <si>
    <t xml:space="preserve">Sold Ex-Works, UK Office , Part Number:ACG-3LP4</t>
  </si>
  <si>
    <t xml:space="preserve">110094</t>
  </si>
  <si>
    <t xml:space="preserve">ACG-3B</t>
  </si>
  <si>
    <t xml:space="preserve">Sold Ex-Works, UK Office , Part Number:ACG-3B-01M7</t>
  </si>
  <si>
    <t xml:space="preserve">110095</t>
  </si>
  <si>
    <t xml:space="preserve">110096</t>
  </si>
  <si>
    <t xml:space="preserve">Sold Ex-Works, UK Office , Part Number:ACG-3B-06</t>
  </si>
  <si>
    <t xml:space="preserve">110097</t>
  </si>
  <si>
    <t xml:space="preserve">Sold Ex-Works, UK Office , Part Number:ACG-3B-09</t>
  </si>
  <si>
    <t xml:space="preserve">110098</t>
  </si>
  <si>
    <t xml:space="preserve">ACG-3DC</t>
  </si>
  <si>
    <t xml:space="preserve">Sold Ex-Works, UK Office , Part Number:ACG-3PDC-11701</t>
  </si>
  <si>
    <t xml:space="preserve">110099</t>
  </si>
  <si>
    <t xml:space="preserve">110100</t>
  </si>
  <si>
    <t xml:space="preserve">ACG-5</t>
  </si>
  <si>
    <t xml:space="preserve">110101</t>
  </si>
  <si>
    <t xml:space="preserve">ACG-6</t>
  </si>
  <si>
    <t xml:space="preserve">Sold Ex-Works, UK Office , Part Number:ACG-6M5</t>
  </si>
  <si>
    <t xml:space="preserve">108566</t>
  </si>
  <si>
    <t xml:space="preserve">DCG-200Z-OPTIMA</t>
  </si>
  <si>
    <t xml:space="preserve">I have several of these generators available, which all have slightly 
different models.
This one is as follows:-
ENI S-03-083
Slave Novellus PN 27-283277-00
Model DCG-200Z Optima
PN DCG-200ZHC-S01
REV 3
DATE: 01/07/05
SOFTWARE 6.2
WEIGHT 28.1 KG
AC INPUT 3 /P E 440-480V +/_ 10%, 50a 50/60 Hz
Outpput: 20 KW
Use 3 slaves for 70 KW
Use One slave for 35 KW
CONDITION IS GOOD. SEE ATTACHED PHOTOS FOR DETAILS.
 </t>
  </si>
  <si>
    <t xml:space="preserve">110102</t>
  </si>
  <si>
    <t xml:space="preserve">108567</t>
  </si>
  <si>
    <t xml:space="preserve">RFC-6-03</t>
  </si>
  <si>
    <t xml:space="preserve">eni rev b</t>
  </si>
  <si>
    <t xml:space="preserve">110103</t>
  </si>
  <si>
    <t xml:space="preserve">ENI </t>
  </si>
  <si>
    <t xml:space="preserve">DC Power Generator </t>
  </si>
  <si>
    <t xml:space="preserve">Sold Ex-Works, UK Office , Part Number:1000-089</t>
  </si>
  <si>
    <t xml:space="preserve">110104</t>
  </si>
  <si>
    <t xml:space="preserve">DCG 200</t>
  </si>
  <si>
    <t xml:space="preserve">Sold Ex-Works, UK Office , Part Number:DC26M-Z011100010C</t>
  </si>
  <si>
    <t xml:space="preserve">110105</t>
  </si>
  <si>
    <t xml:space="preserve">Sold Ex-Works, UK Office , Part Number:DC26M-Z011300010</t>
  </si>
  <si>
    <t xml:space="preserve">107546</t>
  </si>
  <si>
    <t xml:space="preserve">MWH-100</t>
  </si>
  <si>
    <t xml:space="preserve">MWH-100-01</t>
  </si>
  <si>
    <t xml:space="preserve">110106</t>
  </si>
  <si>
    <t xml:space="preserve">DOFBC2-078 </t>
  </si>
  <si>
    <t xml:space="preserve">Sold Ex-Works, UK Office , Part Number:DOFBC2-078 , Secondary 
P/N:000-1103-078</t>
  </si>
  <si>
    <t xml:space="preserve">110107</t>
  </si>
  <si>
    <t xml:space="preserve">Dual Match 2.27Mhz</t>
  </si>
  <si>
    <t xml:space="preserve">Sold Ex-Works, UK Office , Part Number:000-1103-075 , Secondary 
P/N:660-002296-002</t>
  </si>
  <si>
    <t xml:space="preserve">110108</t>
  </si>
  <si>
    <t xml:space="preserve">GHW-25</t>
  </si>
  <si>
    <t xml:space="preserve">Sold Ex-Works, UK Office , Part Number:GHW25A-13DF3N0-001</t>
  </si>
  <si>
    <t xml:space="preserve">110109</t>
  </si>
  <si>
    <t xml:space="preserve">110110</t>
  </si>
  <si>
    <t xml:space="preserve">Harmonic Filter</t>
  </si>
  <si>
    <t xml:space="preserve">Sold Ex-Works, UK Office , Part Number:HF-3000-50</t>
  </si>
  <si>
    <t xml:space="preserve">110111</t>
  </si>
  <si>
    <t xml:space="preserve">HPG-2</t>
  </si>
  <si>
    <t xml:space="preserve">Sold Ex-Works, UK Office , Part Number:HPG-2</t>
  </si>
  <si>
    <t xml:space="preserve">110112</t>
  </si>
  <si>
    <t xml:space="preserve">110113</t>
  </si>
  <si>
    <t xml:space="preserve">LPG-12A</t>
  </si>
  <si>
    <t xml:space="preserve">Sold Ex-Works, UK Office , Part Number:LPG-12A-21051-30</t>
  </si>
  <si>
    <t xml:space="preserve">110114</t>
  </si>
  <si>
    <t xml:space="preserve">Sold Ex-Works, UK Office , Part Number:LPG-12A-21051-50</t>
  </si>
  <si>
    <t xml:space="preserve">110115</t>
  </si>
  <si>
    <t xml:space="preserve">110116</t>
  </si>
  <si>
    <t xml:space="preserve">Sold Ex-Works, UK Office , Part Number:LPG12ALX-21051-50</t>
  </si>
  <si>
    <t xml:space="preserve">110117</t>
  </si>
  <si>
    <t xml:space="preserve">Sold Ex-Works, UK Office , Part Number:LPG-15ALX-20151-50</t>
  </si>
  <si>
    <t xml:space="preserve">110118</t>
  </si>
  <si>
    <t xml:space="preserve">Sold Ex-Works, UK Office , Part Number:LPG15ALX-21051</t>
  </si>
  <si>
    <t xml:space="preserve">110119</t>
  </si>
  <si>
    <t xml:space="preserve">110120</t>
  </si>
  <si>
    <t xml:space="preserve">LPG-24</t>
  </si>
  <si>
    <t xml:space="preserve">Sold Ex-Works, UK Office , Part Number:LPG-24</t>
  </si>
  <si>
    <t xml:space="preserve">110121</t>
  </si>
  <si>
    <t xml:space="preserve">110122</t>
  </si>
  <si>
    <t xml:space="preserve">LPG-6</t>
  </si>
  <si>
    <t xml:space="preserve">Sold Ex-Works, UK Office , Part Number:LPG-6PT</t>
  </si>
  <si>
    <t xml:space="preserve">110123</t>
  </si>
  <si>
    <t xml:space="preserve">LPG-6A</t>
  </si>
  <si>
    <t xml:space="preserve">110124</t>
  </si>
  <si>
    <t xml:space="preserve">110125</t>
  </si>
  <si>
    <t xml:space="preserve">MW Controller</t>
  </si>
  <si>
    <t xml:space="preserve">Sold Ex-Works, UK Office , Part Number:MHC2002</t>
  </si>
  <si>
    <t xml:space="preserve">110126</t>
  </si>
  <si>
    <t xml:space="preserve">110127</t>
  </si>
  <si>
    <t xml:space="preserve">Sold Ex-Works, UK Office , Part Number:MW-0113C</t>
  </si>
  <si>
    <t xml:space="preserve">110128</t>
  </si>
  <si>
    <t xml:space="preserve">Sold Ex-Works, UK Office , Part Number:MWC-01</t>
  </si>
  <si>
    <t xml:space="preserve">110129</t>
  </si>
  <si>
    <t xml:space="preserve">110130</t>
  </si>
  <si>
    <t xml:space="preserve">110131</t>
  </si>
  <si>
    <t xml:space="preserve">110132</t>
  </si>
  <si>
    <t xml:space="preserve">110133</t>
  </si>
  <si>
    <t xml:space="preserve">110134</t>
  </si>
  <si>
    <t xml:space="preserve">110135</t>
  </si>
  <si>
    <t xml:space="preserve">MW-10</t>
  </si>
  <si>
    <t xml:space="preserve">Sold Ex-Works, UK Office , Part Number:MW-10</t>
  </si>
  <si>
    <t xml:space="preserve">110136</t>
  </si>
  <si>
    <t xml:space="preserve">Sold Ex-Works, UK Office , Part Number:MW-10D</t>
  </si>
  <si>
    <t xml:space="preserve">110137</t>
  </si>
  <si>
    <t xml:space="preserve">110138</t>
  </si>
  <si>
    <t xml:space="preserve">MW-10 Controller </t>
  </si>
  <si>
    <t xml:space="preserve">Sold Ex-Works, UK Office , Part Number:MW-10-21191</t>
  </si>
  <si>
    <t xml:space="preserve">110139</t>
  </si>
  <si>
    <t xml:space="preserve">107580</t>
  </si>
  <si>
    <t xml:space="preserve">OEM-12A XL</t>
  </si>
  <si>
    <t xml:space="preserve">OEM-12AL-01</t>
  </si>
  <si>
    <t xml:space="preserve">110140</t>
  </si>
  <si>
    <t xml:space="preserve">Sold Ex-Works, UK Office , Part Number:MW-10-23194</t>
  </si>
  <si>
    <t xml:space="preserve">110141</t>
  </si>
  <si>
    <t xml:space="preserve">110142</t>
  </si>
  <si>
    <t xml:space="preserve">MW-10 Controller</t>
  </si>
  <si>
    <t xml:space="preserve">110143</t>
  </si>
  <si>
    <t xml:space="preserve">110144</t>
  </si>
  <si>
    <t xml:space="preserve">110145</t>
  </si>
  <si>
    <t xml:space="preserve">110146</t>
  </si>
  <si>
    <t xml:space="preserve">110147</t>
  </si>
  <si>
    <t xml:space="preserve">MW-10D</t>
  </si>
  <si>
    <t xml:space="preserve">Sold Ex-Works, UK Office , Part Number:MW-10DM1</t>
  </si>
  <si>
    <t xml:space="preserve">110148</t>
  </si>
  <si>
    <t xml:space="preserve">Sold Ex-Works, UK Office , Part Number:MW-10DM6</t>
  </si>
  <si>
    <t xml:space="preserve">110149</t>
  </si>
  <si>
    <t xml:space="preserve">MW-10D Controller</t>
  </si>
  <si>
    <t xml:space="preserve">110150</t>
  </si>
  <si>
    <t xml:space="preserve">110151</t>
  </si>
  <si>
    <t xml:space="preserve">MW-10T</t>
  </si>
  <si>
    <t xml:space="preserve">Sold Ex-Works, UK Office , Part Number:MW-10-23191 , Secondary 
P/N:MW-10-23194</t>
  </si>
  <si>
    <t xml:space="preserve">110152</t>
  </si>
  <si>
    <t xml:space="preserve">MW-5</t>
  </si>
  <si>
    <t xml:space="preserve">Sold Ex-Works, UK Office , Part Number:MW-5 3</t>
  </si>
  <si>
    <t xml:space="preserve">110153</t>
  </si>
  <si>
    <t xml:space="preserve">Sold Ex-Works, UK Office , Part Number:MW-5-21021</t>
  </si>
  <si>
    <t xml:space="preserve">110154</t>
  </si>
  <si>
    <t xml:space="preserve">MW-5 Controller </t>
  </si>
  <si>
    <t xml:space="preserve">110155</t>
  </si>
  <si>
    <t xml:space="preserve">110156</t>
  </si>
  <si>
    <t xml:space="preserve">MW-5 Controller</t>
  </si>
  <si>
    <t xml:space="preserve">Sold Ex-Works, UK Office , Part Number:MW-5DM11</t>
  </si>
  <si>
    <t xml:space="preserve">110157</t>
  </si>
  <si>
    <t xml:space="preserve">110158</t>
  </si>
  <si>
    <t xml:space="preserve">110159</t>
  </si>
  <si>
    <t xml:space="preserve">Sold Ex-Works, UK Office , Part Number:MW-5N-21021</t>
  </si>
  <si>
    <t xml:space="preserve">110160</t>
  </si>
  <si>
    <t xml:space="preserve">MW-50W</t>
  </si>
  <si>
    <t xml:space="preserve">110161</t>
  </si>
  <si>
    <t xml:space="preserve">MW-5D</t>
  </si>
  <si>
    <t xml:space="preserve">110162</t>
  </si>
  <si>
    <t xml:space="preserve">Sold Ex-Works, UK Office , Part Number:MW-5D-01</t>
  </si>
  <si>
    <t xml:space="preserve">110163</t>
  </si>
  <si>
    <t xml:space="preserve">110164</t>
  </si>
  <si>
    <t xml:space="preserve">Sold Ex-Works, UK Office , Part Number:MW-5D-01M5</t>
  </si>
  <si>
    <t xml:space="preserve">110165</t>
  </si>
  <si>
    <t xml:space="preserve">Sold Ex-Works, UK Office , Part Number:MW-5-DM11</t>
  </si>
  <si>
    <t xml:space="preserve">110166</t>
  </si>
  <si>
    <t xml:space="preserve">110167</t>
  </si>
  <si>
    <t xml:space="preserve">110168</t>
  </si>
  <si>
    <t xml:space="preserve">110169</t>
  </si>
  <si>
    <t xml:space="preserve">110170</t>
  </si>
  <si>
    <t xml:space="preserve">110171</t>
  </si>
  <si>
    <t xml:space="preserve">Sold Ex-Works, UK Office , Part Number:MW-5-DM13</t>
  </si>
  <si>
    <t xml:space="preserve">110172</t>
  </si>
  <si>
    <t xml:space="preserve">MW-5D Controller</t>
  </si>
  <si>
    <t xml:space="preserve">110173</t>
  </si>
  <si>
    <t xml:space="preserve">110174</t>
  </si>
  <si>
    <t xml:space="preserve">110175</t>
  </si>
  <si>
    <t xml:space="preserve">110176</t>
  </si>
  <si>
    <t xml:space="preserve">110177</t>
  </si>
  <si>
    <t xml:space="preserve">Sold Ex-Works, UK Office , Part Number:MW-5DM13</t>
  </si>
  <si>
    <t xml:space="preserve">110178</t>
  </si>
  <si>
    <t xml:space="preserve">MWD-25</t>
  </si>
  <si>
    <t xml:space="preserve">Sold Ex-Works, UK Office , Part Number:MWD-25LD-02</t>
  </si>
  <si>
    <t xml:space="preserve">110179</t>
  </si>
  <si>
    <t xml:space="preserve">MWD-25LD</t>
  </si>
  <si>
    <t xml:space="preserve">Sold Ex-Works, UK Office , Part Number:MWD-25D-06</t>
  </si>
  <si>
    <t xml:space="preserve">110180</t>
  </si>
  <si>
    <t xml:space="preserve">110181</t>
  </si>
  <si>
    <t xml:space="preserve">Sold Ex-Works, UK Office , Part Number:MWH-100-01 , Secondary 
P/N:02-143555-00</t>
  </si>
  <si>
    <t xml:space="preserve">110182</t>
  </si>
  <si>
    <t xml:space="preserve">110183</t>
  </si>
  <si>
    <t xml:space="preserve">Sold Ex-Works, UK Office , Part Number:MWH-100-01 , Secondary 
P/N:27-105212-00</t>
  </si>
  <si>
    <t xml:space="preserve">110184</t>
  </si>
  <si>
    <t xml:space="preserve">109417</t>
  </si>
  <si>
    <t xml:space="preserve">DCG-200Z</t>
  </si>
  <si>
    <t xml:space="preserve">Part Number: 0190-07969 Model Number: DCG-200Z-S00</t>
  </si>
  <si>
    <t xml:space="preserve">110185</t>
  </si>
  <si>
    <t xml:space="preserve">109418</t>
  </si>
  <si>
    <t xml:space="preserve">Part Number: 0190-11595 Model Number: DCG-400Z-00</t>
  </si>
  <si>
    <t xml:space="preserve">110186</t>
  </si>
  <si>
    <t xml:space="preserve">109419</t>
  </si>
  <si>
    <t xml:space="preserve">Part Number: 0190-19811 Model Number: DCG-200Z-S0J</t>
  </si>
  <si>
    <t xml:space="preserve">110187</t>
  </si>
  <si>
    <t xml:space="preserve">MWH-25</t>
  </si>
  <si>
    <t xml:space="preserve">Sold Ex-Works, UK Office , Part Number:MWH-25-04 , Secondary 
P/N:685-096-202-002</t>
  </si>
  <si>
    <t xml:space="preserve">109420</t>
  </si>
  <si>
    <t xml:space="preserve">Part Number: 27-290485-00 Model Number: DCG200ZHC-S02</t>
  </si>
  <si>
    <t xml:space="preserve">110188</t>
  </si>
  <si>
    <t xml:space="preserve">109421</t>
  </si>
  <si>
    <t xml:space="preserve">Part Number: 0190-07968 Model Number: DCG-200Z-S00</t>
  </si>
  <si>
    <t xml:space="preserve">110189</t>
  </si>
  <si>
    <t xml:space="preserve">Sold Ex-Works, UK Office , Part Number:MWH-25-04 , Secondary 
P/N:685-096202-002</t>
  </si>
  <si>
    <t xml:space="preserve">109422</t>
  </si>
  <si>
    <t xml:space="preserve">110190</t>
  </si>
  <si>
    <t xml:space="preserve">MWH-5</t>
  </si>
  <si>
    <t xml:space="preserve">Sold Ex-Works, UK Office , Part Number:MWH-5-01M1</t>
  </si>
  <si>
    <t xml:space="preserve">109423</t>
  </si>
  <si>
    <t xml:space="preserve">Part Number: 0190-07969 Model Number: DCG-400Z-00</t>
  </si>
  <si>
    <t xml:space="preserve">110191</t>
  </si>
  <si>
    <t xml:space="preserve">MWH-5 Controller</t>
  </si>
  <si>
    <t xml:space="preserve">109424</t>
  </si>
  <si>
    <t xml:space="preserve">110192</t>
  </si>
  <si>
    <t xml:space="preserve">Sold Ex-Works, UK Office , Part Number:MWH-5-01M3</t>
  </si>
  <si>
    <t xml:space="preserve">109425</t>
  </si>
  <si>
    <t xml:space="preserve">110193</t>
  </si>
  <si>
    <t xml:space="preserve">MWM-25-02</t>
  </si>
  <si>
    <t xml:space="preserve">Sold Ex-Works, UK Office , Part Number:MWM-25-02X , Secondary 
P/N:685-140283-012</t>
  </si>
  <si>
    <t xml:space="preserve">109426</t>
  </si>
  <si>
    <t xml:space="preserve">Part Number: 0190-19877 Model Number: DCG-200Z-S0J</t>
  </si>
  <si>
    <t xml:space="preserve">110194</t>
  </si>
  <si>
    <t xml:space="preserve">109427</t>
  </si>
  <si>
    <t xml:space="preserve">Part Number: DCG-200Z-S0J Model Number: 0190-19877</t>
  </si>
  <si>
    <t xml:space="preserve">110195</t>
  </si>
  <si>
    <t xml:space="preserve">109428</t>
  </si>
  <si>
    <t xml:space="preserve">DCG-200Z-S00</t>
  </si>
  <si>
    <t xml:space="preserve">Part Number: 0190-07968 Model Number: 0190-11595</t>
  </si>
  <si>
    <t xml:space="preserve">110196</t>
  </si>
  <si>
    <t xml:space="preserve">OEM-10B</t>
  </si>
  <si>
    <t xml:space="preserve">Sold Ex-Works, UK Office , Part Number:OEM-10B-08</t>
  </si>
  <si>
    <t xml:space="preserve">109429</t>
  </si>
  <si>
    <t xml:space="preserve">DOFBC2-078</t>
  </si>
  <si>
    <t xml:space="preserve">Part Number: 685-002302-003 Model Number: 000-1103-085</t>
  </si>
  <si>
    <t xml:space="preserve">110197</t>
  </si>
  <si>
    <t xml:space="preserve">OEM-12 </t>
  </si>
  <si>
    <t xml:space="preserve">109430</t>
  </si>
  <si>
    <t xml:space="preserve">Part Number: 02-143555-00 Model Number: MWH-100-01</t>
  </si>
  <si>
    <t xml:space="preserve">110198</t>
  </si>
  <si>
    <t xml:space="preserve">109431</t>
  </si>
  <si>
    <t xml:space="preserve">Model Number: MWH-100-01M5</t>
  </si>
  <si>
    <t xml:space="preserve">110199</t>
  </si>
  <si>
    <t xml:space="preserve">109432</t>
  </si>
  <si>
    <t xml:space="preserve">OEM-12B</t>
  </si>
  <si>
    <t xml:space="preserve">Part Number: OEM-12B-07 Model Number:</t>
  </si>
  <si>
    <t xml:space="preserve">110200</t>
  </si>
  <si>
    <t xml:space="preserve">OEM-12</t>
  </si>
  <si>
    <t xml:space="preserve">Sold Ex-Works, UK Office , Part Number:OEM-12L</t>
  </si>
  <si>
    <t xml:space="preserve">109433</t>
  </si>
  <si>
    <t xml:space="preserve">SPECTRUM 11002-00</t>
  </si>
  <si>
    <t xml:space="preserve">Part Number: SPECTRUM 11002-00 Model Number:</t>
  </si>
  <si>
    <t xml:space="preserve">110201</t>
  </si>
  <si>
    <t xml:space="preserve">OEM-1250</t>
  </si>
  <si>
    <t xml:space="preserve">107642</t>
  </si>
  <si>
    <t xml:space="preserve">POD Interface Box</t>
  </si>
  <si>
    <t xml:space="preserve">POD-DNET-00</t>
  </si>
  <si>
    <t xml:space="preserve">110202</t>
  </si>
  <si>
    <t xml:space="preserve">110203</t>
  </si>
  <si>
    <t xml:space="preserve">Sold Ex-Works, UK Office , Part Number:OEM-1250-01</t>
  </si>
  <si>
    <t xml:space="preserve">110204</t>
  </si>
  <si>
    <t xml:space="preserve">110205</t>
  </si>
  <si>
    <t xml:space="preserve">110206</t>
  </si>
  <si>
    <t xml:space="preserve">107647</t>
  </si>
  <si>
    <t xml:space="preserve">RFC-5MW</t>
  </si>
  <si>
    <t xml:space="preserve">110207</t>
  </si>
  <si>
    <t xml:space="preserve">OEM-12A</t>
  </si>
  <si>
    <t xml:space="preserve">Sold Ex-Works, UK Office , Part Number:2041-51</t>
  </si>
  <si>
    <t xml:space="preserve">110208</t>
  </si>
  <si>
    <t xml:space="preserve">Sold Ex-Works, UK Office , Part Number:OEM-12A-21041-5</t>
  </si>
  <si>
    <t xml:space="preserve">110209</t>
  </si>
  <si>
    <t xml:space="preserve">Sold Ex-Works, UK Office , Part Number:OEM-12A-21041-51</t>
  </si>
  <si>
    <t xml:space="preserve">110210</t>
  </si>
  <si>
    <t xml:space="preserve">110211</t>
  </si>
  <si>
    <t xml:space="preserve">110212</t>
  </si>
  <si>
    <t xml:space="preserve">110213</t>
  </si>
  <si>
    <t xml:space="preserve">110214</t>
  </si>
  <si>
    <t xml:space="preserve">Sold Ex-Works, UK Office , Part Number:OEM-12AL-21311</t>
  </si>
  <si>
    <t xml:space="preserve">110215</t>
  </si>
  <si>
    <t xml:space="preserve">110216</t>
  </si>
  <si>
    <t xml:space="preserve">Sold Ex-Works, UK Office , Part Number:OEM-12AM</t>
  </si>
  <si>
    <t xml:space="preserve">110217</t>
  </si>
  <si>
    <t xml:space="preserve">Sold Ex-Works, UK Office , Part Number:OEM-12AXL-01</t>
  </si>
  <si>
    <t xml:space="preserve">110218</t>
  </si>
  <si>
    <t xml:space="preserve">Sold Ex-Works, UK Office , Part Number:OEM-12AL-01</t>
  </si>
  <si>
    <t xml:space="preserve">110219</t>
  </si>
  <si>
    <t xml:space="preserve">110220</t>
  </si>
  <si>
    <t xml:space="preserve">OEM-2000</t>
  </si>
  <si>
    <t xml:space="preserve">Sold Ex-Works, UK Office , Part Number:OEM-2000-02</t>
  </si>
  <si>
    <t xml:space="preserve">110221</t>
  </si>
  <si>
    <t xml:space="preserve">OEM-6 </t>
  </si>
  <si>
    <t xml:space="preserve">110222</t>
  </si>
  <si>
    <t xml:space="preserve">110223</t>
  </si>
  <si>
    <t xml:space="preserve">110224</t>
  </si>
  <si>
    <t xml:space="preserve">110225</t>
  </si>
  <si>
    <t xml:space="preserve">110226</t>
  </si>
  <si>
    <t xml:space="preserve">110227</t>
  </si>
  <si>
    <t xml:space="preserve">OEM-6</t>
  </si>
  <si>
    <t xml:space="preserve">Sold Ex-Works, UK Office , Part Number:OEM-6AM</t>
  </si>
  <si>
    <t xml:space="preserve">110228</t>
  </si>
  <si>
    <t xml:space="preserve">Sold Ex-Works, UK Office , Part Number:OEM-6AM-1B</t>
  </si>
  <si>
    <t xml:space="preserve">110229</t>
  </si>
  <si>
    <t xml:space="preserve">110230</t>
  </si>
  <si>
    <t xml:space="preserve">110231</t>
  </si>
  <si>
    <t xml:space="preserve">110232</t>
  </si>
  <si>
    <t xml:space="preserve">Sold Ex-Works, UK Office , Part Number:OEM-6L</t>
  </si>
  <si>
    <t xml:space="preserve">110233</t>
  </si>
  <si>
    <t xml:space="preserve">Sold Ex-Works, UK Office , Part Number:OEM-6M</t>
  </si>
  <si>
    <t xml:space="preserve">110234</t>
  </si>
  <si>
    <t xml:space="preserve">OEM-650A</t>
  </si>
  <si>
    <t xml:space="preserve">Sold Ex-Works, UK Office , Part Number:OEM-6A-11481-51</t>
  </si>
  <si>
    <t xml:space="preserve">110235</t>
  </si>
  <si>
    <t xml:space="preserve">Sold Ex-Works, UK Office , Part Number:OEM-6A-11491-51</t>
  </si>
  <si>
    <t xml:space="preserve">110236</t>
  </si>
  <si>
    <t xml:space="preserve">110237</t>
  </si>
  <si>
    <t xml:space="preserve">110238</t>
  </si>
  <si>
    <t xml:space="preserve">110239</t>
  </si>
  <si>
    <t xml:space="preserve">110240</t>
  </si>
  <si>
    <t xml:space="preserve">110241</t>
  </si>
  <si>
    <t xml:space="preserve">110242</t>
  </si>
  <si>
    <t xml:space="preserve">110243</t>
  </si>
  <si>
    <t xml:space="preserve">Sold Ex-Works, UK Office , Part Number:OEM-6A-11491-52</t>
  </si>
  <si>
    <t xml:space="preserve">110244</t>
  </si>
  <si>
    <t xml:space="preserve">110245</t>
  </si>
  <si>
    <t xml:space="preserve">110246</t>
  </si>
  <si>
    <t xml:space="preserve">110247</t>
  </si>
  <si>
    <t xml:space="preserve">110248</t>
  </si>
  <si>
    <t xml:space="preserve">83625</t>
  </si>
  <si>
    <t xml:space="preserve">HF-3000-50</t>
  </si>
  <si>
    <t xml:space="preserve">HARMONIC FILTER ASSY</t>
  </si>
  <si>
    <t xml:space="preserve">HARMONIC FILTER
HF-3000-50
DATE OF MFG 03.29.94
FREQUENCY 13.56 MHz
MAXUMUM POWER 3 KW
MAX AMBIENT TEMP. 45° C
INSERTION LOSS 2,8%
REFLECTED POWER 0076%
WEIGHT: 2 KG.
DIMENSION: 22 CM. X 20 CM. X 19 CM. (H)</t>
  </si>
  <si>
    <t xml:space="preserve">110249</t>
  </si>
  <si>
    <t xml:space="preserve">110250</t>
  </si>
  <si>
    <t xml:space="preserve">OEM-650A XL</t>
  </si>
  <si>
    <t xml:space="preserve">Sold Ex-Works, UK Office , Part Number:OEM-6A-02</t>
  </si>
  <si>
    <t xml:space="preserve">110251</t>
  </si>
  <si>
    <t xml:space="preserve">110252</t>
  </si>
  <si>
    <t xml:space="preserve">110253</t>
  </si>
  <si>
    <t xml:space="preserve">110254</t>
  </si>
  <si>
    <t xml:space="preserve">110255</t>
  </si>
  <si>
    <t xml:space="preserve">110256</t>
  </si>
  <si>
    <t xml:space="preserve">OEM-6B</t>
  </si>
  <si>
    <t xml:space="preserve">Sold Ex-Works, UK Office , Part Number:OEM-6B-01</t>
  </si>
  <si>
    <t xml:space="preserve">110257</t>
  </si>
  <si>
    <t xml:space="preserve">Sold Ex-Works, UK Office , Part Number:OEM-6B-03</t>
  </si>
  <si>
    <t xml:space="preserve">110258</t>
  </si>
  <si>
    <t xml:space="preserve">OEM-6L</t>
  </si>
  <si>
    <t xml:space="preserve">Sold Ex-Works, UK Office , Part Number:4117-1-E-315-988</t>
  </si>
  <si>
    <t xml:space="preserve">110259</t>
  </si>
  <si>
    <t xml:space="preserve">OEM-6M</t>
  </si>
  <si>
    <t xml:space="preserve">110260</t>
  </si>
  <si>
    <t xml:space="preserve">PL2-HF</t>
  </si>
  <si>
    <t xml:space="preserve">Sold Ex-Works, UK Office , Part Number:PL-2HF-11451-54</t>
  </si>
  <si>
    <t xml:space="preserve">110261</t>
  </si>
  <si>
    <t xml:space="preserve">110262</t>
  </si>
  <si>
    <t xml:space="preserve">Sold Ex-Works, UK Office , Part Number:PL-2HF-11451-55</t>
  </si>
  <si>
    <t xml:space="preserve">110263</t>
  </si>
  <si>
    <t xml:space="preserve">110264</t>
  </si>
  <si>
    <t xml:space="preserve">Sold Ex-Works, UK Office , Part Number:PL-2HFN-01</t>
  </si>
  <si>
    <t xml:space="preserve">110265</t>
  </si>
  <si>
    <t xml:space="preserve">110266</t>
  </si>
  <si>
    <t xml:space="preserve">Sold Ex-Works, UK Office , Part Number:POD-25 PIN , Secondary 
P/N:POD-25PIN-04</t>
  </si>
  <si>
    <t xml:space="preserve">110267</t>
  </si>
  <si>
    <t xml:space="preserve">Sold Ex-Works, UK Office , Part Number:POD-25PIN-01</t>
  </si>
  <si>
    <t xml:space="preserve">110268</t>
  </si>
  <si>
    <t xml:space="preserve">110269</t>
  </si>
  <si>
    <t xml:space="preserve">110270</t>
  </si>
  <si>
    <t xml:space="preserve">106175</t>
  </si>
  <si>
    <t xml:space="preserve">OEM-2000-01M1</t>
  </si>
  <si>
    <r>
      <rPr>
        <sz val="8"/>
        <rFont val="Arial"/>
        <family val="0"/>
      </rPr>
      <t xml:space="preserve">●MAKER</t>
    </r>
    <r>
      <rPr>
        <sz val="8"/>
        <rFont val="Noto Sans CJK SC"/>
        <family val="2"/>
      </rPr>
      <t xml:space="preserve">：</t>
    </r>
    <r>
      <rPr>
        <sz val="8"/>
        <rFont val="Arial"/>
        <family val="0"/>
      </rPr>
      <t xml:space="preserve">ENI
●MODEL NUMBER</t>
    </r>
    <r>
      <rPr>
        <sz val="8"/>
        <rFont val="Noto Sans CJK SC"/>
        <family val="2"/>
      </rPr>
      <t xml:space="preserve">：</t>
    </r>
    <r>
      <rPr>
        <sz val="8"/>
        <rFont val="Arial"/>
        <family val="0"/>
      </rPr>
      <t xml:space="preserve">OEM-2000-01M1
●Condition</t>
    </r>
    <r>
      <rPr>
        <sz val="8"/>
        <rFont val="Noto Sans CJK SC"/>
        <family val="2"/>
      </rPr>
      <t xml:space="preserve">：</t>
    </r>
    <r>
      <rPr>
        <sz val="8"/>
        <rFont val="Arial"/>
        <family val="0"/>
      </rPr>
      <t xml:space="preserve">USED, WORKING
●Output:2000W
●Supply:3 PH  200-220VAC ,4WIRE,25A MAX
●Weight:35kg 77lbs
●Manufacturer:USA</t>
    </r>
  </si>
  <si>
    <t xml:space="preserve">110271</t>
  </si>
  <si>
    <t xml:space="preserve">110272</t>
  </si>
  <si>
    <t xml:space="preserve">110273</t>
  </si>
  <si>
    <t xml:space="preserve">110274</t>
  </si>
  <si>
    <t xml:space="preserve">110275</t>
  </si>
  <si>
    <t xml:space="preserve">Sold Ex-Works, UK Office , Part Number:POD-DNET-00</t>
  </si>
  <si>
    <t xml:space="preserve">110276</t>
  </si>
  <si>
    <t xml:space="preserve">110277</t>
  </si>
  <si>
    <t xml:space="preserve">110278</t>
  </si>
  <si>
    <t xml:space="preserve">110279</t>
  </si>
  <si>
    <t xml:space="preserve">110280</t>
  </si>
  <si>
    <t xml:space="preserve">RFC4T</t>
  </si>
  <si>
    <t xml:space="preserve">110281</t>
  </si>
  <si>
    <t xml:space="preserve">RFC-5 Controller</t>
  </si>
  <si>
    <t xml:space="preserve">Sold Ex-Works, UK Office , Part Number:RFC-5-8</t>
  </si>
  <si>
    <t xml:space="preserve">107466</t>
  </si>
  <si>
    <t xml:space="preserve">ACG-3B-01M7
M/N: PE 1000 fully refurbished excellent condition</t>
  </si>
  <si>
    <t xml:space="preserve">110282</t>
  </si>
  <si>
    <t xml:space="preserve">Sold Ex-Works, UK Office , Part Number:RFC-5MW</t>
  </si>
  <si>
    <t xml:space="preserve">110283</t>
  </si>
  <si>
    <t xml:space="preserve">110284</t>
  </si>
  <si>
    <t xml:space="preserve">110285</t>
  </si>
  <si>
    <t xml:space="preserve">110286</t>
  </si>
  <si>
    <t xml:space="preserve">110287</t>
  </si>
  <si>
    <t xml:space="preserve">110288</t>
  </si>
  <si>
    <t xml:space="preserve">RFC-6 Controller </t>
  </si>
  <si>
    <t xml:space="preserve">Sold Ex-Works, UK Office , Part Number:RFC-6-01</t>
  </si>
  <si>
    <t xml:space="preserve">110289</t>
  </si>
  <si>
    <t xml:space="preserve">110290</t>
  </si>
  <si>
    <t xml:space="preserve">110291</t>
  </si>
  <si>
    <t xml:space="preserve">110292</t>
  </si>
  <si>
    <t xml:space="preserve">110293</t>
  </si>
  <si>
    <t xml:space="preserve">110294</t>
  </si>
  <si>
    <t xml:space="preserve">110295</t>
  </si>
  <si>
    <t xml:space="preserve">Sold Ex-Works, UK Office , Part Number:RFC-6-03</t>
  </si>
  <si>
    <t xml:space="preserve">110296</t>
  </si>
  <si>
    <t xml:space="preserve">Spectrum 5K 2mhz </t>
  </si>
  <si>
    <t xml:space="preserve">Sold Ex-Works, UK Office , Part Number:B5002-02 , Secondary P/N:190-15320</t>
  </si>
  <si>
    <t xml:space="preserve">110297</t>
  </si>
  <si>
    <t xml:space="preserve">UTF-10</t>
  </si>
  <si>
    <t xml:space="preserve">110298</t>
  </si>
  <si>
    <t xml:space="preserve">VL-400 Controller</t>
  </si>
  <si>
    <t xml:space="preserve">Sold Ex-Works, UK Office , Part Number:VL-400-01</t>
  </si>
  <si>
    <t xml:space="preserve">110299</t>
  </si>
  <si>
    <t xml:space="preserve">110300</t>
  </si>
  <si>
    <t xml:space="preserve">110301</t>
  </si>
  <si>
    <t xml:space="preserve">Sold Ex-Works, UK Office , Part Number:VL-400-11981</t>
  </si>
  <si>
    <t xml:space="preserve">110302</t>
  </si>
  <si>
    <t xml:space="preserve">110303</t>
  </si>
  <si>
    <t xml:space="preserve">Sold Ex-Works, UK Office , Part Number:VL-400M4</t>
  </si>
  <si>
    <t xml:space="preserve">110304</t>
  </si>
  <si>
    <t xml:space="preserve">110305</t>
  </si>
  <si>
    <t xml:space="preserve">110306</t>
  </si>
  <si>
    <t xml:space="preserve">110307</t>
  </si>
  <si>
    <t xml:space="preserve">Voltage Probe</t>
  </si>
  <si>
    <t xml:space="preserve">Sold Ex-Works, UK Office , Part Number:1022036-001</t>
  </si>
  <si>
    <t xml:space="preserve">110308</t>
  </si>
  <si>
    <t xml:space="preserve">110309</t>
  </si>
  <si>
    <t xml:space="preserve">80368</t>
  </si>
  <si>
    <t xml:space="preserve">OEM-6J</t>
  </si>
  <si>
    <t xml:space="preserve">ENI OEM 6J, removed from working tool and stored in the SDI warehouse of 
Avezzano Italy. Working condition, but sold as-is.
</t>
  </si>
  <si>
    <t xml:space="preserve">110075</t>
  </si>
  <si>
    <t xml:space="preserve">ACG-10</t>
  </si>
  <si>
    <t xml:space="preserve">Sold Ex-Works, UK Office , Part Number:ACG-10-01 , Secondary P/N:MRC</t>
  </si>
  <si>
    <t xml:space="preserve">110076</t>
  </si>
  <si>
    <t xml:space="preserve">110077</t>
  </si>
  <si>
    <t xml:space="preserve">Sold Ex-Works, UK Office , Part Number:ACG-10-11631-50</t>
  </si>
  <si>
    <t xml:space="preserve">110078</t>
  </si>
  <si>
    <t xml:space="preserve">Sold Ex-Works, UK Office , Part Number:ACG-10B-01</t>
  </si>
  <si>
    <t xml:space="preserve">110079</t>
  </si>
  <si>
    <t xml:space="preserve">Sold Ex-Works, UK Office , Part Number:ACG-10B-01M9</t>
  </si>
  <si>
    <t xml:space="preserve">77091</t>
  </si>
  <si>
    <t xml:space="preserve">Enidine</t>
  </si>
  <si>
    <t xml:space="preserve">MB21539</t>
  </si>
  <si>
    <t xml:space="preserve">Shock Absorber</t>
  </si>
  <si>
    <t xml:space="preserve">83513</t>
  </si>
  <si>
    <t xml:space="preserve">Entegris</t>
  </si>
  <si>
    <t xml:space="preserve">RSPX-EUV-036</t>
  </si>
  <si>
    <t xml:space="preserve">Reticle Direct Purge Cabinet</t>
  </si>
  <si>
    <t xml:space="preserve">- Very little previous use in an R&amp;D environment
- Has CE marking certification.
- De-installed, warehoused, but can be powered up for inspection if 
required.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Dimensions of the unit: 266 cm x 50 cm x 200 cm (H)
Crated weight (Estimated) 800 KG</t>
  </si>
  <si>
    <t xml:space="preserve">108955</t>
  </si>
  <si>
    <t xml:space="preserve">entegris</t>
  </si>
  <si>
    <t xml:space="preserve">Wafer Transportation Box 6"</t>
  </si>
  <si>
    <t xml:space="preserve">used, cleaned
- Entegris 6" Shipping Box with 25 slot for Wafer
- in stock 7 pieces</t>
  </si>
  <si>
    <t xml:space="preserve">108957</t>
  </si>
  <si>
    <t xml:space="preserve">Box 2"</t>
  </si>
  <si>
    <t xml:space="preserve">Wafer Transportation Box 2"</t>
  </si>
  <si>
    <t xml:space="preserve">330</t>
  </si>
  <si>
    <t xml:space="preserve">with 25 Slots, new or cleaned, shrink - wrapped
in stock  330 pcs.
 </t>
  </si>
  <si>
    <t xml:space="preserve">108958</t>
  </si>
  <si>
    <t xml:space="preserve">A72-40MB-0215</t>
  </si>
  <si>
    <t xml:space="preserve">Teflon Carrier 4"</t>
  </si>
  <si>
    <t xml:space="preserve">97</t>
  </si>
  <si>
    <t xml:space="preserve">- Teflon
- new
- Entegris 4" Carrier
- in stock 97 pieces
 </t>
  </si>
  <si>
    <t xml:space="preserve">108959</t>
  </si>
  <si>
    <t xml:space="preserve">PH9100</t>
  </si>
  <si>
    <t xml:space="preserve">Wafer Transportation Box 4"</t>
  </si>
  <si>
    <t xml:space="preserve">55</t>
  </si>
  <si>
    <t xml:space="preserve">used, cleaned
- Entegris 4" Shipping Box with 25 slot for Wafer
- Entegris PH 9100, welded, in stock 38 pieces
- Entegris PH 9100 used, cleaned 11 pieces
- Empak PH 9100  in stock 6 pieces</t>
  </si>
  <si>
    <t xml:space="preserve">106467</t>
  </si>
  <si>
    <t xml:space="preserve">EO Technic</t>
  </si>
  <si>
    <t xml:space="preserve">CSM-2000</t>
  </si>
  <si>
    <t xml:space="preserve">CHIP SCALE LASER MARKER</t>
  </si>
  <si>
    <t xml:space="preserve">108064</t>
  </si>
  <si>
    <t xml:space="preserve">EO Technics</t>
  </si>
  <si>
    <t xml:space="preserve">EO 9702</t>
  </si>
  <si>
    <t xml:space="preserve">Laser marking</t>
  </si>
  <si>
    <t xml:space="preserve">HANDLER GSE-3101</t>
  </si>
  <si>
    <t xml:space="preserve">108641</t>
  </si>
  <si>
    <t xml:space="preserve">EO TECHNICS</t>
  </si>
  <si>
    <t xml:space="preserve">CSM 2000</t>
  </si>
  <si>
    <t xml:space="preserve">Chip scale laser wafer marker</t>
  </si>
  <si>
    <t xml:space="preserve">98462</t>
  </si>
  <si>
    <t xml:space="preserve">CSM 3000</t>
  </si>
  <si>
    <t xml:space="preserve">Chip Scale laser marker</t>
  </si>
  <si>
    <t xml:space="preserve">200 mm/300 mm</t>
  </si>
  <si>
    <t xml:space="preserve">Deinstalled, warehoused. Can be inspected by appointment.
See attached photos for details.
These photos were taken when the tool was being move out from the facility 
where it was originally operating.
Installed Software version: 7.1
MTBF: 3487.
Wafer size set in the software: 200 mm
Included:
EO Technics Chip Scale Marker  Wavelength : 532 nm Output Max: 3 Watts
Robot type: JEL, with dual ceramic end-effectors.
Robot controller type: C5510-00630
Voltage: 220VAX, 1 Phase
Current: 40 amp
CE Marked
Complies with US 21 CFR 1040.10</t>
  </si>
  <si>
    <t xml:space="preserve">106469</t>
  </si>
  <si>
    <t xml:space="preserve">CSM2000</t>
  </si>
  <si>
    <t xml:space="preserve">106470</t>
  </si>
  <si>
    <t xml:space="preserve">106655</t>
  </si>
  <si>
    <t xml:space="preserve">EO TECHNOLOGY</t>
  </si>
  <si>
    <t xml:space="preserve">FOR GLASS PANEL</t>
  </si>
  <si>
    <t xml:space="preserve">Laser Marker for Glass</t>
  </si>
  <si>
    <t xml:space="preserve">84090</t>
  </si>
  <si>
    <t xml:space="preserve">ERACOND</t>
  </si>
  <si>
    <t xml:space="preserve">X3</t>
  </si>
  <si>
    <t xml:space="preserve">MINIATURE AIR CYLINDER</t>
  </si>
  <si>
    <t xml:space="preserve">M20
PD50
WEIGHT: 500 GR.
DIMENSION: 3 X 3 X 17 (H)
</t>
  </si>
  <si>
    <t xml:space="preserve">84080</t>
  </si>
  <si>
    <t xml:space="preserve">ERACOND Z3</t>
  </si>
  <si>
    <t xml:space="preserve">M20 PD 50</t>
  </si>
  <si>
    <t xml:space="preserve">MINIATUR AIR CYLINDER</t>
  </si>
  <si>
    <t xml:space="preserve">ERACOND Z3
MINIATUR AIR CYLINDER
M20 PD50
WEIGHT: 0,4 KG.
DIMENSION: 3 X3 X 17 (H)
</t>
  </si>
  <si>
    <t xml:space="preserve">82286</t>
  </si>
  <si>
    <t xml:space="preserve">ESA</t>
  </si>
  <si>
    <t xml:space="preserve">ET5200LX2000</t>
  </si>
  <si>
    <t xml:space="preserve">Touch Screen Computer</t>
  </si>
  <si>
    <t xml:space="preserve">   Used ESA ET5200LX2000 embedded computer
Used with Industrial equipment
Removed from working service from AMI Presco tool
Sold as-is, working condition.
   </t>
  </si>
  <si>
    <t xml:space="preserve">108815</t>
  </si>
  <si>
    <t xml:space="preserve">ESEC</t>
  </si>
  <si>
    <t xml:space="preserve">CT-2000</t>
  </si>
  <si>
    <t xml:space="preserve">Automatic Flip Chip Die Attacher, 3ea Available</t>
  </si>
  <si>
    <t xml:space="preserve">100704</t>
  </si>
  <si>
    <t xml:space="preserve">3018</t>
  </si>
  <si>
    <t xml:space="preserve">Type: W-181 without microscope, complete but only for spare parts. This 
tool is sold for spares due to the software system installed on it is not 
working.
SOLD VIA PRIVATE TREATY BIDDING</t>
  </si>
  <si>
    <t xml:space="preserve">100705</t>
  </si>
  <si>
    <t xml:space="preserve">3088</t>
  </si>
  <si>
    <t xml:space="preserve">Type: W-133, with Microscope,complete but only for spare parts due to the 
software on the tool is not working.
Please check pictures below for more information
SOLD VIA PRIVATE TREATY BIDDING</t>
  </si>
  <si>
    <t xml:space="preserve">108749</t>
  </si>
  <si>
    <t xml:space="preserve">BU-050-N</t>
  </si>
  <si>
    <t xml:space="preserve">Parts Unloader for Micron 2 Automatic Die Attacher</t>
  </si>
  <si>
    <t xml:space="preserve">108750</t>
  </si>
  <si>
    <t xml:space="preserve">BL-050-N</t>
  </si>
  <si>
    <t xml:space="preserve">Parts Loader for Micron 2 Automatic Die Attacher</t>
  </si>
  <si>
    <t xml:space="preserve">108272</t>
  </si>
  <si>
    <t xml:space="preserve">2008HSPLUS</t>
  </si>
  <si>
    <t xml:space="preserve">83739</t>
  </si>
  <si>
    <t xml:space="preserve">ESI</t>
  </si>
  <si>
    <t xml:space="preserve">44</t>
  </si>
  <si>
    <t xml:space="preserve">COMPLETE SET OF LASER TRIMMER SPARE PCBS AND PARTS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</si>
  <si>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Avezzano Italy.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</si>
  <si>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 xml:space="preserve">94494</t>
  </si>
  <si>
    <t xml:space="preserve">M9825</t>
  </si>
  <si>
    <t xml:space="preserve">Laser Fuser</t>
  </si>
  <si>
    <t xml:space="preserve">De-installed and warehoused
refer to photos for condition.
loadports not included</t>
  </si>
  <si>
    <t xml:space="preserve">83796</t>
  </si>
  <si>
    <t xml:space="preserve">29286</t>
  </si>
  <si>
    <t xml:space="preserve">ESI pcb Servo Preamp</t>
  </si>
  <si>
    <t xml:space="preserve">Servo Preamp board
Tested good
ESI CKT# 29286
 </t>
  </si>
  <si>
    <t xml:space="preserve">83797</t>
  </si>
  <si>
    <t xml:space="preserve">29282</t>
  </si>
  <si>
    <t xml:space="preserve">ESI pcb Transducer Preamp</t>
  </si>
  <si>
    <t xml:space="preserve">Transducer Preamp board
Tested good
ESI CKT# 29282
 </t>
  </si>
  <si>
    <t xml:space="preserve">83798</t>
  </si>
  <si>
    <t xml:space="preserve">43175</t>
  </si>
  <si>
    <t xml:space="preserve">4 phase encoder logic assy</t>
  </si>
  <si>
    <t xml:space="preserve">4 phase encoder logic assy
ckt 43175
Tested good by known refurbisher prior to shipping to our warehouse.
 </t>
  </si>
  <si>
    <t xml:space="preserve">83799</t>
  </si>
  <si>
    <t xml:space="preserve">929284</t>
  </si>
  <si>
    <t xml:space="preserve">MAX Velocity control board</t>
  </si>
  <si>
    <t xml:space="preserve">MAX Velocity control board
CKT ASSY 929284
Tested good by known refurbisher prior to shipping to our warehouse.</t>
  </si>
  <si>
    <t xml:space="preserve">83801</t>
  </si>
  <si>
    <t xml:space="preserve">40898</t>
  </si>
  <si>
    <t xml:space="preserve">ESI pcb Interrupt control pcb</t>
  </si>
  <si>
    <t xml:space="preserve">InterruptControl board
Tested good
ESI CKT# 40898
 </t>
  </si>
  <si>
    <t xml:space="preserve">83802</t>
  </si>
  <si>
    <t xml:space="preserve">42328</t>
  </si>
  <si>
    <t xml:space="preserve">ESI pcb Precharged Servo Preamp</t>
  </si>
  <si>
    <t xml:space="preserve"> ESI pcb Precharged Servo Preamp
Tested good
ESI CKT# 42328
 </t>
  </si>
  <si>
    <t xml:space="preserve">83803</t>
  </si>
  <si>
    <t xml:space="preserve">29278</t>
  </si>
  <si>
    <t xml:space="preserve">ESI pcb Power Amplifier driver for ESI 44 fuser</t>
  </si>
  <si>
    <t xml:space="preserve">Power Amplifier driver    
Tested good
ESI CKT# 29278
 </t>
  </si>
  <si>
    <t xml:space="preserve">83804</t>
  </si>
  <si>
    <t xml:space="preserve">29800</t>
  </si>
  <si>
    <t xml:space="preserve">Driver power supply</t>
  </si>
  <si>
    <t xml:space="preserve">Good, used, tested working ESI 29800 power supply
See photos for details
USA voltage setup - 110V</t>
  </si>
  <si>
    <t xml:space="preserve">83813</t>
  </si>
  <si>
    <t xml:space="preserve">41751</t>
  </si>
  <si>
    <t xml:space="preserve">Transducer Buffer PCB for ESI model 44 laser fuser</t>
  </si>
  <si>
    <t xml:space="preserve">Transducer Buffer PCB for ESI 44   
CKT ASSY 41751
Tested good by known refurbisher prior to shipping to our warehouse.
qty 2 available</t>
  </si>
  <si>
    <t xml:space="preserve">83814</t>
  </si>
  <si>
    <t xml:space="preserve">42251</t>
  </si>
  <si>
    <t xml:space="preserve">Approach Control PCB for ESI 44</t>
  </si>
  <si>
    <t xml:space="preserve">Approach Control PCB for ESI 44   
CKT ASSY 42251
Tested good by known refurbisher prior to shipping to our warehouse.</t>
  </si>
  <si>
    <t xml:space="preserve">83815</t>
  </si>
  <si>
    <t xml:space="preserve">29292</t>
  </si>
  <si>
    <t xml:space="preserve">ESI pcb Position Encoder Logic for ESI 44 fuser</t>
  </si>
  <si>
    <t xml:space="preserve">ESI pcb Position Encoder Logic
Tested good
ESI CKT# 29292
 </t>
  </si>
  <si>
    <t xml:space="preserve">83816</t>
  </si>
  <si>
    <t xml:space="preserve">42119</t>
  </si>
  <si>
    <t xml:space="preserve">ESI pcb 4 Phase Control Module</t>
  </si>
  <si>
    <t xml:space="preserve">   4 Phase Control Module
Tested good
ESI CKT# 42119
 </t>
  </si>
  <si>
    <t xml:space="preserve">83817</t>
  </si>
  <si>
    <t xml:space="preserve">42253</t>
  </si>
  <si>
    <t xml:space="preserve">Power Amplifier driver    
Tested good
ESI CKT# 42253
 </t>
  </si>
  <si>
    <t xml:space="preserve">83818</t>
  </si>
  <si>
    <t xml:space="preserve">42252</t>
  </si>
  <si>
    <t xml:space="preserve">ESI pcb Acceleration Control Assy for ESI 44 fuser</t>
  </si>
  <si>
    <t xml:space="preserve">Acceleration Control Assy
Tested good
ESI CKT# 42252
 </t>
  </si>
  <si>
    <t xml:space="preserve">83820</t>
  </si>
  <si>
    <t xml:space="preserve">24971</t>
  </si>
  <si>
    <t xml:space="preserve">Manual Functions PC Board FOR ESI MODEL 44 LASER TRIMMER</t>
  </si>
  <si>
    <t xml:space="preserve">   Manual Functions Board
CKT ASSY 24971
Tested good by known refurbisher prior to shipping to our warehouse.
Located at our Avezzano 67051 Italy warehouse.</t>
  </si>
  <si>
    <t xml:space="preserve">83822</t>
  </si>
  <si>
    <t xml:space="preserve">41207</t>
  </si>
  <si>
    <t xml:space="preserve">IEEE 488 Interface FOR ESI 44 LASER TRIMMER</t>
  </si>
  <si>
    <t xml:space="preserve">     
IEEE 488 Interface pc board
CKT ASSY 41207
Tested good by known refurbisher prior to shipping to our warehouse.
Located at our Avezzano 67051 Italy warehouse.</t>
  </si>
  <si>
    <t xml:space="preserve">93072</t>
  </si>
  <si>
    <t xml:space="preserve">LASER REPAIR</t>
  </si>
  <si>
    <r>
      <rPr>
        <sz val="8"/>
        <rFont val="Arial"/>
        <family val="0"/>
      </rPr>
      <t xml:space="preserve">De-installed, warehoused. Can be inspected by appointment. See attached 
photos for details.
1. Laser specification:-
• Laser wavelength: 1.064</t>
    </r>
    <r>
      <rPr>
        <sz val="8"/>
        <rFont val="Noto Sans CJK SC"/>
        <family val="2"/>
      </rPr>
      <t xml:space="preserve">㎛
• </t>
    </r>
    <r>
      <rPr>
        <sz val="8"/>
        <rFont val="Arial"/>
        <family val="0"/>
      </rPr>
      <t xml:space="preserve">Rep Rate: 70K
• Pulse width: 11.5</t>
    </r>
    <r>
      <rPr>
        <sz val="8"/>
        <rFont val="Noto Sans CJK SC"/>
        <family val="2"/>
      </rPr>
      <t xml:space="preserve">㎱
• </t>
    </r>
    <r>
      <rPr>
        <sz val="8"/>
        <rFont val="Arial"/>
        <family val="0"/>
      </rPr>
      <t xml:space="preserve">Max Pulse Energy: 1.0uj
• Spot Size: 1.6</t>
    </r>
    <r>
      <rPr>
        <sz val="8"/>
        <rFont val="Noto Sans CJK SC"/>
        <family val="2"/>
      </rPr>
      <t xml:space="preserve">㎛
</t>
    </r>
    <r>
      <rPr>
        <sz val="8"/>
        <rFont val="Arial"/>
        <family val="0"/>
      </rPr>
      <t xml:space="preserve">2. Accuracy:-
• Accuracy: On-Axis 0.2</t>
    </r>
    <r>
      <rPr>
        <sz val="8"/>
        <rFont val="Noto Sans CJK SC"/>
        <family val="2"/>
      </rPr>
      <t xml:space="preserve">㎛</t>
    </r>
    <r>
      <rPr>
        <sz val="8"/>
        <rFont val="Arial"/>
        <family val="0"/>
      </rPr>
      <t xml:space="preserve">, Cross-Axis 0.4</t>
    </r>
    <r>
      <rPr>
        <sz val="8"/>
        <rFont val="Noto Sans CJK SC"/>
        <family val="2"/>
      </rPr>
      <t xml:space="preserve">㎛
• </t>
    </r>
    <r>
      <rPr>
        <sz val="8"/>
        <rFont val="Arial"/>
        <family val="0"/>
      </rPr>
      <t xml:space="preserve">MDA Field: 36000um x 36000um</t>
    </r>
  </si>
  <si>
    <t xml:space="preserve">83857</t>
  </si>
  <si>
    <t xml:space="preserve">48503</t>
  </si>
  <si>
    <t xml:space="preserve">Linear motor/Laser Control PC Board FROM ESI MODEL 44 TRIMMER</t>
  </si>
  <si>
    <t xml:space="preserve">ESI CKT# 48503
Linear Motor/Laser Control PC Board
qty 2 available, second board shows problems
Located at our Avezzano 67051 Italy warehouse.</t>
  </si>
  <si>
    <t xml:space="preserve">83858</t>
  </si>
  <si>
    <t xml:space="preserve">24961</t>
  </si>
  <si>
    <t xml:space="preserve">Extender Board PC Board w/ cables FOR ESI 44 LASER TRIMMER</t>
  </si>
  <si>
    <t xml:space="preserve">ESI CKT# 24961
Extender Board PC Board w/ cables, Refurbished, tested
qty 2 available
Located at our Avezzano 67051 Italy warehouse.</t>
  </si>
  <si>
    <t xml:space="preserve">83859</t>
  </si>
  <si>
    <t xml:space="preserve">42356</t>
  </si>
  <si>
    <t xml:space="preserve">S&amp;R Interface PC Board FOR ESI MODEL 44 LASER TRIMMER</t>
  </si>
  <si>
    <t xml:space="preserve">ESI CKT# 42356
S&amp;R Interface PC Board, Refurbished, tested
Located at our Avezzano 67051 Italy warehouse.</t>
  </si>
  <si>
    <t xml:space="preserve">83860</t>
  </si>
  <si>
    <t xml:space="preserve">24955</t>
  </si>
  <si>
    <t xml:space="preserve">Scanner Module PC Board for ESI 44 fuser</t>
  </si>
  <si>
    <t xml:space="preserve">Scanner Module Tested good
ESI CKT# 24955
P.C.B.S for immediate sale QTY 3
De-installed from a working system. Located at our Avezzano 67051 Italy 
warehouse.</t>
  </si>
  <si>
    <t xml:space="preserve">36507</t>
  </si>
  <si>
    <t xml:space="preserve">M9275</t>
  </si>
  <si>
    <t xml:space="preserve">LASER REPAIR SYSTEM</t>
  </si>
  <si>
    <t xml:space="preserve">106656</t>
  </si>
  <si>
    <t xml:space="preserve">HD 9830</t>
  </si>
  <si>
    <t xml:space="preserve">Laser Repair</t>
  </si>
  <si>
    <t xml:space="preserve">200 mm,300 mm</t>
  </si>
  <si>
    <t xml:space="preserve">106657</t>
  </si>
  <si>
    <t xml:space="preserve">106658</t>
  </si>
  <si>
    <t xml:space="preserve">106659</t>
  </si>
  <si>
    <t xml:space="preserve">HDE 9830</t>
  </si>
  <si>
    <t xml:space="preserve">106660</t>
  </si>
  <si>
    <t xml:space="preserve">106967</t>
  </si>
  <si>
    <t xml:space="preserve">5380</t>
  </si>
  <si>
    <t xml:space="preserve">CO2 laser ablation system</t>
  </si>
  <si>
    <t xml:space="preserve">Electro Scientific Industries' Advanced laser and mechanical drill products 
have been prepared for high density interconnects (HDI) and IC packaging 
substrates.
The Model 5380 features a high power CO2 laser with a very short pulse 
width and high pulse repetition frequency of up to 60Khz, representing the 
first of its kind in the world-wide microvia drilling market. The 5380 can 
produce in excess of 32,000 vias per minute in single layer laminated 
materials. Additionally, the 5380 incorporates a patented compound beam 
positioner delivering zero stepping time and eliminating abutment errors 
during the drilling process. The combined effect of the high repetition 
rate laser and field proven compound beam positioner makes this model the 
premier choice for high productivity.</t>
  </si>
  <si>
    <t xml:space="preserve">83936</t>
  </si>
  <si>
    <t xml:space="preserve">41506</t>
  </si>
  <si>
    <t xml:space="preserve">Bridge Calibrator PCB for ESI 44 LASER TRIMMER</t>
  </si>
  <si>
    <t xml:space="preserve">Bridge Calibrator                       
 PCB for ESI 44   
CKT ASSY 41506
Tested good by known refurbisher prior to shipping to our warehouse.</t>
  </si>
  <si>
    <t xml:space="preserve">91363</t>
  </si>
  <si>
    <t xml:space="preserve">91364</t>
  </si>
  <si>
    <t xml:space="preserve">84210</t>
  </si>
  <si>
    <t xml:space="preserve">Power Assy</t>
  </si>
  <si>
    <t xml:space="preserve">Power supply assy, ESI 44/4400</t>
  </si>
  <si>
    <t xml:space="preserve">Good, used, bottom assembly for ESI 44 / 4400 laser trimmers
See photos for details
Fans, power supply, etc.
USA voltage setup - 110V</t>
  </si>
  <si>
    <t xml:space="preserve">106899</t>
  </si>
  <si>
    <t xml:space="preserve">ESI ELECTRO SCIENTIFIC INDUSTRIES</t>
  </si>
  <si>
    <t xml:space="preserve">146900-01 REV A</t>
  </si>
  <si>
    <t xml:space="preserve">Lower Pneumatic Control Box for ESI 9830</t>
  </si>
  <si>
    <t xml:space="preserve">Manufacturer: ESI
P/N: 146900-01 REV A
Description: Lower Pneumatic Control Box for ESI 9830
30 day return warranty
Buyer Pays all return shipping costs.</t>
  </si>
  <si>
    <t xml:space="preserve">108065</t>
  </si>
  <si>
    <t xml:space="preserve">ESPEC</t>
  </si>
  <si>
    <t xml:space="preserve">STPH-101</t>
  </si>
  <si>
    <t xml:space="preserve">OVEN</t>
  </si>
  <si>
    <t xml:space="preserve">Hitemp 400C</t>
  </si>
  <si>
    <t xml:space="preserve">108066</t>
  </si>
  <si>
    <t xml:space="preserve">TSB 51</t>
  </si>
  <si>
    <t xml:space="preserve">Shock Chamber</t>
  </si>
  <si>
    <t xml:space="preserve">Liquid, shock chamber</t>
  </si>
  <si>
    <t xml:space="preserve">79520</t>
  </si>
  <si>
    <t xml:space="preserve">Eurotherm</t>
  </si>
  <si>
    <t xml:space="preserve">2408f</t>
  </si>
  <si>
    <t xml:space="preserve">Temperature controller</t>
  </si>
  <si>
    <t xml:space="preserve">qty 3 in good condition, one like new in a box
 </t>
  </si>
  <si>
    <t xml:space="preserve">109175</t>
  </si>
  <si>
    <t xml:space="preserve">Evatech/Balzers</t>
  </si>
  <si>
    <t xml:space="preserve">BAK SPLIT</t>
  </si>
  <si>
    <t xml:space="preserve">109176</t>
  </si>
  <si>
    <t xml:space="preserve">108412</t>
  </si>
  <si>
    <t xml:space="preserve">109581</t>
  </si>
  <si>
    <t xml:space="preserve">EVG</t>
  </si>
  <si>
    <t xml:space="preserve">101</t>
  </si>
  <si>
    <t xml:space="preserve">Photoresist coater and developer</t>
  </si>
  <si>
    <t xml:space="preserve">De-installed, warehoused. Can be inspected by appointment.
Please refer to the attached photos for details of this equipment's current 
condition.
The equipment currently shows some residual contamination by photoresist.
The photoresist mix used In this tool was AZ9260 + MEK + PGMEA 1:3:0.5 .</t>
  </si>
  <si>
    <t xml:space="preserve">108816</t>
  </si>
  <si>
    <t xml:space="preserve">Smart View </t>
  </si>
  <si>
    <t xml:space="preserve">Wafer Aligner - Parts Only</t>
  </si>
  <si>
    <t xml:space="preserve">109588</t>
  </si>
  <si>
    <t xml:space="preserve">620</t>
  </si>
  <si>
    <t xml:space="preserve">Mask Aligner (TSA)</t>
  </si>
  <si>
    <t xml:space="preserve">Deinstalled, warehoused. To be sold Refurb</t>
  </si>
  <si>
    <t xml:space="preserve">109593</t>
  </si>
  <si>
    <t xml:space="preserve">Gemini</t>
  </si>
  <si>
    <t xml:space="preserve">Automated Production Wafer Bonder</t>
  </si>
  <si>
    <t xml:space="preserve">Deinstalled, warehoused. To be sold AS-IS, with Demo</t>
  </si>
  <si>
    <t xml:space="preserve">109594</t>
  </si>
  <si>
    <t xml:space="preserve">Deinstalled, warehoused. To be sold AS-IS or Refurb</t>
  </si>
  <si>
    <t xml:space="preserve">109596</t>
  </si>
  <si>
    <t xml:space="preserve">Photoresist Spray Coater</t>
  </si>
  <si>
    <t xml:space="preserve">109610</t>
  </si>
  <si>
    <t xml:space="preserve">501</t>
  </si>
  <si>
    <t xml:space="preserve">Wafer Bonder</t>
  </si>
  <si>
    <t xml:space="preserve">109611</t>
  </si>
  <si>
    <t xml:space="preserve">520</t>
  </si>
  <si>
    <t xml:space="preserve">106158</t>
  </si>
  <si>
    <t xml:space="preserve">620 TB</t>
  </si>
  <si>
    <t xml:space="preserve">Manual Mask Aligner</t>
  </si>
  <si>
    <t xml:space="preserve">Condition: used, but complete refurbished
         Available for full inspection and demonstration
with Topside Alignment (TSA) and Backside Alignment (BSA)
         Manual Handling
         Manual Controlled Stage
         Wafer Size: 6"/150mm
         Objectives: 10x
         Tooling Tray
         Uniformity Test Plate
         Lamphouse: 1000W Lamphouse (Optional: 500W / 350W or LED Upgrade 
Upon Request)
         Exposure Optics: Type C, 350nm - 450nm, Broadband
         Microsoft Windows based User Interface
         System PC, Keyboard, Cables
         PDF Manual for EVG 620
 </t>
  </si>
  <si>
    <t xml:space="preserve">101819</t>
  </si>
  <si>
    <t xml:space="preserve">820</t>
  </si>
  <si>
    <t xml:space="preserve">Mold Carrier Lamination System</t>
  </si>
  <si>
    <t xml:space="preserve">103140</t>
  </si>
  <si>
    <t xml:space="preserve">Manual Wafer Load Substrate Bonder</t>
  </si>
  <si>
    <t xml:space="preserve">2 months</t>
  </si>
  <si>
    <t xml:space="preserve">Fully refurbished, excellent condition.
-Tooling for 6" Wafer inclusive Bond Chuck and Pressure Insert
-Capable of fusion compression bonding
-Capable of thermal compression bonding
-Capable of anodic bonding
-Ideal for R&amp;D and pilot production applications
-High-vacuum capable bond chamber
-Auto opening of bond tool cover
-Windows based control software and operation interface
-Wafer size: up to 150mm capable
-Max Bond Force: 7 kN
-Top side heater: 550°C max. in 1°C steps
-Bottom side heater: 550°C max. in 1°C steps
-Chiller
-Temperature uniformity: ± 1,5 %
-Turbo pump and controller
-Roughing pump
-Load/unload tool
-System computer, monitor, and keyboard
-PDF Operations Manual for EVG 520 Bonder</t>
  </si>
  <si>
    <t xml:space="preserve">106997</t>
  </si>
  <si>
    <t xml:space="preserve">Automated Production Fusion Bonder</t>
  </si>
  <si>
    <t xml:space="preserve">Refurbishment, warranty, installation, training, service and support 
available
Fully automated operation 
Interlocked doors with signal light tower 
4 Axis Industrial Robot 
EVG CIM Framework Software GUI (Graphical User Interface) 
Flexible process flow definition 
Drag and drop recipe programming 
Parallel processing of multiple jobs 
Automated recording of process and machine parameters 
Throughput optimized handling sequence 
Password protected user access levels 
Foup loading with empty/present sensor 
Wafer Size: 12"/300mm 
SmartView®NT Alignment Module with 5x Objectives 
CE Certified 
system documentation</t>
  </si>
  <si>
    <t xml:space="preserve">86282</t>
  </si>
  <si>
    <t xml:space="preserve">EWS</t>
  </si>
  <si>
    <t xml:space="preserve">LISTA SCHEDE:
E-3
AH-20
C-9
AE-27
M-13
AG-19
F-4
H-12
AF-28
AD-18
S-16
AR-23
AH-22
I-5
P-7
AC-17
G-11
L-6
AS-24
N-14
Q-8
AP-31
R-15
AQ-32
AI-29
AB-26
AL-30
AM-21
A-1
AA-25
D-10
B-2
OGNI SCHEDA NUMONIX TH QT 126
WEIGHT: KG. 4,4
DIMENSION 38 X 62 X 4/5 (H)</t>
  </si>
  <si>
    <t xml:space="preserve">110593</t>
  </si>
  <si>
    <t xml:space="preserve">Expertech</t>
  </si>
  <si>
    <t xml:space="preserve">CTR-200</t>
  </si>
  <si>
    <t xml:space="preserve">Wet/Dry Oxidation Annealing System</t>
  </si>
  <si>
    <t xml:space="preserve">-Oxidation Furnace Expertech CTR-200 for Wet and Dry Oxidation and 
Annealing, Vintage 2017 in excellent condition, lightly used, can 
accommodate up to 8 inch Wafers, currently configured for 4 inch and 6 inch 
wafers.
Description:
- Manual Load 
- For Wet or Dry Oxidation and Annealing 
- For Temperatures up to 1200 Degrees Celsius 
- 25-50 Wafer Load Capacity 
- Up to 200mm Wafers</t>
  </si>
  <si>
    <t xml:space="preserve">83515</t>
  </si>
  <si>
    <t xml:space="preserve">Extraction Systems</t>
  </si>
  <si>
    <t xml:space="preserve">TMB 150</t>
  </si>
  <si>
    <t xml:space="preserve">Photoresist Contamination Monitor System / Total Amine Analyzer</t>
  </si>
  <si>
    <t xml:space="preserve">-A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</si>
  <si>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 xml:space="preserve">108748</t>
  </si>
  <si>
    <t xml:space="preserve">FAITH TECHNOLOGY</t>
  </si>
  <si>
    <t xml:space="preserve">RapiTran 2</t>
  </si>
  <si>
    <t xml:space="preserve">Wafer Transfer Station</t>
  </si>
  <si>
    <t xml:space="preserve">150 mm </t>
  </si>
  <si>
    <t xml:space="preserve">* Configured for 6” Wafers * 25 Wafer Load/Unload * Boat to Boat Transfer * 
Cassette to Cassette Transfer * Approximately 34 Second Transfer</t>
  </si>
  <si>
    <t xml:space="preserve">108932</t>
  </si>
  <si>
    <t xml:space="preserve">FEI</t>
  </si>
  <si>
    <t xml:space="preserve">ExSolve CLM Next Gen</t>
  </si>
  <si>
    <t xml:space="preserve">High Accuracy FIB SEM</t>
  </si>
  <si>
    <t xml:space="preserve">Qty 2 available.
Consists of:-
Main System FEI ExSolve G2 Full Wafer TEM
Preparation System 1
Handler System Brooks Front End 1
Factory Interface SMIF 1
Options System GIS, Dep 5
TMC Table and
Edwards XDS35
Dry Pumps
Missing / Broken Parts: NONE</t>
  </si>
  <si>
    <t xml:space="preserve">106964</t>
  </si>
  <si>
    <t xml:space="preserve">Strata 400</t>
  </si>
  <si>
    <t xml:space="preserve">Dual Beam FIB SEM</t>
  </si>
  <si>
    <t xml:space="preserve">2006 model year Strata 400 Dual Beam from FEI Company
To include:
- DualBeam: SEM and FIB
- Electron Source: Schottky thermal field emitter
- Ion Source: Gallium liquid metal
- External LoadLock feature
- Beam Voltage: 200V - 30kV SEM, 2kV - 30kV FIB
- Beam Current: 7 spots SEM (5pA to 24nA at 5kV, 21pA to
37nA at 30kV), 15 apertures FIB (1.5pA to 21nA at 30kV)
- Image resolution: &lt; 0.8 nm achievable SEM-STEM mode
- Max sample size: 75 mm diameter, loadlock compatible
- Flipstage: total tilt range &gt; 150 degrees (excluding tilt of
the main DualBeam stage)
- User interface: GUI with integrated SEM, FIB, GIS,
imaging and patterning, simultaneous patterning and
imaging mode
- Detectors: ETD, TLD, CDEM
- GIS: IEE, TEOS, Pt
- Primary Pump: nXds 10i (dry pump)
- Backup Power Protection: Eaton 9SX5KiRT
- + An Omniprobe (non-installed)</t>
  </si>
  <si>
    <t xml:space="preserve">107000</t>
  </si>
  <si>
    <t xml:space="preserve">Sirion</t>
  </si>
  <si>
    <t xml:space="preserve">FE SEM with e-beam lithography capability and EDX</t>
  </si>
  <si>
    <t xml:space="preserve">up to 2.5 inch diameter</t>
  </si>
  <si>
    <t xml:space="preserve">-still installed and operational.
This system is a tri-use FESEM imaging and inspection system, EDX elemental 
analysis system, and small-area electron beam lithography system.
The system uses a thermal field emission source to provide a stable high 
beam current that is necessary for ebeam lithography applications.
The accelerating voltage can be adjusted from 200V to 30kV. Using the 
UHR-mode of the imaging system, less than 5 nm features can be resolved at 
magnifications up to ~1,000,000 in as little as 10-15 minutes for 
experienced users. The user interface is extremely user friendly.
Elemental analysis and maps linked to the SEM images can be generated with 
the EDAX-Falcon software. Locally-aligned electron beam lithography can be 
done to ~15 nm resolution through the integrated Nabity v9 hardware and 
software.
A beam blanker operating at ~1MHz is used to shutter the electron beam on 
and off for writing applications.
Control System
    The microscope is controlled completely by a mouse; optional knob box 
included
    Control software is run under MS-Windows Graphic User Interface and 
allow concentration on the specimen rather than microscope controls
    Computer-assisted alignment of the software throughout the range of 
spotsize and high voltage is present
Detailed Specifications
    Thermal Field Emission Source for stable writing current
    Resolution down to below 5 nm
    Very user friendly software for quick, high resolution imaging
    Nabity v9 lithography system for ~15 nm resolution writing over small 
areas
    EDAX Falcon EDX system for elemental analysis and mapping
Thermal Field Emission Source
    Resolution of 1.5 nm at &gt; 10 kV, 2.5 nm at 1 kV, and 3.5 nm at 500 eV
    Accelerating voltage is continuously variable between 200 V and 30 kV 
with automatic adaptation of focus, magnification and image shift
    Beam current is software adjustable with maximum beam current &gt; 25 nA 
at 10 kV and &gt; 0.5 pA at 500 eV
    Beam current stability is less than 0.4% / 10 hours
    Objective lens with dual mode of operation: High Resolution (HR) mode 
and Ultra High Resolution (UHR) mode, both operational over a wide range of 
working distances
    Focus range is from 0 to 45 mm FWD in the HR mode and 1 to 7 mm FWD at 
1 kV and 5 to 7 mm at 20 kV in the UHR mode
    There is a dedicated mouse function for focus with focus sensitivity 
automatically adjusted to magnification
    Dynamic focus up to ±80° of specimen tilt
    8-pole electromagnetic stigmator with simultaneous X-Y control and 
visualization mode. Automatic stigmation standard
    Continuous electronic image shift up to ±20 µm XY in HR mode and ±5 µm 
in UHR mode is possible; the image shift's sensitivity is automatically 
adjusted to magnification and direction consistent and independent of scan 
rotation
    Continuous magnification between 40x and 400,000x at eucentric WD and 
all scan rates in HR mode and 2500x to 1,200,000x in UHR mode
    12 selectable line times from 0.21 ms to 240 ms per line; 8 selectable 
frames from 484 to 3872 lines per picture (total of 96 combinations); TV 
mode
    Digital line scan with 3 selections of points per line: 180, 360 or 720 
and 6 dwell times from 30 to 1000 ms; Maximum line time 12 min.
    Scanning modes: full frame, adjustable reduced raster, line X, spot
    Ion getter pumps for gun and intermediate vacuum with column separation 
valve and maglev turbomolecular pump for chamber pumping
    Analytical specimen chamber with inside diameter of 284 mm and 9 ports
    50 x 50 mm 5-axes motorized stage; a high precision eucentric tilt 
specimen stage with motorized X, Y, Z, rotation and tilt; control and 
readout of these movements is via the XL Graphics User Interface
    X,Y = 50 mm
    Z = 25 mm external adjustment range and 25 mm internal adjustment range
    Tilt = -15° to +75° at 10 mm FWD
    Graphics includes micron-marker and databar containing user selected 
microscope parameters; an enhanced graphics editor is available
    Image transfer in TIFF (8 or 16 bit), BMP, or JPEG format
    Unit Equipped with EDAX Falcon EDS System for elemental analysis of 
materials
    Simultaneous imaging and EDS at 5 mm WD with high EDS TOA of 35 degrees
Samples are loaded in sample holders. The maximum size of sample is 2.5 
inches in Diameter.</t>
  </si>
  <si>
    <t xml:space="preserve">108026</t>
  </si>
  <si>
    <t xml:space="preserve">CLM-PLUS
(CRT-082)</t>
  </si>
  <si>
    <t xml:space="preserve">FIB SEM</t>
  </si>
  <si>
    <t xml:space="preserve">110602</t>
  </si>
  <si>
    <t xml:space="preserve">FEI Company</t>
  </si>
  <si>
    <t xml:space="preserve">XL820</t>
  </si>
  <si>
    <t xml:space="preserve">Dualbeam FIB</t>
  </si>
  <si>
    <t xml:space="preserve">106009</t>
  </si>
  <si>
    <t xml:space="preserve">FIB 200</t>
  </si>
  <si>
    <t xml:space="preserve">Single Beam FIB</t>
  </si>
  <si>
    <t xml:space="preserve">110310</t>
  </si>
  <si>
    <t xml:space="preserve">Fenwal</t>
  </si>
  <si>
    <t xml:space="preserve">Sealer</t>
  </si>
  <si>
    <t xml:space="preserve">110311</t>
  </si>
  <si>
    <t xml:space="preserve">110312</t>
  </si>
  <si>
    <t xml:space="preserve">110313</t>
  </si>
  <si>
    <t xml:space="preserve">80169</t>
  </si>
  <si>
    <t xml:space="preserve">Festo</t>
  </si>
  <si>
    <t xml:space="preserve">150857 SME-8-S-LED-24</t>
  </si>
  <si>
    <t xml:space="preserve">Proximity switch</t>
  </si>
  <si>
    <t xml:space="preserve">  New in box, SME-8-S-LED-24 
 Boerne, TX warehouse  </t>
  </si>
  <si>
    <t xml:space="preserve">108067</t>
  </si>
  <si>
    <t xml:space="preserve">FICO</t>
  </si>
  <si>
    <t xml:space="preserve">SM</t>
  </si>
  <si>
    <t xml:space="preserve">Injection mold press</t>
  </si>
  <si>
    <t xml:space="preserve">LCM liquid type</t>
  </si>
  <si>
    <t xml:space="preserve">108276</t>
  </si>
  <si>
    <t xml:space="preserve">AMS24</t>
  </si>
  <si>
    <t xml:space="preserve">AUTO MOLDING SYSTEM</t>
  </si>
  <si>
    <t xml:space="preserve">IN EXCELLENT, OPERATIONAL CONDITION</t>
  </si>
  <si>
    <t xml:space="preserve">106894</t>
  </si>
  <si>
    <t xml:space="preserve">FINETECH GmbH</t>
  </si>
  <si>
    <t xml:space="preserve">Fineplacer 96</t>
  </si>
  <si>
    <t xml:space="preserve">Manual FlipChip Bonder</t>
  </si>
  <si>
    <t xml:space="preserve">Available Options:-
Die Attach, SMD, FLIP CHIP, UV Wafer Ring Release Module
    * Bonding accuracy: 0.5 μm
    * Max. die/package size: 16 mm (pick-n-place only)
    * Min. die/package size: 0.5 mm
    * Substrate size: 50 mm × 50 mm (thermal compression), 180 mm × 108 mm
      (pick-n-place only)
    * Bonding environment: nitrogen / formic acid
    * Bonding mechanism: thermo-compression (bonding force 0.1 ~ 200 N),
      reflow (RT ~ 400 °C, heating rate: 20 °C/s), thermo-sonic
I have powered up parts of the machine and taken a video.I uploaded it to 
youtube and you can see it here:-
https://youtu.be/2jjmekggKc0 &lt;https://youtu.be/2jjmekggKc0%20&gt;</t>
  </si>
  <si>
    <t xml:space="preserve">108953</t>
  </si>
  <si>
    <t xml:space="preserve">Fluoroware</t>
  </si>
  <si>
    <t xml:space="preserve">PA182-39MLB-0603</t>
  </si>
  <si>
    <t xml:space="preserve">Carrier 4"</t>
  </si>
  <si>
    <t xml:space="preserve">Blue</t>
  </si>
  <si>
    <t xml:space="preserve">used 
- blue
- Fluoroware 4" Box
- in stock 8 pieces</t>
  </si>
  <si>
    <t xml:space="preserve">108710</t>
  </si>
  <si>
    <t xml:space="preserve">Fogale</t>
  </si>
  <si>
    <t xml:space="preserve">DeepProbe 300M</t>
  </si>
  <si>
    <t xml:space="preserve">Low Coherence IR wafer interferometry</t>
  </si>
  <si>
    <t xml:space="preserve">Technology Low Coherence IR interferometry for step high measurement 
Applications High A/R TSV depth measurement for 200 and 300mm wafer (Via 
first &amp; Middle) Benefits Non destructieve Technology Fast and easy to use 
CCD camera for spot positioning and pattern recognition TSV diameter LESS 
THAN 2um A:R up to 30 Calibration and maintenance free</t>
  </si>
  <si>
    <t xml:space="preserve">108817</t>
  </si>
  <si>
    <t xml:space="preserve">FOUR DIMENSIONS</t>
  </si>
  <si>
    <t xml:space="preserve">CV92A</t>
  </si>
  <si>
    <t xml:space="preserve">Semi Auomatic Mercury Probe CV Plotter</t>
  </si>
  <si>
    <t xml:space="preserve">up to 200 mm</t>
  </si>
  <si>
    <t xml:space="preserve">FOUR DIMENSIONS CV92A Semiautomatic CV Plotter
    • Mercury Probe for Substrates from 5mm X 5mm to 200mm Wafers
    • Dose Monitoring for Silicon and GaAs Wafers
    • Wafer Mapping up to 49 Test Points
    • System Control Computer
    • SN WP586061219
    • 4D Application SW Version 1.28
    • Windows 2000 Professional OS, CD-ROM, FDD, Flat Screen Monitor, 
Keyboard &amp; Mouse
    • Embedded Computer
    • SN WP061220
    • FDD Flat Screen Monitor, Keyboard
    • 115V, 1Ph., 60 Hz, 16A
Functional Description
1.1 Introduction
The CVmap 92A/92B instrument uses a mercury probe to make contact to the 
semiconductor samples for C-V, I-V and other measurements, such as wafer 
doping density profiling, Oxide integrity monitoring, carrier generation 
lifetime. The entire system includes a CVmap 92A/92B instrument, a Four 
Dimensions' 586 computer, a SVGA monitor, and a printer. The unique design 
of the CVmap instrument enables the operator to perform variety 
measurements with repeatable and reliable results. The measurements are 
controlled through a computer program, and a precision automatic wafer 
handling mechanism. The system can handle samples with size as small as 5 
mm by 5 mm and up to 12 inches in diameter. The measurement data are 
analyzed based on the test program setup, and used for plotting analysis 
curves and/or making wafer maps. Also an external probe can be connected to 
a CVmap instrument for C-V or I-V measurements at an external probe 
station. External meters that perform measurements using sine wave at 1 
MHz, such as Keysight E4980A, can also be connected to the CVmap 
instrument, and controlled by the system computer through IEEE 488 
interface. Measurements at various sine wave frequencies are also possible. 
In order to assist the users to perform further analysis
on the obtained data, the system software includes the function to transfer 
measurement and analysis data to other computers.
Unlike traditional C-V measurement setup, which puts several instruments 
together through interconnection cables, the CVmap 92A/92B consists of 
several modules and all are in one well-constructed enclosure. The signal 
integrator and generators are put right next to the wafer-under-test, thus 
minimizes stray capacitance and interference. Instead of using sinusoidal 
wave as test signal, the Model CVmap 92A/92B series uses precision, 
millivolt pulses generated by one of the function generators as the test 
signal and an integrator as the sensor for capacitance measurements. This 
allows the measurement to MOS capacitance being insensitive to the series 
resistance.
Using mercury probe has the advantage to eliminate the gate forming process 
that is necessary to traditional C-V measurements. Because mercury is a 
hazard material to human health and environment, mercury safety is the most 
considered issue for the implementation of the CVmap instrument. Four 
Dimensions' design of the mercury probe/reservoir/collector assembly 
ensures the safe and reliable operation of the CVmap system. Both TXRF and 
TOF SIMS cannot detect any trace of mercury on the spot that has been 
contacted a few times by a mercury probe. There are several special 
designed mercury probes for different kinds of applications. A probe can be 
configured to have a mercury dot, a mercury dot and a mercury ring, or a 
mercury dot and two mercury rings. The mercury contact area of each kind of 
probe is also controlled for different measurements. The unique design of 
the mercury probes enables the contact area of a mercury probe very 
repeatable.
The CVmap 92A/92B not only can perform variety semiconductor wafer 
characterizations, but also can do them well. They are:
    (1) Low dose ion implant, epitaxial layer and raw wafer doping density 
profiling and mapping
    (2) Oxide integrity monitoring including Time Dependent Dielectric 
Breakdown (TDDB), Charge to Breakdown (Qbd), Density of Interface Traps 
(Dit), Oxide resistivity and thickness or dielectric constant
    (3) Determining carrier generation lifetime
    (4) Semi-insulating substrate resistivity measurement
    (5) Using pseudo MOST technique to characterize Silicon On Insulator 
(SOI)
Test results show that the CVmap 92A/92B instrument can easily resolve 2.5% 
variation of low dose ion implant, and detect energy noises, measure 
carrier generation lifetime from 10-8 to more than 10-1 second for just 
about all kinds of samples. And results can be used to determine whether a 
cleaning procedure or a furnace is clean enough by testing TDDB and 
generation lifetime.
1.2 System Specifications
    1. Wafer size: 1-inch to 12-inch wafers typical (8-inch for 92A/92B), 
sample size can be as small as 5mm x 5mm
    2. Polar or Cartesian mapping up to 49 sites with edge exclusion up to 
1.5 mm
    3. MOS Doping Profiles:
Dope: 8 x 1012 to 5 x 1018 ions/cm3 Depth: 0 to 10 Microns.
Repeatability: ±1.5% typical
    4. Interface Trap Density (DIT)
Range: 2 x 1010 states/cm2 to 2 x 1012 states/cm2
Repeatability: ±5% or ±1010 states/ cm2 whichever is larger
    5. Oxide Thickness Range: 24A to 20,000A by C-V method, 15A to 30A by 
I-V method
    6. Ion Implant Dose
Range: 1 x 1011 to 5 x 1012 ions/cm2 Repeatability: ±1% typical
    7. Epitaxial Doping Density
Range: 1 x 1014 to 1 x 1018 cm-3 Repeatability: ±2% typical
    8. Epitaxial Thickness
Range: 0.3 to 3 microns Repeatability: ±3% typical
    9. Generation Lifetime
Range: 0.01us to 100ms Repeatability: ±10% typical
    10. Insulating Film and Semi-Insulating Layer Resistivity Range: 1 x 
106 to 1 x 1016 Ohm-cm in 30A to 1 mm thickness
    11. Current range: 50 fA to 1 mA
    12. Bias voltage: -100 to 100 Volts
    13. Measurement pulse: 50mV, 100 mV, or 150 mV, &gt; 20us for Ch, &gt;lms for 
Cq
    14. Probe: mercury dot only, mercury dot and one mercury ring, mercury 
dot with two mercury ring or external
    15. Compressed Air: 60Psi at 1.5 liter per minute maximum flow
    16. Vacuum: 28-inch Hg minimum at 0.5 liter/min maximum flow
1.3 Operation Features
The system software consists of six main parts:
    (1) The basic software has programs for measuring quasi-static, high 
frequency and deep pulsed C-V, displaying the curves, generating maps and 
storing data.
    (2) The program that uses C-V curves to determine doping profile and 
dosage of low dose implantation, epi and raw wafer.
    (3) The program that determines gate Oxide TDDB and Qbd, obtains Oxide 
I-V curves, checks the trap densities, and maps Oxide thickness.
    (4) The generation lifetime program that obtains carrier generation 
lifetime at different depth through measuring generation current at 
different biases.
    (5) The program for GaAs which maps dosage of epi and ion implantation; 
it also maps semi-insulating layer resistivities.
    (6) The program using psuedo MOST technique to characterize SOI.
1.4 System Composition
The system hardware mainly consists of:
    (1) The CVmap 92A/92B mercury instrument and its attachments that 
include hoses for vacuum, compressed air and N2
    (2) The system computer, a monitor, a printer, and a RS-232 cable for 
the communication between the CVmap instrument and the system computer.
    (3) Mercury Spill Control Station
    (4) Optional needle probe station for probing at pads.
1.5 Models and Options
The software included with any CVmap system has the basic operation 
features listed below. The customers have the choice to purchase other 
software modules to meet their own measurement requirements. The software 
modules are listed in the table below:
 Functions Modules
 Measurement Parameter Selections
 Analysis Parameters Selections
 Wafer Analysis Selections
 Graph Selections
 Basic
 Control Parameters
 Sweep Cq-Ch parameters Quasi-static parameters High frequency parameters 
 Sweep Cd parameters
 Deep pulse parameters
 Cox
 Tox, Eox, Area Misc
 Tox Cox K
 Ch vs Vgs Cq vs Vgs Both Cq and Ch vs Vgs
 Oxide integrity (optional)
IV sweep parameters I parameters
 Qbd parameters
 Resistance parameters Vbd parameters
 Vgs shift parameters
 Mobile ion
 V at specified I
 Qbd Vbd Tbd at specified Vox
 Nss difference
 Dit at Cq low
 Leakage current histogram
 Full range Dit vs Et I vs V
 R vs V
 Tbd vs Vox
 Qbd vs PF
 Vgs vs C for Nss
 Dose monitor (optional)
 Flatband
 Doping Profile Dose monitor Doping Average
 Vfb
 Cfb
 N at specified W P dose monitor
 W at specified N Vgs at specified N Doping
 W vs N
 Lifetime (optional)
 Lifetime Qt sweep parameters
 Tg lifetime Seff
 Lifetime I-Ch
 SOI
 (optional)
 Pseudo MOST I-V sweep parameters
 Pseudo MOST I-V
 Dit at burried Oxide interface
 Mobilities at burried Oxide interface
 Pseudo MOST I-V
 Id vs Vg Id vs Vd gm vs Vg Id (Igmi)1,2 Vg
 </t>
  </si>
  <si>
    <t xml:space="preserve">86277</t>
  </si>
  <si>
    <t xml:space="preserve">FSI</t>
  </si>
  <si>
    <t xml:space="preserve">Polaris 3500 (Spares)</t>
  </si>
  <si>
    <t xml:space="preserve">staubli rx 90 robot control unit 308998-001 RX 90 CONTR.1</t>
  </si>
  <si>
    <t xml:space="preserve">ELECTRICAL: 208 VAC
30 AMP
3PH
</t>
  </si>
  <si>
    <t xml:space="preserve">110622</t>
  </si>
  <si>
    <t xml:space="preserve">ExcaliburISR</t>
  </si>
  <si>
    <t xml:space="preserve">HF Vapor Cleaning</t>
  </si>
  <si>
    <t xml:space="preserve">106015</t>
  </si>
  <si>
    <t xml:space="preserve">POWER SUPPLY, CONVERSION EQUIPMENT CORP. M/N 05D-0189-01</t>
  </si>
  <si>
    <t xml:space="preserve">see attached photos.
CONVERSION EQUIPMENT CORP. MODEL NUMBER 05D-0189-01
INPUT 115/230V 47-63 HZ 6/3 A
OUTPUT: 484 W MAX
For FSI Polaris track system.
13 CM X 27 CM X 10 CM (H) WEIGHT 2.5 KG
 </t>
  </si>
  <si>
    <t xml:space="preserve">83516</t>
  </si>
  <si>
    <t xml:space="preserve">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</si>
  <si>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</si>
  <si>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 xml:space="preserve">95574</t>
  </si>
  <si>
    <t xml:space="preserve">Polaris 3500 (Spares) 294157-200 REV C</t>
  </si>
  <si>
    <t xml:space="preserve">PCB, MODULE DRIP AND GUARD INPUTS</t>
  </si>
  <si>
    <t xml:space="preserve">new unused. see attached photos.
For FSI Polaris track system.
DIMENSIONS: 45cm X 44cm X 6 cm(H)
WEIGHT: 1,5 KG.
 </t>
  </si>
  <si>
    <t xml:space="preserve">95575</t>
  </si>
  <si>
    <t xml:space="preserve">Polaris 3500 (Spares) IKEGAMI PM-930A</t>
  </si>
  <si>
    <t xml:space="preserve">PICURE MONITOR</t>
  </si>
  <si>
    <t xml:space="preserve">new unused. see attached photos.
For FSI Polaris track system.
DIMENSIONS: 25cm X 25cm X 22 cm(H)
WEIGHT: 4.7 KG.
 </t>
  </si>
  <si>
    <t xml:space="preserve">95576</t>
  </si>
  <si>
    <t xml:space="preserve">Polaris 3500 (Spares) VT106</t>
  </si>
  <si>
    <t xml:space="preserve">10 INCH VGA MONOCHROME MONITOR</t>
  </si>
  <si>
    <t xml:space="preserve"> see attached photos.
For FSI Polaris track system.
25 CM X 24 CM X 22 CM (H) WEIGHT 3.7 KG
 </t>
  </si>
  <si>
    <t xml:space="preserve">95577</t>
  </si>
  <si>
    <t xml:space="preserve">Polaris 3500 (Spares) IBM 8228 P/N 6091014</t>
  </si>
  <si>
    <t xml:space="preserve">Multistation Access Unit</t>
  </si>
  <si>
    <t xml:space="preserve">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</si>
  <si>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 xml:space="preserve">95578</t>
  </si>
  <si>
    <t xml:space="preserve">Polaris 3500 (Spares) Proteon P7228 rev h</t>
  </si>
  <si>
    <t xml:space="preserve">PROTEON PRONET P7228 8 PORT</t>
  </si>
  <si>
    <t xml:space="preserve">See attached photos.
For FSI Polaris track system.
49 CM X 18 CM X 7 CM (H) WEIGHT 3.2 KG
 </t>
  </si>
  <si>
    <t xml:space="preserve">95579</t>
  </si>
  <si>
    <t xml:space="preserve">Polaris 3500 (Spares) Patlite SL-V</t>
  </si>
  <si>
    <t xml:space="preserve">Signal Tower, 2 color, Amber, Red</t>
  </si>
  <si>
    <t xml:space="preserve">see attached photos.
For FSI Polaris track system.
9 CM X 4 CM X 53 CM (H) WEIGHT 1 KG
 </t>
  </si>
  <si>
    <t xml:space="preserve">95580</t>
  </si>
  <si>
    <t xml:space="preserve">Power box for 200 mm note track</t>
  </si>
  <si>
    <t xml:space="preserve">see attached photos.
For FSI Polaris track system.
44 CM X 34 CM X 18 CM (H) WEIGHT 6.5 KG
 </t>
  </si>
  <si>
    <t xml:space="preserve">95581</t>
  </si>
  <si>
    <t xml:space="preserve">PLAST-O-MATIC PRD075B-PP VALVE</t>
  </si>
  <si>
    <t xml:space="preserve">see attached photos.
For FSI Polaris track system.
23 CM X 13 CM X 29 CM (H) WEIGHT 2 KG
 </t>
  </si>
  <si>
    <t xml:space="preserve">95582</t>
  </si>
  <si>
    <t xml:space="preserve">PCB, FSI A/N 294084-200C</t>
  </si>
  <si>
    <t xml:space="preserve">see attached photos.
For FSI Polaris track system.
12 CM X 20 CM X 4 CM (H) WEIGHT 0.15 KG
 </t>
  </si>
  <si>
    <t xml:space="preserve">95583</t>
  </si>
  <si>
    <t xml:space="preserve">DIGI ACCELPORT PCB 55000534 REV F</t>
  </si>
  <si>
    <t xml:space="preserve">see attached photos.
For FSI Polaris track system.
12 CM X 20 CM X4 CM (H) WEIGHT 0.2 KG
 </t>
  </si>
  <si>
    <t xml:space="preserve">95584</t>
  </si>
  <si>
    <t xml:space="preserve">PCB, FSI 200-0097 REV B MVS 8100 FRAME GRABBER</t>
  </si>
  <si>
    <t xml:space="preserve">see attached photos.
For FSI Polaris track system.
14 CM X 20 CM X4 CM (H) WEIGHT 0.3 KG
 </t>
  </si>
  <si>
    <t xml:space="preserve">95585</t>
  </si>
  <si>
    <t xml:space="preserve">PCB, FSI 61-0061-10 EXP-BP5</t>
  </si>
  <si>
    <t xml:space="preserve">see attached photos.
For FSI Polaris track system.
12 CM X 32 CM X 5 CM (H) WEIGHT 0.3 KG
 </t>
  </si>
  <si>
    <t xml:space="preserve">95586</t>
  </si>
  <si>
    <t xml:space="preserve">PCB, FSI 33000-472, VME MONOLITHIC 12 SLOT</t>
  </si>
  <si>
    <t xml:space="preserve">see attached photos.
For FSI Polaris track system.
27 CM X 27 CM X 1 CM (H) WEIGHT 1 KG
 </t>
  </si>
  <si>
    <t xml:space="preserve">95587</t>
  </si>
  <si>
    <t xml:space="preserve">PCB, FSI 10444-01AA</t>
  </si>
  <si>
    <t xml:space="preserve">see attached photos.
For FSI Polaris track system.
13 CM X 13 CM X 4 CM (H) WEIGHT 0.2 KG
 </t>
  </si>
  <si>
    <t xml:space="preserve">95588</t>
  </si>
  <si>
    <t xml:space="preserve">PCB, FSI SP 586T (00-065-0015 REV D) SINGLE BOARD COMPUTER</t>
  </si>
  <si>
    <t xml:space="preserve">see attached photos.
For FSI Polaris track system.
36 CM X 15 CM X 4 CM (H) WEIGHT 0.5 KG
 </t>
  </si>
  <si>
    <t xml:space="preserve">95591</t>
  </si>
  <si>
    <t xml:space="preserve">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</si>
  <si>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</si>
  <si>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 xml:space="preserve">95592</t>
  </si>
  <si>
    <t xml:space="preserve">GAS SENSOR, FSI P/N 841-004-i </t>
  </si>
  <si>
    <t xml:space="preserve">see attached photos.
P/N 841-004-I 1271011
sensor part number:-
55601420 ILA-1487-C 3/00 TEMP Anheim CA
For FSI Polaris track system.
25 CM X 10 CM X 20 CM (H) WEIGHT 1 KG
 </t>
  </si>
  <si>
    <t xml:space="preserve">95593</t>
  </si>
  <si>
    <t xml:space="preserve">ATEN CS-122 CPU SWITCH FOR PS/2 PC/AT</t>
  </si>
  <si>
    <t xml:space="preserve">see attached photos.
For FSI Polaris track system.
22.5 CM X15.2 CM X 5.5 CM (H) WEIGHT 1.4 KG
 </t>
  </si>
  <si>
    <t xml:space="preserve">95595</t>
  </si>
  <si>
    <t xml:space="preserve">PLATE ASSEMBLY</t>
  </si>
  <si>
    <t xml:space="preserve">see attached photos.
For FSI Polaris track system.
Includes the following part numbers:
411131-001-F
PCB: 400-A/N292030 C/REV
410827-00 /C 0795 JMI
410828-00 /B 0795 JMI
28 CM X 28 CM X 31 CM (H) WEIGHT 12.5 KG
 </t>
  </si>
  <si>
    <t xml:space="preserve">95596</t>
  </si>
  <si>
    <t xml:space="preserve">PLASTIC COVER</t>
  </si>
  <si>
    <t xml:space="preserve">see attached photos.
For FSI Polaris track system.
40 CM X 26 CM X 6.5 CM (H) WEIGHT 1.5 KG
 </t>
  </si>
  <si>
    <t xml:space="preserve">95602</t>
  </si>
  <si>
    <t xml:space="preserve">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</si>
  <si>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</si>
  <si>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 xml:space="preserve">95603</t>
  </si>
  <si>
    <t xml:space="preserve">FSI P/N 917410-002C POWER BOX WITH BOARD CT 294159-200C</t>
  </si>
  <si>
    <t xml:space="preserve">See attached photos.
For FSI Polaris track system.
45 CM X 45 CM X 14 CM (H) WEIGHT 4.5 KG
 </t>
  </si>
  <si>
    <t xml:space="preserve">95604</t>
  </si>
  <si>
    <t xml:space="preserve">FSI P/N 917803-001B DWR-DSP CABLE, 25 CM</t>
  </si>
  <si>
    <t xml:space="preserve">see attached photos.
For FSI Polaris track system.
 </t>
  </si>
  <si>
    <t xml:space="preserve">95605</t>
  </si>
  <si>
    <t xml:space="preserve">FSI P/N IB1-7000T 2 FEET CABLE  0795</t>
  </si>
  <si>
    <t xml:space="preserve">95606</t>
  </si>
  <si>
    <t xml:space="preserve">FSI P/N IB1-7000T , CABLE 2 FEET 0795</t>
  </si>
  <si>
    <t xml:space="preserve">95607</t>
  </si>
  <si>
    <t xml:space="preserve">FSI P/N  POWER CABLE, LENGTH 135 CM</t>
  </si>
  <si>
    <t xml:space="preserve">95608</t>
  </si>
  <si>
    <t xml:space="preserve">FSI P/N  8454-AWM-4097-MT BELDEN CABLE, LENGHT 34 CM</t>
  </si>
  <si>
    <t xml:space="preserve">106873</t>
  </si>
  <si>
    <t xml:space="preserve">Zeta 300 G3</t>
  </si>
  <si>
    <t xml:space="preserve">Wafer Acid Spray Cleaner, Hot SPM Process</t>
  </si>
  <si>
    <t xml:space="preserve">The equipment has been professionally de-installed, and inspection of the 
equipment is welcomed by appointment in the warehouse.
For details about the tool's condition, please refer to the attached 
photos.
Sulfuric acid (H 2 SO4) and hydrogen peroxide (H 2 O 2 ) mixture (SPM) is 
used for various wet cleaning process.Robot type: Staubli TX90 XLSCRfsi2
deinstalled: feb 2022
Process run: Hot SPM</t>
  </si>
  <si>
    <t xml:space="preserve">109177</t>
  </si>
  <si>
    <t xml:space="preserve">105877</t>
  </si>
  <si>
    <t xml:space="preserve">Mercury (Spare Parts)</t>
  </si>
  <si>
    <t xml:space="preserve">Brand New Chemical Canister, HF Coded</t>
  </si>
  <si>
    <t xml:space="preserve">108950</t>
  </si>
  <si>
    <t xml:space="preserve">586 CPU Board for an FSi Mercury</t>
  </si>
  <si>
    <t xml:space="preserve">Availability: Immediately on receipt of payment.</t>
  </si>
  <si>
    <t xml:space="preserve">105880</t>
  </si>
  <si>
    <t xml:space="preserve">Used Chemical Canister, HCl Coded</t>
  </si>
  <si>
    <t xml:space="preserve">ORIGINAL OEM PART</t>
  </si>
  <si>
    <t xml:space="preserve">18849</t>
  </si>
  <si>
    <t xml:space="preserve">906498-100</t>
  </si>
  <si>
    <t xml:space="preserve">FSI CHEM FILL Dec scotland system manual and print </t>
  </si>
  <si>
    <t xml:space="preserve">18850</t>
  </si>
  <si>
    <t xml:space="preserve">905403-001</t>
  </si>
  <si>
    <t xml:space="preserve">Print and Product Structures (Poly) Mercury MP</t>
  </si>
  <si>
    <t xml:space="preserve">18851</t>
  </si>
  <si>
    <t xml:space="preserve">907575-100 </t>
  </si>
  <si>
    <t xml:space="preserve">Mercury MP spray processing system operation and maintenance manual</t>
  </si>
  <si>
    <t xml:space="preserve">manual</t>
  </si>
  <si>
    <t xml:space="preserve">Mercury software version 9.05 Printed on regular paper. REV A ECO# NPR-0764 
date 8/5/94</t>
  </si>
  <si>
    <t xml:space="preserve">18852</t>
  </si>
  <si>
    <t xml:space="preserve">501666-000</t>
  </si>
  <si>
    <t xml:space="preserve">Operations and maintenance Excalibur ISR </t>
  </si>
  <si>
    <t xml:space="preserve">18853</t>
  </si>
  <si>
    <t xml:space="preserve">500539-001</t>
  </si>
  <si>
    <t xml:space="preserve">Saturn MP comprehensive technical package</t>
  </si>
  <si>
    <t xml:space="preserve">18854</t>
  </si>
  <si>
    <t xml:space="preserve">906496-100</t>
  </si>
  <si>
    <t xml:space="preserve">Bit bus node installation system requirement and guidelines</t>
  </si>
  <si>
    <t xml:space="preserve">18855</t>
  </si>
  <si>
    <t xml:space="preserve">906487</t>
  </si>
  <si>
    <t xml:space="preserve">Chemblend 350 operation and maintenance manual</t>
  </si>
  <si>
    <t xml:space="preserve">18856</t>
  </si>
  <si>
    <t xml:space="preserve">905521</t>
  </si>
  <si>
    <t xml:space="preserve">Model 1000 CDM operations and maintenance manual</t>
  </si>
  <si>
    <t xml:space="preserve">18857</t>
  </si>
  <si>
    <t xml:space="preserve">501442-058</t>
  </si>
  <si>
    <t xml:space="preserve">Booster pump operations and maintenance</t>
  </si>
  <si>
    <t xml:space="preserve">18858</t>
  </si>
  <si>
    <t xml:space="preserve">504099-001</t>
  </si>
  <si>
    <t xml:space="preserve">Motorola mos 16 PLC expansion project</t>
  </si>
  <si>
    <t xml:space="preserve">18859</t>
  </si>
  <si>
    <t xml:space="preserve">912631</t>
  </si>
  <si>
    <t xml:space="preserve">Excalibur ISR and EOS systems operations and maintenance manual</t>
  </si>
  <si>
    <t xml:space="preserve">18860</t>
  </si>
  <si>
    <t xml:space="preserve">903943-200</t>
  </si>
  <si>
    <t xml:space="preserve">Heated recirculations operations and maintenance manual </t>
  </si>
  <si>
    <t xml:space="preserve">27820</t>
  </si>
  <si>
    <t xml:space="preserve">Excalibur ISR &amp; EOS</t>
  </si>
  <si>
    <t xml:space="preserve">Systems operation and Maintenance Manual</t>
  </si>
  <si>
    <t xml:space="preserve">18861</t>
  </si>
  <si>
    <t xml:space="preserve">906488-100</t>
  </si>
  <si>
    <t xml:space="preserve">27821</t>
  </si>
  <si>
    <t xml:space="preserve">Proteus 11</t>
  </si>
  <si>
    <t xml:space="preserve">DI Water Heater manual Operation and Maintenance</t>
  </si>
  <si>
    <t xml:space="preserve">108717</t>
  </si>
  <si>
    <t xml:space="preserve">Polaris 3500</t>
  </si>
  <si>
    <t xml:space="preserve">Mini Photolithography Track without coaters and developers</t>
  </si>
  <si>
    <t xml:space="preserve">300 MM / 200 mm</t>
  </si>
  <si>
    <t xml:space="preserve">-De-installed: fully functional prior to de-installation.
-Warehoused
-Can be inspected by appointment
-Please refer to the attached photos for details
-one 200mm loadport and one 300mm Asyst loadport with 2 bake plates and 2 
chillers.
-It was a specailly configured system for an R and D customer. This 
customer didn't want to do any spin coating or developing. So, this track 
doesn't have any coaters and developers at all.
- Comes with spare Staubli/FSI RX 90B robot</t>
  </si>
  <si>
    <t xml:space="preserve">18862</t>
  </si>
  <si>
    <t xml:space="preserve">916197-100</t>
  </si>
  <si>
    <t xml:space="preserve">Model 1000 CDM ( ce-marked with PPS ) operations and maintenance manual</t>
  </si>
  <si>
    <t xml:space="preserve">27822</t>
  </si>
  <si>
    <t xml:space="preserve">Chemfill systems</t>
  </si>
  <si>
    <t xml:space="preserve">System Manual and prints</t>
  </si>
  <si>
    <t xml:space="preserve">18863</t>
  </si>
  <si>
    <t xml:space="preserve">903893-200</t>
  </si>
  <si>
    <t xml:space="preserve">Helios 52 di water meter operation and maintenance manual</t>
  </si>
  <si>
    <t xml:space="preserve">27823</t>
  </si>
  <si>
    <t xml:space="preserve">Excalibur</t>
  </si>
  <si>
    <t xml:space="preserve">In Situ Rinse prints &amp; Product structures manuals</t>
  </si>
  <si>
    <t xml:space="preserve">27824</t>
  </si>
  <si>
    <t xml:space="preserve">SATURN &amp; TITAN</t>
  </si>
  <si>
    <t xml:space="preserve">Manuals</t>
  </si>
  <si>
    <t xml:space="preserve">Saturn &amp; Titan Spray Processor Manual Operation and Maintenance Manual</t>
  </si>
  <si>
    <t xml:space="preserve">27825</t>
  </si>
  <si>
    <t xml:space="preserve">Mercury</t>
  </si>
  <si>
    <t xml:space="preserve">Prints &amp; Products Manual 905403-001 Rev A</t>
  </si>
  <si>
    <t xml:space="preserve">27826</t>
  </si>
  <si>
    <t xml:space="preserve">Mercury MP </t>
  </si>
  <si>
    <t xml:space="preserve">Operation and Maintenance Manual</t>
  </si>
  <si>
    <t xml:space="preserve">Spray Processing system Operation and Maintenance manual</t>
  </si>
  <si>
    <t xml:space="preserve">27827</t>
  </si>
  <si>
    <t xml:space="preserve">Excalibur ISR</t>
  </si>
  <si>
    <t xml:space="preserve">ISR Operation &amp; Maintenance Manual</t>
  </si>
  <si>
    <t xml:space="preserve">27828</t>
  </si>
  <si>
    <t xml:space="preserve">912629</t>
  </si>
  <si>
    <t xml:space="preserve">FSI Excalibur ISR &amp; EOS Systems SECS/GEM implemntation Manual</t>
  </si>
  <si>
    <t xml:space="preserve">27829</t>
  </si>
  <si>
    <t xml:space="preserve">904602-200</t>
  </si>
  <si>
    <t xml:space="preserve">Heated Recirculation Prints &amp; Products Structures Manual</t>
  </si>
  <si>
    <t xml:space="preserve">27830</t>
  </si>
  <si>
    <t xml:space="preserve">Bitbus Node Installation System requirments and guidelines</t>
  </si>
  <si>
    <t xml:space="preserve">27835</t>
  </si>
  <si>
    <t xml:space="preserve">Manual 905364-200</t>
  </si>
  <si>
    <t xml:space="preserve">Prints &amp; product structures 905364-200</t>
  </si>
  <si>
    <t xml:space="preserve">27836</t>
  </si>
  <si>
    <t xml:space="preserve">Manual Prints &amp; Product  Structures</t>
  </si>
  <si>
    <t xml:space="preserve">27837</t>
  </si>
  <si>
    <t xml:space="preserve">Booster Pump</t>
  </si>
  <si>
    <t xml:space="preserve">Manual </t>
  </si>
  <si>
    <t xml:space="preserve">Print &amp; Product Structures</t>
  </si>
  <si>
    <t xml:space="preserve">27838</t>
  </si>
  <si>
    <t xml:space="preserve">Saturn MP</t>
  </si>
  <si>
    <t xml:space="preserve">Manual 500539-001</t>
  </si>
  <si>
    <t xml:space="preserve">Operation &amp; Maintenance Manual</t>
  </si>
  <si>
    <t xml:space="preserve">27839</t>
  </si>
  <si>
    <t xml:space="preserve">Manual 500539-004</t>
  </si>
  <si>
    <t xml:space="preserve">Prints &amp; parts Structures</t>
  </si>
  <si>
    <t xml:space="preserve">27840</t>
  </si>
  <si>
    <t xml:space="preserve">Mercury Booster Pump Manual</t>
  </si>
  <si>
    <t xml:space="preserve">27841</t>
  </si>
  <si>
    <t xml:space="preserve">Proteus 1</t>
  </si>
  <si>
    <t xml:space="preserve">27842</t>
  </si>
  <si>
    <t xml:space="preserve">Saturn OC</t>
  </si>
  <si>
    <t xml:space="preserve">Manuals </t>
  </si>
  <si>
    <t xml:space="preserve">Operators Guide Manual Operation &amp; Maintenance Manual</t>
  </si>
  <si>
    <t xml:space="preserve">27871</t>
  </si>
  <si>
    <t xml:space="preserve">ISR Maual </t>
  </si>
  <si>
    <t xml:space="preserve">In Situ Rinse Prints &amp; Parts Structures Manual</t>
  </si>
  <si>
    <t xml:space="preserve">27872</t>
  </si>
  <si>
    <t xml:space="preserve">Vapour Phase Processing system Supplementary training manual</t>
  </si>
  <si>
    <t xml:space="preserve">27873</t>
  </si>
  <si>
    <t xml:space="preserve">PLC Expansion</t>
  </si>
  <si>
    <t xml:space="preserve">PLC expansion Project Manual</t>
  </si>
  <si>
    <t xml:space="preserve">27874</t>
  </si>
  <si>
    <t xml:space="preserve">907051-100</t>
  </si>
  <si>
    <t xml:space="preserve">Excalibur ISR Operation and Maintenance Manual</t>
  </si>
  <si>
    <t xml:space="preserve">907051-100 Qty 2 907051-200</t>
  </si>
  <si>
    <t xml:space="preserve">27875</t>
  </si>
  <si>
    <t xml:space="preserve">HELIOS 52</t>
  </si>
  <si>
    <t xml:space="preserve">Prints  &amp; Products structures Manual</t>
  </si>
  <si>
    <t xml:space="preserve">27876</t>
  </si>
  <si>
    <t xml:space="preserve">Excalibur 200mm</t>
  </si>
  <si>
    <t xml:space="preserve">Supplier Manual</t>
  </si>
  <si>
    <t xml:space="preserve">27877</t>
  </si>
  <si>
    <t xml:space="preserve">500539-004</t>
  </si>
  <si>
    <t xml:space="preserve">Parts &amp; Structures Manual</t>
  </si>
  <si>
    <t xml:space="preserve">27878</t>
  </si>
  <si>
    <t xml:space="preserve">Saturn</t>
  </si>
  <si>
    <t xml:space="preserve">Manual General</t>
  </si>
  <si>
    <t xml:space="preserve">27879</t>
  </si>
  <si>
    <t xml:space="preserve">Mercury MP</t>
  </si>
  <si>
    <t xml:space="preserve">Spray Processing system Operation &amp; Maintenance Manual</t>
  </si>
  <si>
    <t xml:space="preserve">MERCURY MP SPRAY PROCESSING SYSTEM Operation and Maintenance Manual - For 
software version 9.07
Manual P/N 908786-200 REV B
ORIGINAL OEM MANUAL.
Location: Avezzano (AQ) 67051 Italy</t>
  </si>
  <si>
    <t xml:space="preserve">27880</t>
  </si>
  <si>
    <t xml:space="preserve">Model 1000 CDM/ PPS Manual Rev D</t>
  </si>
  <si>
    <t xml:space="preserve">Qty 2 available.
See attached details.
Non-cleanroom paper version.
In Avezzano, Italy
part number 906488-100
</t>
  </si>
  <si>
    <t xml:space="preserve">27881</t>
  </si>
  <si>
    <t xml:space="preserve">Chemfill systems - Manual</t>
  </si>
  <si>
    <t xml:space="preserve">Model 1000-4 PLC CDM Supplementary Training Package </t>
  </si>
  <si>
    <t xml:space="preserve">Advanced training course  - notes , including diagrams etc.
Located in Italy.
See attached photos for details.</t>
  </si>
  <si>
    <t xml:space="preserve">109553</t>
  </si>
  <si>
    <t xml:space="preserve">75296</t>
  </si>
  <si>
    <t xml:space="preserve">FSI *</t>
  </si>
  <si>
    <t xml:space="preserve">Mercury MP *</t>
  </si>
  <si>
    <t xml:space="preserve">Acid Spray Process System</t>
  </si>
  <si>
    <t xml:space="preserve">FSI Mercury MP *,
-8 inch,
-Software Rev. 11.013,
-CPU 586,
-2nd CE Marked,
-Process Console, 
-2 Canister Consoles,
-6 Chemicals,
-DI-MIX Option,
-4 Chemical Drains (1 x N.O., 3 x N.C. Drains),
-IR-All Chemical Heater incl. By-Pass Option,
-Helios52 DI Water Heater,
-Vibration Sensor,
-SBSP,
-SBTP,
-Drip Pans for 2 Canister Consoles, Process Console and DI-Helios,
-Autofill Option 6 Chemicals,
-Single Exhaust,
-3PH, 380 V,
-All Docs on CD-Rom.
Chemical Configuration:
H2SO4        600-900 cc/min
HCL        30-300 cc/min
NH4OH100        15-300 cc/min
HF            30-300 cc/min
NH4OH        30-300 cc/min
H2O2        30-300 cc/min
DI-Mix        1000-2000 cc/min
  *Trade Marks of FSI International Inc. SDI is not an authorized reseller 
of these products.</t>
  </si>
  <si>
    <t xml:space="preserve">93084</t>
  </si>
  <si>
    <t xml:space="preserve">FSM</t>
  </si>
  <si>
    <t xml:space="preserve">SYMPHONYMC</t>
  </si>
  <si>
    <t xml:space="preserve">Life Time</t>
  </si>
  <si>
    <t xml:space="preserve">83616</t>
  </si>
  <si>
    <t xml:space="preserve">FSP GROUP INC</t>
  </si>
  <si>
    <t xml:space="preserve">100-240 W</t>
  </si>
  <si>
    <t xml:space="preserve">POWER SUPPLY for a p.c.</t>
  </si>
  <si>
    <t xml:space="preserve">10A 50-60 Hz</t>
  </si>
  <si>
    <t xml:space="preserve">AC IMPUT 100-240 V
10 A
50-60 Hz
MAX OUTPUT POWER 350 W
PART ID LABEL
WEIGHT TOTAL BOX: 19 KG.
DIMENSION: 50CM.X 38 CM. X 23 CM. (H)
S/N ALL: S6421250171/72/73/74/75/76/77/78/79/80
      </t>
  </si>
  <si>
    <t xml:space="preserve">83884</t>
  </si>
  <si>
    <t xml:space="preserve">FUJI</t>
  </si>
  <si>
    <t xml:space="preserve">CP32</t>
  </si>
  <si>
    <t xml:space="preserve">CIRCUIT PROTECTOR</t>
  </si>
  <si>
    <t xml:space="preserve">V 2/W
CP32V/2W
AC 250 V
50/60 Hz
2 A 1000A P-2
500 2V
WEIGHT  150 GR.
DIMENSION:10 CM. X 6,5 CM. X 4 CM.(H)
THE PRICE IS FOR EACH</t>
  </si>
  <si>
    <t xml:space="preserve">84260</t>
  </si>
  <si>
    <t xml:space="preserve">FUJI SEIKI &amp; SILENT</t>
  </si>
  <si>
    <t xml:space="preserve">FA-1612HCB-C</t>
  </si>
  <si>
    <t xml:space="preserve">FA.FWM.</t>
  </si>
  <si>
    <t xml:space="preserve">SOFT ABSORBER FUJI
1612HCB
WEIGHT: 1050 GR.
DIMENSION: 2 X 2 X 12 (H)
</t>
  </si>
  <si>
    <t xml:space="preserve">103814</t>
  </si>
  <si>
    <t xml:space="preserve">Fujikin</t>
  </si>
  <si>
    <t xml:space="preserve">FBSDV-6.35-2B3-BGC</t>
  </si>
  <si>
    <t xml:space="preserve">VALVE BLOCK DIAPH 1/4VCR-F/F/F NC/NC VIM VAR 5RA</t>
  </si>
  <si>
    <t xml:space="preserve">COMPLETELY NEW OEM PART, SEALED IN THE ORIGINAL PACKING MATERIALS.
SEE PHOTOS FOR DETAILS.
LOCATED IN AVEZZANO 67051 ITALY.</t>
  </si>
  <si>
    <t xml:space="preserve">83544</t>
  </si>
  <si>
    <t xml:space="preserve">Fujitsu Denso</t>
  </si>
  <si>
    <t xml:space="preserve">FDS26-29</t>
  </si>
  <si>
    <t xml:space="preserve">750W 26V29A Power supply FOR ADVANTEST T5335P TESTER</t>
  </si>
  <si>
    <t xml:space="preserve">  Removed from working service from Advantest T5335P tester
 FDS26-29 converter power supply 00970 (3917-D921)
 </t>
  </si>
  <si>
    <t xml:space="preserve">83549</t>
  </si>
  <si>
    <t xml:space="preserve">FDS11+11</t>
  </si>
  <si>
    <t xml:space="preserve">750W 34A Power supply FOR ADVANTEST T5335P TESTER</t>
  </si>
  <si>
    <t xml:space="preserve">  Removed from working service from Advantest T5335P tester
 FDS11+11 converter power supply 00952 (3922-D921)
 </t>
  </si>
  <si>
    <t xml:space="preserve">106475</t>
  </si>
  <si>
    <t xml:space="preserve">Furukawa</t>
  </si>
  <si>
    <t xml:space="preserve">UVW-102M</t>
  </si>
  <si>
    <t xml:space="preserve">FURUKAWA UV-102 SEMI AUTO UV CURE SYSTEM</t>
  </si>
  <si>
    <t xml:space="preserve">109178</t>
  </si>
  <si>
    <t xml:space="preserve">Future Fab</t>
  </si>
  <si>
    <t xml:space="preserve">Future Fab Solvent Hood</t>
  </si>
  <si>
    <t xml:space="preserve">Fume Hood Workstation</t>
  </si>
  <si>
    <t xml:space="preserve">83903</t>
  </si>
  <si>
    <t xml:space="preserve">GACHOT</t>
  </si>
  <si>
    <t xml:space="preserve">DN 15-10</t>
  </si>
  <si>
    <t xml:space="preserve">STAINLSS STEEL BALL VALVE</t>
  </si>
  <si>
    <t xml:space="preserve">+644
Z2CND 7-12
DN 15-10
PN 100
WEIGHT: GR.750
DIMENSION: 21 CM. X 8 CM. X 10 CM. (H)
THE PRICE IS FOR EACH</t>
  </si>
  <si>
    <t xml:space="preserve">96543</t>
  </si>
  <si>
    <t xml:space="preserve">Gaertner</t>
  </si>
  <si>
    <t xml:space="preserve">L115C-8</t>
  </si>
  <si>
    <t xml:space="preserve">Ellipsometer, cassette to cassette</t>
  </si>
  <si>
    <t xml:space="preserve">-In good condition.
-With wafer handler, and computer with Windows NT 3.51
-See attached photos for details.</t>
  </si>
  <si>
    <t xml:space="preserve">109434</t>
  </si>
  <si>
    <t xml:space="preserve">GAIN</t>
  </si>
  <si>
    <t xml:space="preserve">G50H13P</t>
  </si>
  <si>
    <t xml:space="preserve">109435</t>
  </si>
  <si>
    <t xml:space="preserve">M50H13P</t>
  </si>
  <si>
    <t xml:space="preserve">Part Number: 5071628926 Model Number: 5902-004013</t>
  </si>
  <si>
    <t xml:space="preserve">84075</t>
  </si>
  <si>
    <t xml:space="preserve">Gasonics</t>
  </si>
  <si>
    <t xml:space="preserve">DTC2280</t>
  </si>
  <si>
    <t xml:space="preserve">ISA IDE control board floppy HDD</t>
  </si>
  <si>
    <t xml:space="preserve">new in the box, old stock
DTC 2280, with manuals, etc.
</t>
  </si>
  <si>
    <t xml:space="preserve">91348</t>
  </si>
  <si>
    <t xml:space="preserve">IRIDIA 4800 DL</t>
  </si>
  <si>
    <t xml:space="preserve">Stripper / Asher</t>
  </si>
  <si>
    <t xml:space="preserve">91349</t>
  </si>
  <si>
    <t xml:space="preserve">91351</t>
  </si>
  <si>
    <t xml:space="preserve">110314</t>
  </si>
  <si>
    <t xml:space="preserve">GASONICS</t>
  </si>
  <si>
    <t xml:space="preserve">Gasonics IPC Match</t>
  </si>
  <si>
    <t xml:space="preserve">Sold Ex-Works, UK Office , Part Number:PM 732 , Secondary P/N:12390-02</t>
  </si>
  <si>
    <t xml:space="preserve">110315</t>
  </si>
  <si>
    <t xml:space="preserve">110316</t>
  </si>
  <si>
    <t xml:space="preserve">Gasonics Match</t>
  </si>
  <si>
    <t xml:space="preserve">Sold Ex-Works, UK Office , Part Number:12390-02</t>
  </si>
  <si>
    <t xml:space="preserve">83920</t>
  </si>
  <si>
    <t xml:space="preserve">GAZEL</t>
  </si>
  <si>
    <t xml:space="preserve">MG.FE 14</t>
  </si>
  <si>
    <t xml:space="preserve">SUPERCLEAN</t>
  </si>
  <si>
    <t xml:space="preserve">14</t>
  </si>
  <si>
    <t xml:space="preserve">IPE 141</t>
  </si>
  <si>
    <t xml:space="preserve">83921</t>
  </si>
  <si>
    <t xml:space="preserve">MG.FC 14</t>
  </si>
  <si>
    <t xml:space="preserve">GSI</t>
  </si>
  <si>
    <t xml:space="preserve">IPE 145</t>
  </si>
  <si>
    <t xml:space="preserve">83922</t>
  </si>
  <si>
    <t xml:space="preserve">MG.FE 38</t>
  </si>
  <si>
    <t xml:space="preserve">IPE 142</t>
  </si>
  <si>
    <t xml:space="preserve">83923</t>
  </si>
  <si>
    <t xml:space="preserve">EMC 38 AB</t>
  </si>
  <si>
    <t xml:space="preserve">IPE 155</t>
  </si>
  <si>
    <t xml:space="preserve">83924</t>
  </si>
  <si>
    <t xml:space="preserve">ECF 14</t>
  </si>
  <si>
    <t xml:space="preserve">IPE 148</t>
  </si>
  <si>
    <t xml:space="preserve">83925</t>
  </si>
  <si>
    <t xml:space="preserve">ECM 14</t>
  </si>
  <si>
    <t xml:space="preserve">SUPERCLEAN-GSI</t>
  </si>
  <si>
    <t xml:space="preserve">IPE 149</t>
  </si>
  <si>
    <t xml:space="preserve">83926</t>
  </si>
  <si>
    <t xml:space="preserve">ECF 12</t>
  </si>
  <si>
    <t xml:space="preserve">IPE 152</t>
  </si>
  <si>
    <t xml:space="preserve">83927</t>
  </si>
  <si>
    <t xml:space="preserve">ECM 12</t>
  </si>
  <si>
    <t xml:space="preserve">IPE 153</t>
  </si>
  <si>
    <t xml:space="preserve">108751</t>
  </si>
  <si>
    <t xml:space="preserve">GCA TROPEL</t>
  </si>
  <si>
    <t xml:space="preserve">9000</t>
  </si>
  <si>
    <t xml:space="preserve">Wafer Flatness Analyzer</t>
  </si>
  <si>
    <t xml:space="preserve">Fringe Sensitivity Range: 0.5 to 10.0 micrometers per fringe System 
Accuracy: 0.25 micrometers Maximum Test Area: 5.0 x 4.5 inches Maximum 
Resolution: 0.10 micrometers Tilt Adjustable Work Holders in 2 Dimensions: 
4” x 4”, 5” x 5” Photo plates 2” and 3” Wafers and Slices</t>
  </si>
  <si>
    <t xml:space="preserve">91138</t>
  </si>
  <si>
    <t xml:space="preserve">GEMINI</t>
  </si>
  <si>
    <t xml:space="preserve">GEMINI III E</t>
  </si>
  <si>
    <t xml:space="preserve">EPI Reactor Batch</t>
  </si>
  <si>
    <t xml:space="preserve">110317</t>
  </si>
  <si>
    <t xml:space="preserve">Gencal</t>
  </si>
  <si>
    <t xml:space="preserve">GenCal Power Meter</t>
  </si>
  <si>
    <t xml:space="preserve">Sold Ex-Works, UK Office , Part Number:3155228-000 E</t>
  </si>
  <si>
    <t xml:space="preserve">110318</t>
  </si>
  <si>
    <t xml:space="preserve">General Electric </t>
  </si>
  <si>
    <t xml:space="preserve">Dummy Load </t>
  </si>
  <si>
    <t xml:space="preserve">Sold Ex-Works, UK Office , Part Number:CAWY-14ACN</t>
  </si>
  <si>
    <t xml:space="preserve">94596</t>
  </si>
  <si>
    <t xml:space="preserve">Genesys</t>
  </si>
  <si>
    <t xml:space="preserve">DC Power Supplies</t>
  </si>
  <si>
    <t xml:space="preserve">GEN 30-25/LN 750 W / 1500 TDK Lambada with enclosed RS 232 &amp; RS 485 
Interface (Original, new)</t>
  </si>
  <si>
    <t xml:space="preserve">94597</t>
  </si>
  <si>
    <t xml:space="preserve">GEN 8-300 1 P 230 / 2400 W TDK Lambda with enclosed RS 232 &amp; RS 485 
Interface (Original, new)</t>
  </si>
  <si>
    <t xml:space="preserve">107016</t>
  </si>
  <si>
    <t xml:space="preserve">Genmark</t>
  </si>
  <si>
    <t xml:space="preserve">Various genmark robots and Edwards turbo  pumps</t>
  </si>
  <si>
    <t xml:space="preserve">Mixed lot of Edwards Turbo pumps, Genmark Robots and controllers and a JEL robot</t>
  </si>
  <si>
    <t xml:space="preserve">I am selling a batch of Genmark robots and controllers, a JEL robot and qty 
5 Edwards turbo pumps in one lot at a discount price.
Here is the list of the items and a few photos are attached.
You can see more detailed information if you go to the web links shown 
below.
 &lt;https://www.fabsurplus.com/sdi_catalog/salesItemDetails.do?id=101042&gt;
SDI ID:  101042
Manufacturer: Genmark
Model:  AVR series
Description:  Cleanroom Vacuum Robot only
Version:  Spares
Vintage:  Inquire
Quantity:  1
Sales Condition:  as is where is
Lead Time:  immediately
Comments: 
AVR Series vacuum cleanroom robot without controller and cables.
Light signs of wear: bolt marks, light surface scratches/discolourings. 
Structurally good quality, communication tested, motion not tested, not 
cleanroom clean. Usage history: lithographic test setup.
 &lt;https://www.fabsurplus.com/sdi_catalog/salesItemDetails.do?id=101044&gt;
SDI ID:  101044
Manufacturer: Genmark
Model:  GB9 GPR Gencobot
Description:  Cleanroom Vacuum Robot and controller
Version:  Spares
Vintage:  01.05.2011
Quantity:  1
Sales Condition:  as is where is
Lead Time:  immediately
Comments: 
Genmark cleanroom vacuum robot and controller. Complete functional setup, 
consisting of robot, controller, firmware, cables, accessories, and 
manuals. Test &amp; Calibration check list included.
Visually good condition, mild scuff mark on robot elbow, controller lid 
screws missing. Motion tested.
- GB9 GPR Vacuum Robot
- SMALL Controller - P/N 98000106841
- 2 ELCO Cables - P/N 910500016
- Power Cable - P/N 010130095
- Test &amp; Calibration Check List #21064 - P/N 400-200319002_GB9 Rev. 1
- Test &amp; Calibration Tests Duration Check List #21064 - P/N 400-200300010 
Rev. 1
- Gencobot 9 GPR Series Reference Manual - P/N 080010022
- Controller Reference Manual - P/N 080010043
- Firmware (Diskette). Version GB9-5.06. Calibration #21064
- O-ring Large - P/N 050200079
 &lt;https://www.fabsurplus.com/sdi_catalog/salesItemDetails.do?id=101045&gt;
SDI ID:  101045
Manufacturer: Genmark
Model:  GB9 ELV
Description:  Cleanroom Vacuum Elevator and Controller
Version:  Spares
Vintage:  01.07.2013
Quantity:  1
Sales Condition:  as is where is
Lead Time:  immediately
Comments: 
Genmark cleanroom vacuum elevator and controller. Complete functional 
setup, consisting of elevator, controller, cable. This is a pre-owned item, 
manufactured in 2013.
Visually excellent condition. No installation marks and appears unused. 
Motion tested. Controller bears pristine waranty proof label.
- GB9 ELV Vacuum Elevator
- SYSTEM Controller - P/N 9800107111
- 1 ELCO Cable - P/N 910500016
 &lt;https://www.fabsurplus.com/sdi_catalog/salesItemDetails.do?id=101047&gt;
SDI ID:  101047
Manufacturer: Jel
Model:  SCR32000CS‐ 450‐PM
Description:  Cleanroom Handling Robot
Version:  Spares
Vintage:  31.05.2014
Quantity:  1
Sales Condition:  as is where is
Lead Time:  immediately
Comments: 
JEL cleanroom robot without accessories. The robot is equipped with a 38cm 
long dualblade end‐effector with vacuum suction cups. This is a pre-owned 
item, manufactured in 2014.
Visually good condition. Mild scuff marks on 2nd link and wrist block. 
Untested. Original transport fixation bracket mounted.
 &lt;https://www.fabsurplus.com/sdi_catalog/salesItemDetails.do?id=101037&gt;
SDI ID:  101037
Manufacturer: Edwards
Model:  STPiXA2205C PN: YT63‐1Z‐040
Description:  Turbomolecular Vacuum Pump
Version:  Pump
Vintage:  31.05.2013
Quantity:  1
Sales Condition:  as is where is
Lead Time:  immediately
Comments: 
Edwards turbomolecular pump for high vacuum, 2200 L/s. With integrated 
controller. Without power supply and cables.
This is a pre-owned item, manufactured in 2013, and visually in good 
condition. Usage history: lithographic test setup. The system is not 
cleanroom clean and not sealed with dust-caps. Signs of wear: small 
scratches on the front and right side. One cooling port is deformed, the 
power socket is damaged, and the power socket clamp is missing.
 &lt;https://www.fabsurplus.com/sdi_catalog/salesItemDetails.do?id=101038&gt;
SDI ID:  101038
Manufacturer: Edwards
Model:  STPiXA2205C PN: YT63‐1Z‐040
Description:  Turbomolecular Vacuum Pump
Version:  Pump
Vintage:  01.05.2013
Quantity:  1
Sales Condition:  as is where is
Lead Time:  immediately
Comments: 
Edwards turbomolecular pump for high vacuum, 2200 L/s. With integrated 
controller. Without power supply and cables.This is a pre-owned item, 
manufactured in 2013, and visually in good condition. Usage history: 
lithographic test Setup. The system is not cleanroom clean and not sealed 
with dust-caps. Signs of wear: scratch above the connector panel and on the 
left side. The power socket has a very small deformation, but is 
functional.
 &lt;https://www.fabsurplus.com/sdi_catalog/salesItemDetails.do?id=101039&gt;
SDI ID:  101039
Manufacturer: Edwards
Model:  STPiXA2205C PN:YT63‐1Z‐000
Description:  Turbomolecular Vacuum Pump
Version:  Pump
Vintage:  31.05.2012
Quantity:  1
Sales Condition:  as is where is
Lead Time:  immediately
Comments: 
Edwards turbomolecular pump for high vacuum, 2200 L/s. With integrated 
controller. Without power supply and cables.This is a pre-owned item, 
manufactured in 2012, and visually in good condition. Usage history: 
lithographic test setup. The system is not cleanroom clean and not sealed 
with dust-caps. Signs of wear: scratch on the right side near the base. The 
cooling ports are deformed and the outlet has scratches.
 &lt;https://www.fabsurplus.com/sdi_catalog/salesItemDetails.do?id=101040&gt;
SDI ID:  101040
Manufacturer: Edwards
Model:  STPiXA2205C PN:YT63‐1Z‐000
Description:  Turbomolecular Vacuum Pump
Version:  Pump
Vintage:  31.05.2012
Quantity:  1
Sales Condition:  as is where is
Lead Time:  immediately
Comments: 
Edwards turbomolecular pump for high vacuum, 2200 L/s. With integrated 
controller. Without power supply and cables.This is a pre-owned item, 
manufactured in 2012, and visually in good condition. Usage history: 
lithographic test setup. The system is not cleanroom clean and not sealed 
with dust-caps. Signs of wear: various small scratches on the external 
surface and the mesh is slightly dented in two spots. One cornor of the 
power socket is damaged, but still functional.
 &lt;https://www.fabsurplus.com/sdi_catalog/salesItemDetails.do?id=101041&gt;
SDI ID:  101041
Manufacturer: Edwards
Model:  STPiXA2205C PN:YT63‐1Z‐000
Description:  Turbomolecular Vacuum Pump
Version:  Pump
Vintage:  31.05.2016
Quantity:  1
Sales Condition:  as is where is
Lead Time:  immediately
Comments: 
Edwards turbomolecular pump for high vacuum, 2200 L/s. With integrated 
controller. Without power supply and cables.This is a pre-owned item, 
manufactured in 2016, and visually in good condition. Usage history: 
lithographic test Setup. The system is not cleanroom clean and not sealed 
with dust-caps. Signs of wear: small scratch on the rear-side near the 
base. In addition, the front panel shows marks of corrosion around the data 
connectors.
 </t>
  </si>
  <si>
    <t xml:space="preserve">108818</t>
  </si>
  <si>
    <t xml:space="preserve">GENMARK</t>
  </si>
  <si>
    <t xml:space="preserve">S08R</t>
  </si>
  <si>
    <t xml:space="preserve">Robot Controllers, PN 990010622, 2ea Available</t>
  </si>
  <si>
    <t xml:space="preserve">98463</t>
  </si>
  <si>
    <t xml:space="preserve">GB4/3L</t>
  </si>
  <si>
    <t xml:space="preserve">Atmospheric wafer handling robot with controller</t>
  </si>
  <si>
    <t xml:space="preserve">BOTH THE ROBOT AND THE CONTROLLER ARE INCLUDED. BOTH THE ROBOT AND THE 
CONTROLLER ARE BRAND NEW, NEVER USED. THEY ARE SOLD "AS IS" CONDITIONS.
Deinstalled, warehoused. Can be inspected by appointment.</t>
  </si>
  <si>
    <t xml:space="preserve">98464</t>
  </si>
  <si>
    <t xml:space="preserve">GB8-MT-80050102</t>
  </si>
  <si>
    <t xml:space="preserve">Single arm Atmospheric wafer handling robot</t>
  </si>
  <si>
    <t xml:space="preserve">Deinstalled, warehoused. Can be inspected by appointment
Please check pictures below for more information.</t>
  </si>
  <si>
    <t xml:space="preserve">101042</t>
  </si>
  <si>
    <t xml:space="preserve">AVR series</t>
  </si>
  <si>
    <t xml:space="preserve">Cleanroom Vacuum Robot only</t>
  </si>
  <si>
    <t xml:space="preserve">AVR Series vacuum cleanroom robot without controller and cables.
Light signs of wear: bolt marks, light surface scratches/discolourings. 
Structurally good quality, communication tested, motion not tested, not 
cleanroom clean. Usage history: lithographic test setup.</t>
  </si>
  <si>
    <t xml:space="preserve">106945</t>
  </si>
  <si>
    <t xml:space="preserve">GB3</t>
  </si>
  <si>
    <t xml:space="preserve">Wafer handling Robot</t>
  </si>
  <si>
    <t xml:space="preserve">-Sold "as is".
-See attached photos for the condition
-SOFTWARE FLOPPY DISK INCLUDED .
SHIPPING WEIGHT AND DIMS IN CARDBOARD BOX 53 CM X 53 CM X 56 CM (H) WEIGHT 
25 KG
LOCATED AT OUR WAREHOUSE IN AVEZZANO 67051 ITALY AND AVAILABLE FOR 
IMMEDIATE DELIVERY.</t>
  </si>
  <si>
    <t xml:space="preserve">106855</t>
  </si>
  <si>
    <t xml:space="preserve">Gigaphoton</t>
  </si>
  <si>
    <t xml:space="preserve">A700GK-1</t>
  </si>
  <si>
    <t xml:space="preserve">248 nm  (KrF) excimer laser</t>
  </si>
  <si>
    <t xml:space="preserve">De-installed, warehoused. Can be inspected by appointment. Was in working 
condition before it was switched off.</t>
  </si>
  <si>
    <t xml:space="preserve">76735</t>
  </si>
  <si>
    <t xml:space="preserve">GL Automation</t>
  </si>
  <si>
    <t xml:space="preserve">IDSCOPE</t>
  </si>
  <si>
    <t xml:space="preserve">Wafer bar code reader</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</si>
  <si>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WIS04
Serial Number GA101383
Vintage unknown
OEM GL Automation
Model ID Scope
Process
OS Version Windows XP
2.SAMPLE SPECIFICATION
Sample Size Dia. 200mm
Sample Shape Wafer
Cassette Port 1 port
Wafer Cassette KM-803S-H
SMIF Interface No
3. SYSTEM CONFIGURATION
Option
Ionizer Yes
1</t>
  </si>
  <si>
    <t xml:space="preserve">76736</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</si>
  <si>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WIS05
Serial Number GA101394
Vintage unknown
OEM GL Automation
Model ID Scope
Process
OS Version Windows XP
2.SAMPLE SPECIFICATION
Sample Size Dia. 200mm
Sample Shape Wafer
Cassette Port 1 port
Wafer Cassette KM-803S-H
SMIF Interface No
3. SYSTEM CONFIGURATION
Option
Ionizer Yes
1</t>
  </si>
  <si>
    <t xml:space="preserve">76737</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</si>
  <si>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WIS06
Serial Number GA101395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</si>
  <si>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76738</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</si>
  <si>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WIS07
Serial Number GA101396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</si>
  <si>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76739</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</si>
  <si>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Serial Number GA101406
OEM GL Automation
Model ID Scope
Process SCRIBE READ
OS Version Windows XP
2.SAMPLE SPECIFICATION
Sample Size Dia. 200mm
Sample Shape Wafer
Cassette Port 1 port
Wafer Cassette KM-803S-H
SMIF Interface No
3. SYSTEM CONFIGURATION
Option
Ionizer Yes</t>
  </si>
  <si>
    <t xml:space="preserve">110319</t>
  </si>
  <si>
    <t xml:space="preserve">Glassman High Voltage, Inc</t>
  </si>
  <si>
    <t xml:space="preserve">PS/FL1.5F1.0</t>
  </si>
  <si>
    <t xml:space="preserve">79892</t>
  </si>
  <si>
    <t xml:space="preserve">Gossen Konstanter</t>
  </si>
  <si>
    <t xml:space="preserve">IEC625</t>
  </si>
  <si>
    <t xml:space="preserve">Laboratory Power supply Gossen Konstanter UOP</t>
  </si>
  <si>
    <t xml:space="preserve">DEINSTALLED
WAREHOUSED
CAN BE INSPECTED BY APPOINTMENT
LOCATION: AVEZZANO 67051 ITALY
</t>
  </si>
  <si>
    <t xml:space="preserve">106476</t>
  </si>
  <si>
    <t xml:space="preserve">GPD</t>
  </si>
  <si>
    <t xml:space="preserve">PBFT856VS</t>
  </si>
  <si>
    <t xml:space="preserve">Pull Force Tester</t>
  </si>
  <si>
    <t xml:space="preserve">M Shut down in Fab. Needs to be removed in the next few weeks.</t>
  </si>
  <si>
    <t xml:space="preserve">94601</t>
  </si>
  <si>
    <t xml:space="preserve">Group 3</t>
  </si>
  <si>
    <t xml:space="preserve">1981001</t>
  </si>
  <si>
    <t xml:space="preserve">Digital Teslameter</t>
  </si>
  <si>
    <t xml:space="preserve">DTM 151 DS I /O RS-232-C</t>
  </si>
  <si>
    <t xml:space="preserve">83800</t>
  </si>
  <si>
    <t xml:space="preserve">GSC</t>
  </si>
  <si>
    <t xml:space="preserve">P140-74</t>
  </si>
  <si>
    <t xml:space="preserve">Gleichstrom Servo Motor</t>
  </si>
  <si>
    <t xml:space="preserve"> GSC P140-74 Nr. 391041
Md 0,3 Nm 3A
n 3000 min
 10V/1000 min Gen. 14V/1000 min
From Zeiss Axiotran microscopes
appears new in the box
Zeiss 5240500
 </t>
  </si>
  <si>
    <t xml:space="preserve">108158</t>
  </si>
  <si>
    <t xml:space="preserve">CSP200</t>
  </si>
  <si>
    <t xml:space="preserve">Wafer Level Die Marking System</t>
  </si>
  <si>
    <t xml:space="preserve">71907</t>
  </si>
  <si>
    <t xml:space="preserve">Hamamatsu</t>
  </si>
  <si>
    <t xml:space="preserve">C7103</t>
  </si>
  <si>
    <t xml:space="preserve">PC Controlled IC Back-side Lapping and Wafer Grinding System</t>
  </si>
  <si>
    <t xml:space="preserve">200 mm and packages</t>
  </si>
  <si>
    <t xml:space="preserve">The C7103 is a computerised IC backside polishing system for use when 
preparing a
sample for backside emission analysis or any other analysis technique that 
requires visualization of the chip internally.
De-installed, warehoused, in Avezzano Italy.
See attached photos for details.
Can be sold "as is", or "as is, operational".
Ce marked.
Main Specifications
Operating Range
X-axis: 250 mm (9-13/16 inch)
Y-axis: 150 mm (5-7/8 inch)
Z-axis: 150 mm (5-7/8 inch)
Resolution
0.01 mm/step (X Y Z)
Interface
Parallel (Centronics)
Serial (RS-232C)
Operating Temperature
5 to 40°C
Operating Humidity
20 % to 75 %
Weight and dimensions:
Weight 150 KG Dims: 134 cm x 134 cm x 75 cm (On wooden base)
Consists of:-
-Main Unit
-8 inch vacuum chuck
-IC Wax holder
-PC (HP Vectra with Windows NT 4.0)
-Hamamatsu s/w V 1.30
-Mouse, Kbd, Monitor
-Power transformer for 240V 1 phase power input
-Power supply unit
-Operation and Maint. manual V1.30
-Control paddle
</t>
  </si>
  <si>
    <t xml:space="preserve">84413</t>
  </si>
  <si>
    <t xml:space="preserve">HAMPTON</t>
  </si>
  <si>
    <t xml:space="preserve">CYCLETROL 240</t>
  </si>
  <si>
    <t xml:space="preserve">CIRCUIT BREAKER</t>
  </si>
  <si>
    <t xml:space="preserve">PART NUMBER: 200100
IMPUT: 240 VAC,10A
10/50/60 Hz
OUTPUT: 0-180 VDC, 1/8 TO 1,5 HP
WEIGHT: KG.3,2
DIMENSION: 16 X 12 X 26,3 (H)</t>
  </si>
  <si>
    <t xml:space="preserve">110320</t>
  </si>
  <si>
    <t xml:space="preserve">Henry</t>
  </si>
  <si>
    <t xml:space="preserve">Henry 2k Controller</t>
  </si>
  <si>
    <t xml:space="preserve">Sold Ex-Works, UK Office , Part Number:10000D</t>
  </si>
  <si>
    <t xml:space="preserve">110321</t>
  </si>
  <si>
    <t xml:space="preserve">Henry 2K Controller</t>
  </si>
  <si>
    <t xml:space="preserve">Sold Ex-Works, UK Office , Part Number:2000-D</t>
  </si>
  <si>
    <t xml:space="preserve">110596</t>
  </si>
  <si>
    <t xml:space="preserve">Hesse &amp; Knipps</t>
  </si>
  <si>
    <t xml:space="preserve">BJ 820</t>
  </si>
  <si>
    <t xml:space="preserve">Magazine to magazine transport system for wirebonder</t>
  </si>
  <si>
    <t xml:space="preserve">Warehoused. Please check pictures below for more information.
-Transport section (magazine to magazine) including heatable component 
holder for Wirebonder Hesse BJ 820</t>
  </si>
  <si>
    <t xml:space="preserve">109282</t>
  </si>
  <si>
    <t xml:space="preserve">BJ855 and BJ820</t>
  </si>
  <si>
    <t xml:space="preserve">Wedge Bonders , magazine to Magazine</t>
  </si>
  <si>
    <t xml:space="preserve">-Qty 26 Excellent wedge bonders for immediate sale
-Still installed and operational
-Available immediately upon receipt of your payment
-Qty 15 of Model BJ855
-Qty 11 of Model BJ820
Selling method: By Closed Bidding.
Minimum bid amount: $2.6 Million USD
See attached for photos. Furhter photos are available on request.
See below for the configurations and vintages:
Model     Made Year     Configuration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HAL BJ855    2019    Wedge-wedge bonder, Magazine to magazine handling 
system, Strip
HNK BJ820    2008    Wedge-wedge bonder, Magazine to magazine handling 
system, Singulated unit
HNK BJ820    2008    Wedge-wedge bonder, Magazine to magazine handling 
system, dual lane- Singulated unit/Strip
HNK BJ820    2008    Wedge-wedge bonder, Magazine to magazine handling 
system, Singulated unit
HNK BJ820    2013    Wedge-wedge bonder, Magazine to magazine handling 
system, dual lane- Singulated unit/Strip
HNK BJ820    2014    Wedge-wedge bonder, Magazine to magazine handling 
system, Strip
HNK BJ820    2014    Wedge-wedge bonder, Magazine to magazine handling 
system, dual lane- Singulated unit/Strip
HNK BJ820    2013    Wedge-wedge bonder, Magazine to magazine handling 
system, dual lane- Singulated unit/Strip
HNK BJ820    2014    Wedge-wedge bonder, Magazine to magazine handling 
system, Strip
HNK BJ820    2014    Wedge-wedge bonder, Magazine to magazine handling 
system, Strip
HNK BJ820    2011    Wedge-wedge bonder, Magazine to magazine handling 
system, Strip
HNK BJ820    2014    Wedge-wedge bonder, Magazine to magazine handling 
system, Strip</t>
  </si>
  <si>
    <t xml:space="preserve">106479</t>
  </si>
  <si>
    <t xml:space="preserve">Highmax</t>
  </si>
  <si>
    <t xml:space="preserve">UV-200 </t>
  </si>
  <si>
    <t xml:space="preserve">Curing System</t>
  </si>
  <si>
    <t xml:space="preserve">109568</t>
  </si>
  <si>
    <t xml:space="preserve">Hitachi</t>
  </si>
  <si>
    <t xml:space="preserve">CG-4100</t>
  </si>
  <si>
    <t xml:space="preserve">Critical Dimension (CD) Measurement SEM</t>
  </si>
  <si>
    <t xml:space="preserve">Resolution:1.8 nm
throughput:42wafer/h
MAM Time:2.8sec
Stage Landing Accuracy:±1μm
Deinstalled and warehoused, can be inspected by appointment</t>
  </si>
  <si>
    <t xml:space="preserve">109569</t>
  </si>
  <si>
    <t xml:space="preserve">CG-4000</t>
  </si>
  <si>
    <t xml:space="preserve">Deinstalled and warehoused, can be inspected by appointment</t>
  </si>
  <si>
    <t xml:space="preserve">91397</t>
  </si>
  <si>
    <t xml:space="preserve">HITACHI</t>
  </si>
  <si>
    <t xml:space="preserve">IS2700SE</t>
  </si>
  <si>
    <t xml:space="preserve">Dark Field inspection</t>
  </si>
  <si>
    <t xml:space="preserve">86278</t>
  </si>
  <si>
    <t xml:space="preserve">Hitachi </t>
  </si>
  <si>
    <t xml:space="preserve">6280H CONTROL RACK</t>
  </si>
  <si>
    <t xml:space="preserve">CD SEM (PARTS)</t>
  </si>
  <si>
    <t xml:space="preserve">CONTROL RACK</t>
  </si>
  <si>
    <t xml:space="preserve">108040</t>
  </si>
  <si>
    <t xml:space="preserve">Various Spare Parts for sale</t>
  </si>
  <si>
    <t xml:space="preserve">At this time, we have the following list of Hitachi Spare parts for sale.
Please refer to the list attached in excel and below in HTML:-
No. 	Manufacturer 	Part No. 	Description 	QTY 	Condition 	Remark
1 	HITACHI 	564-5501 	CHR. IF 	1 	Used 	9200
2 	HITACHI 	  	TVME3900 	1 	Used 	IS3000
3 	HITACHI 	  	M6642 REV. A / TE-C90060A 	1 	Used 	IS3000
4 	HITACHI 	  	IS3000 CERAMIC FORK 	1 	Used 	IS3000
5 	HITACHI 	560-5505 	LENS-PS Board 	1 	Used 	 
6 	HITACHI 	560-5530 	CQL-CN2 POWER RELAY PCB 	1 	Used 	9200
7 	HITACHI 	568-5585 	SGTW LD PCB 	1 	Used 	9200
8 	HITACHI 	  	TREK 40859 REV. A 	1 	Used 	9200
9 	HITACHI 	9701-2143-01 	 Wafer Mapper ARM ASSY 	1 	Used 	 
10 	  	85854346 REV. D 	SES Technologies VME Board 	1 	Used 	IS3000
11 	VEXTA 	  	5-PHASE DRIVER / RKD514L-C 	6 	Used 	 
12 	VEXTA 	  	5-PHASE DRIVER / RKD507-A 	1 	Used 	 
13 	VEXTA 	  	5-PHASE DRIVER / DFR1507 	1 	Used 	 
14 	VEXTA 	  	5-PHASE DRIVER / DFR1514 	1 	Used 	 
15 	NEMIC-LAMBDA 	  	NNS15-24 / DC24V 0.9A 	1 	Used 	 
16 	HITACHI 	ECPU550 	HDC90 CPU BOARD / VME Microcomputer 	6 	Used 	
MU-712E
17 	HITACHI 	IOTC-03N 	CONTROL BOARD / VME Microcomputer 	6 	Used 	MU-712E
18 	HITACHI 	VMPM-03N 	CIRCUIT BOARD / VME Microcomputer 	5 	Used 	MU-712E
19 	HITACHI 	UTL550-02N 	CIRCUIT BOARD / VME Microcomputer 	6 	Used 	
MU-712E
 </t>
  </si>
  <si>
    <t xml:space="preserve">110601</t>
  </si>
  <si>
    <t xml:space="preserve">FB 2100</t>
  </si>
  <si>
    <t xml:space="preserve">Used Hitachi FB2100 for immediate sale.
The Hitachi FB-2100 Focused Ion Beam system is used for making micrometer- 
and nanometer-sized cuts in materials.
It can also be used to prepare TEM specimens of hard and soft materials and 
their combination, useful for engineers, physical scientists and life 
scientists, and for making TEM specimens containing different types of 
tissue, for example tissue growing on implants. Samples can be cut using 
layouts created on the instrument's control computer, by importing a vector 
file via ftp, or by importing a bitmap image via ftp.
General Performance Specifications:
- 10 to 40 kV accelerating voltage
-  6 nm or better resolution at 40 kV
-  Magnification range from 700x to 200,000x
-  Maximum current of 40 nA at 40 kV
-  Liquid gallium metal ion source
-  100 mm specimen diameter
-  Actuated TEM holder stage
-  Actuated SEM holder stage
-  Actuated pick/place probe
-  Tungsten deposition system
This FIB2100 was dismantled before a regular source change, in order to 
upgrade it, a source change and maintenance would have to be carried out 
(source available but status unknown).
This system is also fitted with the STEM option (micromanipulator) and GIS, 
which were functional at the time of dismantling.
System description and user manuals are available digitally
Includes Optional Micro manipulator for STEM option (working)
Includes Optional Gas injection System (W)
The system has a CE mark</t>
  </si>
  <si>
    <t xml:space="preserve">109578</t>
  </si>
  <si>
    <t xml:space="preserve">CM-700H</t>
  </si>
  <si>
    <t xml:space="preserve">WIRE BONDER</t>
  </si>
  <si>
    <t xml:space="preserve">Deinstalled, Warehoused. Can be inspected by appointment.-
The bonder is in working condition.
A video of one of the bonders we have for sale running initialization can 
be seen at the following web location:
&lt;https://youtu.be/bQ_W3N07v6c&gt;&lt;https://youtu.be/jhFxDd8Bl74&gt;
&lt;https://youtu.be/ckNEPLz60Cw&gt;
A total of 20 sets of these bonders are available for purchase.</t>
  </si>
  <si>
    <t xml:space="preserve">91403</t>
  </si>
  <si>
    <t xml:space="preserve">S-5000</t>
  </si>
  <si>
    <t xml:space="preserve">FE SEM</t>
  </si>
  <si>
    <t xml:space="preserve">150 mm,200 mm</t>
  </si>
  <si>
    <t xml:space="preserve">60939</t>
  </si>
  <si>
    <t xml:space="preserve">S4160</t>
  </si>
  <si>
    <t xml:space="preserve">Scanning electron microscope</t>
  </si>
  <si>
    <t xml:space="preserve">91404</t>
  </si>
  <si>
    <t xml:space="preserve">91405</t>
  </si>
  <si>
    <t xml:space="preserve">91407</t>
  </si>
  <si>
    <t xml:space="preserve">91408</t>
  </si>
  <si>
    <t xml:space="preserve">108568</t>
  </si>
  <si>
    <t xml:space="preserve">LS9000</t>
  </si>
  <si>
    <t xml:space="preserve">Wafer Surface Inspection System</t>
  </si>
  <si>
    <t xml:space="preserve">De-installed and warehoused. Can be inspected by appointment.</t>
  </si>
  <si>
    <t xml:space="preserve">91417</t>
  </si>
  <si>
    <t xml:space="preserve">HITACHI </t>
  </si>
  <si>
    <t xml:space="preserve">LS-6800</t>
  </si>
  <si>
    <t xml:space="preserve">wafer surface inspection </t>
  </si>
  <si>
    <t xml:space="preserve">Packing List
1. Main
2. EFEM 
3. Transformer 
4. Blower fan 
5. Stainless steel pipe
De-installed, warehoused. Can be inspected by appointment.</t>
  </si>
  <si>
    <t xml:space="preserve">91418</t>
  </si>
  <si>
    <t xml:space="preserve">UA-7200</t>
  </si>
  <si>
    <t xml:space="preserve">Stripper/Asher </t>
  </si>
  <si>
    <t xml:space="preserve">108068</t>
  </si>
  <si>
    <t xml:space="preserve">HL7000M</t>
  </si>
  <si>
    <t xml:space="preserve">E-Beam Litho (9 inch mask)</t>
  </si>
  <si>
    <t xml:space="preserve">9" RETICLE MASK LINE</t>
  </si>
  <si>
    <t xml:space="preserve">108069</t>
  </si>
  <si>
    <t xml:space="preserve">HL7500M</t>
  </si>
  <si>
    <t xml:space="preserve">E-Beam Litho (6 inch mask)</t>
  </si>
  <si>
    <t xml:space="preserve">6" RETICLE MASK LINE</t>
  </si>
  <si>
    <t xml:space="preserve">108070</t>
  </si>
  <si>
    <t xml:space="preserve">HL7800M</t>
  </si>
  <si>
    <t xml:space="preserve">108071</t>
  </si>
  <si>
    <t xml:space="preserve">HL8000M</t>
  </si>
  <si>
    <t xml:space="preserve">108072</t>
  </si>
  <si>
    <t xml:space="preserve">S-6280H</t>
  </si>
  <si>
    <t xml:space="preserve">CD SEM</t>
  </si>
  <si>
    <t xml:space="preserve">74794</t>
  </si>
  <si>
    <t xml:space="preserve">S5200</t>
  </si>
  <si>
    <t xml:space="preserve">FE SEM with EDX</t>
  </si>
  <si>
    <t xml:space="preserve">Inspection</t>
  </si>
  <si>
    <t xml:space="preserve">This tool is in excellent condition, but currently has a bad EDX unit.
Can be sold as-is, working condition but with broken EDX or add +$50K to 
replace the EDX with an EDAX EDX unit.</t>
  </si>
  <si>
    <t xml:space="preserve">53054</t>
  </si>
  <si>
    <t xml:space="preserve">6280H (SPARES)</t>
  </si>
  <si>
    <t xml:space="preserve">SORD Computer for cd sem system</t>
  </si>
  <si>
    <t xml:space="preserve">Complete PC assembly with Centronics Key and external FDD 3.5"</t>
  </si>
  <si>
    <t xml:space="preserve">110662</t>
  </si>
  <si>
    <t xml:space="preserve">S9380 II</t>
  </si>
  <si>
    <t xml:space="preserve">-WITH 3 X 300 MM LOAD PORTS
-OPERATIONAL AND WILL BE REMOVED DEC 2023
 </t>
  </si>
  <si>
    <t xml:space="preserve">52301</t>
  </si>
  <si>
    <t xml:space="preserve">545-5516</t>
  </si>
  <si>
    <t xml:space="preserve">7 Channel Power Supply module</t>
  </si>
  <si>
    <t xml:space="preserve">Power Supply module onboard, 7 channels for Hitachi CD-SEM</t>
  </si>
  <si>
    <t xml:space="preserve">52312</t>
  </si>
  <si>
    <t xml:space="preserve">545-5522</t>
  </si>
  <si>
    <t xml:space="preserve">VG board for CD SEM</t>
  </si>
  <si>
    <t xml:space="preserve">VG driver board for CD SEM</t>
  </si>
  <si>
    <t xml:space="preserve">108896</t>
  </si>
  <si>
    <t xml:space="preserve">RS4000</t>
  </si>
  <si>
    <t xml:space="preserve">Defect review SEM, fitted with qty 2 x 300 mm loadports.
The Hitachi RS-4000 In-line Defect Review SEM has been designed to meet 
production demands for devices in the 45-nm technology node and beyond.It 
performs at a high throughput rate of 1,200 DPH (defects per hour), which 
is about 3 times faster than the previous model, and performs defect review 
at a high speed and high defect capture rate thereby improving image 
resolution (3 nm) and enhancing image processing. Combined with ADC 
(automatic defect classification) to identify killer defects, the tool 
produces data directly linked with yield enhancement systems. Furthermore, 
the newly added function of tilt image observation by tilting the electron 
beam enables the tool to generate more defect information.
Performance specifications:
1)REVIEW throughput: 5.14s/defect or less
2)Secondary electron image resolution: 4 nm
3)Minimum detectable defect size:0.07 μm
4)Specimen stage stopping precision: ±3 μm(for x and y)
5)Auto Review detection rate:90% minimum (Defect size:0.10-0.37μm )
6)Auto classification accuracy:85% minimum
Missing or damaged parts: None
Tool has been de-installed and is currently located in an inspection 
warehouse.</t>
  </si>
  <si>
    <t xml:space="preserve">103525</t>
  </si>
  <si>
    <t xml:space="preserve">S4700-l</t>
  </si>
  <si>
    <t xml:space="preserve">Scanning Electron Microscope</t>
  </si>
  <si>
    <t xml:space="preserve">103526</t>
  </si>
  <si>
    <t xml:space="preserve">S4700-ll</t>
  </si>
  <si>
    <t xml:space="preserve">FE Sem with Horriba EMAX EDX</t>
  </si>
  <si>
    <t xml:space="preserve">108902</t>
  </si>
  <si>
    <t xml:space="preserve">103527</t>
  </si>
  <si>
    <t xml:space="preserve">FE Sem with Horriba EMAX EDX (Destocking Status)</t>
  </si>
  <si>
    <t xml:space="preserve">52339</t>
  </si>
  <si>
    <t xml:space="preserve">545-5521</t>
  </si>
  <si>
    <t xml:space="preserve">EVAC PCB FOR HITACHI CD-SEM</t>
  </si>
  <si>
    <t xml:space="preserve">EVAC SEQ P/N 545-5521 board for Hitachi CD-SEM</t>
  </si>
  <si>
    <t xml:space="preserve">52340</t>
  </si>
  <si>
    <t xml:space="preserve">545-5537</t>
  </si>
  <si>
    <t xml:space="preserve">IP-PC2 for cd-sem</t>
  </si>
  <si>
    <t xml:space="preserve">IP-PC2 board for Hitachi CD-SEM</t>
  </si>
  <si>
    <t xml:space="preserve">52343</t>
  </si>
  <si>
    <t xml:space="preserve">377-7592</t>
  </si>
  <si>
    <t xml:space="preserve">Power Supply Module for CD SEM</t>
  </si>
  <si>
    <t xml:space="preserve">Hitachi Power Supply module</t>
  </si>
  <si>
    <t xml:space="preserve">108413</t>
  </si>
  <si>
    <t xml:space="preserve">CG4000</t>
  </si>
  <si>
    <t xml:space="preserve">SEM</t>
  </si>
  <si>
    <t xml:space="preserve">108159</t>
  </si>
  <si>
    <t xml:space="preserve">S4700II</t>
  </si>
  <si>
    <t xml:space="preserve">FE SEM with EDAX (Detecting Unit)</t>
  </si>
  <si>
    <t xml:space="preserve">109183</t>
  </si>
  <si>
    <t xml:space="preserve">SEM - Critical Dimension (CD) Measurement</t>
  </si>
  <si>
    <t xml:space="preserve">108160</t>
  </si>
  <si>
    <t xml:space="preserve">CV4000</t>
  </si>
  <si>
    <t xml:space="preserve">High Voltage SEM</t>
  </si>
  <si>
    <t xml:space="preserve">83849</t>
  </si>
  <si>
    <t xml:space="preserve">S4500 Type I</t>
  </si>
  <si>
    <t xml:space="preserve">-IN WORKING CONDITION
-BUY-OFF including a demonstration of the equipment operating in working 
condition is included in the sales price.
-The loadlock is suitable for loading wafer fragments (50 mm diameter can 
be introduced via the specimen exchange airlock)
-Max resolution 1.5 nm guaranteed at 15KV, with 4 mm working distance.
-Resolution 4.0 nm guaranteed at 1KV, 3MM WORKING DISTANCE.</t>
  </si>
  <si>
    <t xml:space="preserve">36518</t>
  </si>
  <si>
    <t xml:space="preserve">106662</t>
  </si>
  <si>
    <t xml:space="preserve">FB2100</t>
  </si>
  <si>
    <t xml:space="preserve">FIB</t>
  </si>
  <si>
    <t xml:space="preserve">106663</t>
  </si>
  <si>
    <t xml:space="preserve">IS3000SE</t>
  </si>
  <si>
    <t xml:space="preserve">WAFER PARTICLE INSPECTION</t>
  </si>
  <si>
    <t xml:space="preserve">106664</t>
  </si>
  <si>
    <t xml:space="preserve">IS3200SE</t>
  </si>
  <si>
    <t xml:space="preserve">106665</t>
  </si>
  <si>
    <t xml:space="preserve">Wafer Surface Inspection </t>
  </si>
  <si>
    <t xml:space="preserve">106666</t>
  </si>
  <si>
    <t xml:space="preserve">102060</t>
  </si>
  <si>
    <t xml:space="preserve">6280H</t>
  </si>
  <si>
    <t xml:space="preserve">CD SEM Control Rack including qty 12 PC  Boards in the rack</t>
  </si>
  <si>
    <t xml:space="preserve">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t>
  </si>
  <si>
    <t xml:space="preserve">106160</t>
  </si>
  <si>
    <t xml:space="preserve">RS6000 (Enhanced)</t>
  </si>
  <si>
    <t xml:space="preserve">De-installed, in an inspection facility. Can be inspected by appointment.
The Hitachi RS6000 defect review SEM is designed to rapidly implement 
countermeasures against defects.It offers the following features with the 
aim of dramatically improving standard defect review SEM (scanning electron 
microscope) functions:
(1) High resolution.
(2) High-speed ADR (automatic defect review).
(3) ADC (automatic defect classification).
(4) Ultrasensitive testing (fixed point comparison testing).
(5) Systematic defect classification (classification based on design data).
-300mm wafer size
-iPQ Function
-2 Wafer Holders(for 300mm)
- ADR (Auto Defect Review)
- 3 Kinds of Image acquiring system
- SE/Left/Right Image
- Optical Microscope ( for OM alignment)
- 15M Cable Extension (SEM, Controller - Power Supply)
- e-barrier &amp; Preset ABCC function
- New AF &amp; lmage Processing System for VR25
- Super fine lmage system for VR25
- High resolution for 15KV unit
- SE-Gun Back-UP Power Supply
- Dry pump lnterface for Edwards lGX
- Optical Microscope Kit
- Electrical power rating: 208V 60 Hz 10 KVA single phase
Full load amps: 45A
Number of wires: 3 (Line, neutral, Ground)
Machine breaker rating: 50A
Interrupt Capacity: 35 KA
SCCR: 1500A
Fitted with qty 2 x 300 mm FOUP load ports</t>
  </si>
  <si>
    <t xml:space="preserve">52166</t>
  </si>
  <si>
    <t xml:space="preserve">545-5515</t>
  </si>
  <si>
    <t xml:space="preserve">DC power supply module for CD SEM</t>
  </si>
  <si>
    <t xml:space="preserve">DC power supply module , 5 channels, goes to a Hitachi SEM (P/N 545-5515)</t>
  </si>
  <si>
    <t xml:space="preserve">52167</t>
  </si>
  <si>
    <t xml:space="preserve">Power Supply Module 4channels </t>
  </si>
  <si>
    <t xml:space="preserve">Power Supply module 4channels for Hitachi SEM 6280H, see pictures for 
details</t>
  </si>
  <si>
    <t xml:space="preserve">52168</t>
  </si>
  <si>
    <t xml:space="preserve">545-5540 </t>
  </si>
  <si>
    <t xml:space="preserve">Power Supply unit for CD SEM</t>
  </si>
  <si>
    <t xml:space="preserve">Power Supply module, see attached pictures for details
FOR CD SEM 6000 SERIES
57 CM X 30 CM X 30 CM X 12 KG</t>
  </si>
  <si>
    <t xml:space="preserve">108752</t>
  </si>
  <si>
    <t xml:space="preserve">S7000</t>
  </si>
  <si>
    <t xml:space="preserve">    * Cassette-to-Cassette Handling for 4”, 5” &amp; 6” Wafers
    * 100X ~ 100,000X Magnification
    * 0.1 ~ 200 µm Measurement Range
    * 15 nm Guaranteed (at 1 kV) Secondary Electron Image Resolution
    * ± 0.02 µm or ±1%, whichever is greater, Reproducibility
    * 0.7 ~ 3 kV (100 V/step)
    * Auto-Focus and Auto-Stigmation
    * Fully Automated CD Measurement
    * Fully Programmable Stage with up to 60° Tilt
    * Multi Point Measurement Capability</t>
  </si>
  <si>
    <t xml:space="preserve">98269</t>
  </si>
  <si>
    <t xml:space="preserve">RS 4000</t>
  </si>
  <si>
    <t xml:space="preserve">Defect review SEM, fitted with qty 2 x 300 mm loadports.
The Hitachi RS-4000 In-line Defect Review SEM has been designed to meet 
production demands for devices in the 45-nm technology node and beyond.It 
performs at a high throughput rate of 1,200 DPH (defects per hour), which 
is about 3 times faster than the previous model, and performs defect review 
at a high speed and high defect capture rate thereby improving image 
resolution (3 nm) and enhancing image processing. Combined with ADC 
(automatic defect classification) to identify killer defects, the tool 
produces data directly linked with yield enhancement systems. Furthermore, 
the newly added function of tilt image observation by tilting the electron 
beam enables the tool to generate more defect information.
Note: This SEM is an RS3000 model that has been upgraded to RS4000 by the 
OEM.
Performance specifications:
1)REVIEW throughput: 5.14s/defect or less
2)Secondary electron image resolution: 4 nm
3)Minimum detectable defect size:0.07 μm
4)Specimen stage stopping precision: ±3 μm(for x and y)
5)Auto Review detection rate:90% minimum (Defect size:0.10-0.37μm )
6)Auto classification accuracy:85% minimum
Missing or damaged parts: None
Tool has been de-installed and is currently located in an inspection 
cleanroom
Please review the attached photos, showing the tool as originally 
installed, and also in the current storage location.</t>
  </si>
  <si>
    <t xml:space="preserve">98270</t>
  </si>
  <si>
    <t xml:space="preserve">109287</t>
  </si>
  <si>
    <t xml:space="preserve">SU 8010</t>
  </si>
  <si>
    <t xml:space="preserve">Ultra High Resolution Field Emission Scanning Electron Microscope</t>
  </si>
  <si>
    <t xml:space="preserve">100 mm</t>
  </si>
  <si>
    <t xml:space="preserve">Ultra High Resolution Field Emission Scanning Electron 
Microscope,resolution 1nm /15kV
De-installed, warehoused. Was operational before removal. Can be inspected 
by appointment. Sold "as is, where is"
Designed for ultra high resolution microscopy for use in fields such as 
semiconductors, electronics, catalysis and other functional materials, 
biotechnology and pharmaceuticals.
Ultra High Resolution FE-SEM has grown to be an indispensable tool to 
observe the fine surface structure of materials in a wide range of 
nanotechnology fields.The new SU8000 Series has excellent imaging 
performance throughout the range, and offers a variety of stages, chambers 
and signal detection systems to meet the wide variety of customer-specific 
needs for ultra high resolution microscopy.
The Su 8010 features a semi-in-lens type objective lens and a cold FE gun 
with a small energy spread. Signal mixing simultaneously using dual SE and 
BSE detectors is available by changing the voltage of the signal conversion 
electrode in the objective lens. A beam decelerator is also available to 
improve image quality and reduce damage to the sample.
100mm ( 4") diameter capacity 3 axis stage
upper and lower secondary electron detectors
Keithley single channel System source meter,D32 2635B</t>
  </si>
  <si>
    <t xml:space="preserve">18925</t>
  </si>
  <si>
    <t xml:space="preserve">131-9008-1</t>
  </si>
  <si>
    <t xml:space="preserve">Model U-3210 / U 3410recording  spectrophotometer available commands</t>
  </si>
  <si>
    <t xml:space="preserve">18926</t>
  </si>
  <si>
    <t xml:space="preserve">131-9007-1</t>
  </si>
  <si>
    <t xml:space="preserve">Model U3210 / U3410 Recording  spectrophotometer operating procedure</t>
  </si>
  <si>
    <t xml:space="preserve">109555</t>
  </si>
  <si>
    <t xml:space="preserve">IS3000</t>
  </si>
  <si>
    <t xml:space="preserve">DARK FIELD INSPECTION</t>
  </si>
  <si>
    <t xml:space="preserve">DEINSTALLED, WAREHOUSED. CAN BE INSPECTED BY APPOINTMENT
SEE PHOTOS FOR DETAILS OF THE CURRENT CONDITION.</t>
  </si>
  <si>
    <t xml:space="preserve">109556</t>
  </si>
  <si>
    <t xml:space="preserve">HD2300</t>
  </si>
  <si>
    <t xml:space="preserve">STEM (Scanning Transmission Electron Microscope)</t>
  </si>
  <si>
    <t xml:space="preserve">The Hitachi HD-2300 is a high throughput  scanning transmission electron 
microscope with an accelerating voltage of 200 kV. The instrument is 
designed for to allow rapid sample evaluation with consistent high-end 
performance. It is designed for use in Nanotechnology applications.
Key features:
    Quick specimen exchange within 2 minutes and high voltage application 
in 3 minutes (standby condition to 200kV on)
    Automated column alignment and image viewing functions
    High resolution STEM and SEM imaging
    Nano-area electron diffraction with simultaneous display of STEM image
Main Specifications:
Crystal lattice resolution: 0.203 nm guaranteed (Magnification: x4,000,000)
Vacc: 200 kV
Magnification range:
x100 to x10,000,000 (for observation)
x100  to x5,000,000 (for saving)
Electron optics setup:
Schottky emission electron source with built-in anode heater
Imaging modes available:
Phase contract image (TE image)
Z-contrast image (ZC image)
Secondary electron image (SE image)
Specimen stage:
Side-entry system with X = ±1mm, Y = ±1mm, T= ±30o, Z = ±0.3mm
The equipment has been professionally de-installed, and inspection of the 
equipment is welcomed by appointment in the warehouse.</t>
  </si>
  <si>
    <t xml:space="preserve">109047</t>
  </si>
  <si>
    <t xml:space="preserve">RS5500</t>
  </si>
  <si>
    <t xml:space="preserve">Defect Review SEM with optional EDX</t>
  </si>
  <si>
    <t xml:space="preserve">-Still installed as per the attached photos.
-In working condition.
-Inspection is available by appointment.
-The system is fitted with dual TDK TAS300 FOUP loaders, configured for 
loading 300 mm wafers only.
-Includes an Auto Defect Classification computer interface.
-Includes a Hitachi Standard test wafer qty 1 and FOUP
-The system includes and optional EDX analysis system
-Includes Hitachi W5010T Chiller unit
-A Hitachi R1000 Server is with the tool, but it is crated and was not used 
at the current installation.
This defect review station provides high speed and high accuracy SEM 
imaging of inspected defects for 65nm and even 45nm device manufacturing.
A Defect Review SEM is a Scanning Electron Microscope (SEM) that is 
configured to review defects found on a wafer. A defect detected by a 
semiconductor wafer defect inspection system is enlarged using an Review 
SEM to a high magnification image so that it can be reviewed and 
classified. A Defect Review SEM is mainly used together with the inspection 
systems in the production lines of semiconductors.
It works in the following way:
The Wafer defects are detected using an inspection system in advance.
The Inspection system lists position coordinates of the defects and outputs 
it into a file.
The inspected wafer and the file of the inspection result are loaded into 
the Review SEM.
The defect position is determined based on the position information from 
the defect list. Images of the defects are then taken and stored by the 
Review SEM.
Several thousand to several tens of thousand defects are detected using the 
inspection system, and the data is output into a file. Whether to review 
and to take photos of all or some of the defects can be specified in the 
operation settings of a recipe of the Review SEM.
Sometimes a defect on a wafer cannot be found using the position 
information in the defect data file. Because of various errors, it is not 
easy to find a defect using the position information alone.
In a defect inspection system, the defective image is compared with the 
adjacent die image (reference image) and the defect is detected due to the 
image difference (difference image processing).
The Review SEM, similar to the defect inspection system, detects the defect 
by comparison with the circuit pattern of the adjacent die and obtains the 
correct position of the defect. The defect is then moved to the center of 
the field of view and an enlarged photo is taken of it.
In the case of Memory IC's defect review, in which cell patterns are 
arranged repeatedly, the image of the minimum unit of a cell is registered 
as the reference image in advance. One method of detecting a defect on the 
Review SEM is to compare the image of the defect with the reference image 
using difference image processing. This method can speed up the defect 
detection on the Review SEM because multiple sections can be compared with 
the same reference image.</t>
  </si>
  <si>
    <t xml:space="preserve">109561</t>
  </si>
  <si>
    <t xml:space="preserve">S5500</t>
  </si>
  <si>
    <t xml:space="preserve">HIGH RESOLUTION INSPECTION SEM</t>
  </si>
  <si>
    <t xml:space="preserve">* Profesionally de-installed and warehoused
* Can be inspected by appointment
* 0.4nm resolution at 30kV
* 1.6nm resolution at 1kV
* Magnification range 60X – 2,000,000X
* Standard SE/BSE detector mode
* Diverse specimen holders, compatible with FIB and STEM
* Secondary Electron Image Resolution 1.6nm @ 1kV, 0.4nm @ 30kV
* Electron Gun Cold Cathode Field Emission
* Specimen Size (maximum) 5.0mm X 9.5mm X 3.5 mm
* Goniometer high precision stage</t>
  </si>
  <si>
    <t xml:space="preserve">108027</t>
  </si>
  <si>
    <t xml:space="preserve">N-6000</t>
  </si>
  <si>
    <t xml:space="preserve">NANO PROBER</t>
  </si>
  <si>
    <t xml:space="preserve">109114</t>
  </si>
  <si>
    <t xml:space="preserve">HMI</t>
  </si>
  <si>
    <t xml:space="preserve">EScan 400XP</t>
  </si>
  <si>
    <t xml:space="preserve">E-Beam wafer inspection system</t>
  </si>
  <si>
    <t xml:space="preserve">-Fitted with dual 300 mm foup loaders</t>
  </si>
  <si>
    <t xml:space="preserve">109115</t>
  </si>
  <si>
    <t xml:space="preserve">EScan EP3</t>
  </si>
  <si>
    <t xml:space="preserve">-Fitted with dual 300 mm foup loaders
-An e-beam wafer inspection system for hot-spot process monitoring
-Low cost with high throughput
-Has a high detection sensitivity for electrical and physical wafer defects
-Suitable for R and D and in-line monitoring in large-scale production 
scenarios
-Mainstream applications are for memory and logic devices
-Highest resolution : 3 nm</t>
  </si>
  <si>
    <t xml:space="preserve">109179</t>
  </si>
  <si>
    <t xml:space="preserve">eP3 XP</t>
  </si>
  <si>
    <t xml:space="preserve">E-beam Inspection</t>
  </si>
  <si>
    <t xml:space="preserve">109180</t>
  </si>
  <si>
    <t xml:space="preserve">eScan 300</t>
  </si>
  <si>
    <t xml:space="preserve">109181</t>
  </si>
  <si>
    <t xml:space="preserve">eScan 320</t>
  </si>
  <si>
    <t xml:space="preserve">109182</t>
  </si>
  <si>
    <t xml:space="preserve">77264</t>
  </si>
  <si>
    <t xml:space="preserve">HOLADAY</t>
  </si>
  <si>
    <t xml:space="preserve">HI-1801</t>
  </si>
  <si>
    <t xml:space="preserve">MICROWAVE SURVEY METER</t>
  </si>
  <si>
    <t xml:space="preserve">Holaday Microwave Survey Meter
in case, like new, with all accessories.
Location: Avezzano 67051 Italy</t>
  </si>
  <si>
    <t xml:space="preserve">108161</t>
  </si>
  <si>
    <t xml:space="preserve">HP</t>
  </si>
  <si>
    <t xml:space="preserve">4145B</t>
  </si>
  <si>
    <t xml:space="preserve">CV Measurement</t>
  </si>
  <si>
    <t xml:space="preserve">110616</t>
  </si>
  <si>
    <t xml:space="preserve">HP / Agilent</t>
  </si>
  <si>
    <t xml:space="preserve">4062</t>
  </si>
  <si>
    <t xml:space="preserve">108753</t>
  </si>
  <si>
    <t xml:space="preserve">54601A</t>
  </si>
  <si>
    <t xml:space="preserve">Oscilloscope, 4 Channel 100 MHz</t>
  </si>
  <si>
    <t xml:space="preserve">    * 4 Channel 20MSa/s Oscilloscope
    * 100 MHz Frequency Range / Bandwidth
    * 5 V/div Max. Vertifcal Sensitivity
    * 2 mV/div Min. Vertical Sensitivity</t>
  </si>
  <si>
    <t xml:space="preserve">83579</t>
  </si>
  <si>
    <t xml:space="preserve">HP HEWLETT PACKARD</t>
  </si>
  <si>
    <t xml:space="preserve">9145A</t>
  </si>
  <si>
    <t xml:space="preserve">PC HP HEWLETT PACHARD 9145</t>
  </si>
  <si>
    <t xml:space="preserve">115/230V</t>
  </si>
  <si>
    <t xml:space="preserve">AC LINE
115/230 V
1.6/1.0 A MAX
50/60 Hz
32 TRACK
FUSE: F3A-250 V USA
T3 15A-250 V
EUROPE
SELF TEST
DISPLAY RESULT</t>
  </si>
  <si>
    <t xml:space="preserve">82181</t>
  </si>
  <si>
    <t xml:space="preserve">hps mks</t>
  </si>
  <si>
    <t xml:space="preserve">90 degree flange</t>
  </si>
  <si>
    <t xml:space="preserve">HPS MKS Stainless Steel VACUUM FITTING</t>
  </si>
  <si>
    <t xml:space="preserve">HPS MKS Stainless Steel VACUUM FITTING 90 Degree ELBOW Flange Size KF-40
OD 5" elbow already attached to straight pump flange also 5"
Stainless steel
Boerne,TX Warehouse </t>
  </si>
  <si>
    <t xml:space="preserve">106667</t>
  </si>
  <si>
    <t xml:space="preserve">HSEB</t>
  </si>
  <si>
    <t xml:space="preserve">AXIOSPECT 300</t>
  </si>
  <si>
    <t xml:space="preserve">MICROSCOPE INSPECTION STATION</t>
  </si>
  <si>
    <t xml:space="preserve">102559</t>
  </si>
  <si>
    <t xml:space="preserve">HSEB Zeiss</t>
  </si>
  <si>
    <t xml:space="preserve">Axiotron 300</t>
  </si>
  <si>
    <t xml:space="preserve">AOI microscope with 2 units of Brooks load port</t>
  </si>
  <si>
    <t xml:space="preserve">77156</t>
  </si>
  <si>
    <t xml:space="preserve">HTC</t>
  </si>
  <si>
    <t xml:space="preserve">ISO1010OCRVSA</t>
  </si>
  <si>
    <t xml:space="preserve">Pump flange PN 192112412</t>
  </si>
  <si>
    <t xml:space="preserve">   ISO100OCRVSA
   P/N 192112412LOT#MO0610088
New in a package of 2 each
Ships from our Boerne, TX Location</t>
  </si>
  <si>
    <t xml:space="preserve">77145</t>
  </si>
  <si>
    <t xml:space="preserve">Huber</t>
  </si>
  <si>
    <t xml:space="preserve">Unichiller UC060Tw</t>
  </si>
  <si>
    <t xml:space="preserve">chiller</t>
  </si>
  <si>
    <t xml:space="preserve">Chiller</t>
  </si>
  <si>
    <t xml:space="preserve">Huber Unichillers aim to offer a supply of cooling water with stable 
pressure and delivery performance with a constant cooling water 
temperature.
Unichillers are suitable for the removal of heat from chemical processes, 
cooling technical plants or as a central cooling water supply for 
laboratories. All Unichillers are designed for continual operation at 
ambient temperatures up to +40°C. Installation in an outside areas is 
possible with optional weather protection and winter operation packages. 
Pumps are available with an extended pressure and flow rate for 
applications with a high pressure drops.  
&gt; 	Environmentally-friendly, economic cooling solution   	 
&gt; 	High efficiency   	 
&gt; 	Precise temperature control   	 
&gt; 	Powerful circulation pump   	 
&gt; 	Intelligent energy management   	 
&gt; 	Reliable continuously operation with warning functions   	 
&gt; 	controller with touchscreen   	 
&gt; 	Digital filling level indicator   	 
&gt; 	Pt100 sensor connection   	 
&gt; 	Heater options available   	 
&gt;General information &amp; temperature controller 
Temperature range  	-20...40 °C
Temperature stability 	±0.5 °C
Temperature control 	TAC, self-optimizing (True Adaptive Control)
Controller 	Pilot ONE  (E-grade "Basic")   
Safety class  	I / NFL  
Protection class  	IP20  
Dimensions (W x D x H) 	760 x 800 x 1560 mm  |  29.92 x 31.5 x 61.42 inches
Weight 	385 kg  |  848.92 pounds
&gt;Heating / cooling capacity 
Cooling capacity 	
15 	0 	-10 	-20 	 °C
26 	26 	20 	12 	 kW
Cooling machine 	water-cooled  
Refrigerant  	R507 (6,3 kg)  
&gt;Circulation pump  
Pressure pump max.  	210  lpm ; 4.7  bar  |  55.48 gpm ; 68.15 psi
Pump connection  	G1 1/4 AG male  
&gt;Connections 
Pt100 connection  	Pt100  
Digital interface  	RS232, Ethernet, USB Device, USB Host  
&gt;Operating data
Permissible ambient temp. 	5...40 °C
Noise level 	68 dB(A)
Filling volume min.  	12.3 Liters  |  3.25 gal
Volume of expansion 	7 Liters  |  1.85 gal
Cooling water connection  	G3/4 AG  
Cooling water consumption  	1300 l/h
Cooling water differential pressure min. 	3 bar  |  43.5 psi
Cooling water pressure max. 	6 bar  |  87 psi
Power supply 	400V 3~ 50Hz *   
Current max. 	25 A
&gt;Miscellaneous
Huber Unichiller UC060Tw
Temperature Range: -20C to +40C
Power: 460V
Pump (gpm): 17,1
Cooling power at 15C: 6kW
Cooling power at   0C: 6kW
Cooling power at -10C: 3.9kW
Cooling power at -20C: 2kW
In good condition, removed from working service in Feb 2012.</t>
  </si>
  <si>
    <t xml:space="preserve">107687</t>
  </si>
  <si>
    <t xml:space="preserve">Huttinger </t>
  </si>
  <si>
    <t xml:space="preserve">PFG 300</t>
  </si>
  <si>
    <t xml:space="preserve">24037402-010001</t>
  </si>
  <si>
    <t xml:space="preserve">110322</t>
  </si>
  <si>
    <t xml:space="preserve">Sold Ex-Works, UK Office , Part Number:24037402-010001</t>
  </si>
  <si>
    <t xml:space="preserve">110323</t>
  </si>
  <si>
    <t xml:space="preserve">Huttinger</t>
  </si>
  <si>
    <t xml:space="preserve">PFM 1500 A</t>
  </si>
  <si>
    <t xml:space="preserve">Sold Ex-Works, UK Office , Part Number:1000/003</t>
  </si>
  <si>
    <t xml:space="preserve">108162</t>
  </si>
  <si>
    <t xml:space="preserve">HYPERFLOW</t>
  </si>
  <si>
    <t xml:space="preserve">CENTURA WET</t>
  </si>
  <si>
    <t xml:space="preserve">Wafer Carrier Boat Wash System</t>
  </si>
  <si>
    <t xml:space="preserve">108819</t>
  </si>
  <si>
    <t xml:space="preserve">HYPERVISION </t>
  </si>
  <si>
    <t xml:space="preserve">Visionary 2</t>
  </si>
  <si>
    <t xml:space="preserve">Emmission Microscope with Karl Suss PM-8 Analytical Prober</t>
  </si>
  <si>
    <t xml:space="preserve">110324</t>
  </si>
  <si>
    <t xml:space="preserve">ICP</t>
  </si>
  <si>
    <t xml:space="preserve">R48870</t>
  </si>
  <si>
    <t xml:space="preserve">74236</t>
  </si>
  <si>
    <t xml:space="preserve">ICP DAS</t>
  </si>
  <si>
    <t xml:space="preserve">DB-8025</t>
  </si>
  <si>
    <t xml:space="preserve">2-port Data Acquisition Board</t>
  </si>
  <si>
    <t xml:space="preserve">2-port DEB-8025 Data acquisition Board. w/ manual Located in Boerne, TX 
warehouse</t>
  </si>
  <si>
    <t xml:space="preserve">77004</t>
  </si>
  <si>
    <t xml:space="preserve">ICP DAS Omega</t>
  </si>
  <si>
    <t xml:space="preserve">DB-16R</t>
  </si>
  <si>
    <t xml:space="preserve">Daughter Board</t>
  </si>
  <si>
    <t xml:space="preserve">DB-16R Daughter Board like new with cables </t>
  </si>
  <si>
    <t xml:space="preserve">84238</t>
  </si>
  <si>
    <t xml:space="preserve">IGUS</t>
  </si>
  <si>
    <t xml:space="preserve">07.10.038.0</t>
  </si>
  <si>
    <t xml:space="preserve">Belt</t>
  </si>
  <si>
    <t xml:space="preserve">Pack of 100 belt pieces, sold as a pack of 100
IGUS P#07.10.038.0</t>
  </si>
  <si>
    <t xml:space="preserve">13025</t>
  </si>
  <si>
    <t xml:space="preserve">IKO</t>
  </si>
  <si>
    <t xml:space="preserve">LWES 15 C1 R460 S2</t>
  </si>
  <si>
    <t xml:space="preserve">Linear way with single bearing block,set of 4</t>
  </si>
  <si>
    <t xml:space="preserve">New in original box</t>
  </si>
  <si>
    <t xml:space="preserve">83617</t>
  </si>
  <si>
    <t xml:space="preserve">IKO NIPPON THOMPSON</t>
  </si>
  <si>
    <t xml:space="preserve">LWHT 20 C1 R760 B T1 H S2</t>
  </si>
  <si>
    <t xml:space="preserve">LINEAR BEARING AND RAIL</t>
  </si>
  <si>
    <t xml:space="preserve">LWHT 20 C1 R760 B
T1 H S2
A 5 18122003
WEIGHT : 3 KG.
DIMENSION: 91 CM.X9 CM.X5 CM.(H)</t>
  </si>
  <si>
    <t xml:space="preserve">83618</t>
  </si>
  <si>
    <t xml:space="preserve">T1 H S2</t>
  </si>
  <si>
    <t xml:space="preserve">LWHS 25 C2 R580 B
T1 H S2
18122003
WEIGHT : 3 KG.
DIMENSION: 91 CM.X9 CM.X5 CM.(H)</t>
  </si>
  <si>
    <t xml:space="preserve">83619</t>
  </si>
  <si>
    <t xml:space="preserve">BCS H S2</t>
  </si>
  <si>
    <t xml:space="preserve">LWLF 42 C2 R550
BCS H S2
A 5 18122003
WEIGHT : 2,5 KG.
DIMENSION: 73 CM.X9 CM.X4,5 CM.(H)</t>
  </si>
  <si>
    <t xml:space="preserve">83626</t>
  </si>
  <si>
    <t xml:space="preserve">PS1</t>
  </si>
  <si>
    <t xml:space="preserve">LINEAR BEARING </t>
  </si>
  <si>
    <t xml:space="preserve">LWH 15 C1
R 180
WEIGHT : 1 KG.
DIMENSION: 39 CM.X16 CM.X 7 CM.(H)</t>
  </si>
  <si>
    <t xml:space="preserve">84222</t>
  </si>
  <si>
    <t xml:space="preserve">LWL 12 C2</t>
  </si>
  <si>
    <t xml:space="preserve">LWL 12 C2 R240 BCS
T1 H S2
WEIGHT : 200 GR.
DIMENSION: 32 CM.X CM.X2,5 CM.(H)</t>
  </si>
  <si>
    <t xml:space="preserve">108820</t>
  </si>
  <si>
    <t xml:space="preserve">INFICON</t>
  </si>
  <si>
    <t xml:space="preserve">XTC/2</t>
  </si>
  <si>
    <t xml:space="preserve">Deposition Controller</t>
  </si>
  <si>
    <t xml:space="preserve">83583</t>
  </si>
  <si>
    <t xml:space="preserve">850-200-G1</t>
  </si>
  <si>
    <t xml:space="preserve">LEYBOLD IG 3 VACUUM GAUGE CONTROLLER</t>
  </si>
  <si>
    <t xml:space="preserve">RS232</t>
  </si>
  <si>
    <t xml:space="preserve">77151</t>
  </si>
  <si>
    <t xml:space="preserve">Ingersoll Rand</t>
  </si>
  <si>
    <t xml:space="preserve">ANAQK-ABXAB-160</t>
  </si>
  <si>
    <t xml:space="preserve">Provenair HT Pneumatic Cylinder</t>
  </si>
  <si>
    <t xml:space="preserve">New, unused, in original packaging.
74 cm  x 15 cm x 9 cm (H), 3 KG in box.
Package has been opened to take photos. Includes manual.
Compatible with AMI Presco Model 885 screen printers.</t>
  </si>
  <si>
    <t xml:space="preserve">108821</t>
  </si>
  <si>
    <t xml:space="preserve">INNOLAS</t>
  </si>
  <si>
    <t xml:space="preserve">ILS 700 P </t>
  </si>
  <si>
    <t xml:space="preserve">Laser Drill </t>
  </si>
  <si>
    <t xml:space="preserve">SOLAR</t>
  </si>
  <si>
    <t xml:space="preserve">56141</t>
  </si>
  <si>
    <t xml:space="preserve">Innolas</t>
  </si>
  <si>
    <t xml:space="preserve">ILS 700P</t>
  </si>
  <si>
    <t xml:space="preserve">Laser Edge Isolation</t>
  </si>
  <si>
    <t xml:space="preserve">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This Innolas ILS 700P system has been used exclusively in production for 
laser edge isolation of solar cells.
Basically, the need for edge isolation arises from the ion doping/diffusion 
step of the c-Si cell manufacturing process, in which a shallow (~μm’s) 
layer of the bulk p-type silicon is infused with negatively doped ions 
(Phosphorus Doping). This doped region surrounds the entire wafer, and 
causes electrical shunting between
the front and back electrical contacts without the isolation scribe.
Laser edge isolation is typically achieved by scribing a groove around the 
perimeter of the solar cell, as close to the edge of the wafer as possible. 
The groove depth must extend some distance beyond the ion diffusion layer 
in order to give the best result. Typical groove dimensions are 20–40 μm 
wide x 10–20 μm deep.
This system is fitted with a Coherent Avia-355-X laser, which has a nominal 
repetition rate programmable between 40 kHz and 120 kHz and a short pulse 
width in the ns range, which when coupled with high-speed scanning 
galvanometer technology, achieves edge isolation times  in the 1–2 second 
range for 156 mm wafers. Depending on the system optical design (spot size, 
etc.), isolation scribes can be machined at speeds from 500–1000 mm/sec or 
higher.
208V, 3 Ph, 50/60 Hz, CE
Crated, in warehouse, can be inspected by appointment
Weight and dimensions:-
item #30 Innolas main body 330 cm x 220 cm x 190 cm weight kg 2000
item #13 UI of innolas 68 cm x 60 cm x 265 cm weight  kg 20</t>
  </si>
  <si>
    <t xml:space="preserve">86677</t>
  </si>
  <si>
    <t xml:space="preserve">InTest </t>
  </si>
  <si>
    <t xml:space="preserve">Test Head</t>
  </si>
  <si>
    <t xml:space="preserve">CPIT TEP8 / STFLASH  EPROM / 1792 Test Head</t>
  </si>
  <si>
    <t xml:space="preserve">16 Channel VI E/M (Fusion CX)
For a Fusion CX tester to interface to the prober.
Packed in original packing materials.
Weight = 17 KG
Dimensions: 47 cm x 56 cm x 28 cm (h)</t>
  </si>
  <si>
    <t xml:space="preserve">109070</t>
  </si>
  <si>
    <t xml:space="preserve">INVALID[Andre]</t>
  </si>
  <si>
    <t xml:space="preserve">Deluxe </t>
  </si>
  <si>
    <t xml:space="preserve">Near Field Detection Receiver</t>
  </si>
  <si>
    <t xml:space="preserve">109069</t>
  </si>
  <si>
    <t xml:space="preserve">INVALID[OSCOR]</t>
  </si>
  <si>
    <t xml:space="preserve">Blue 24 GHz</t>
  </si>
  <si>
    <t xml:space="preserve">Specrum Analyzer</t>
  </si>
  <si>
    <t xml:space="preserve">109074</t>
  </si>
  <si>
    <t xml:space="preserve">INVALID[Sensofar]</t>
  </si>
  <si>
    <t xml:space="preserve">PLu Neox Optical 3D Surface Profiler with motorized XY stage, 4 Lens (10X, 20X, 50X, 100X), anti vibration table</t>
  </si>
  <si>
    <t xml:space="preserve">Optical 3D Surface Profiler</t>
  </si>
  <si>
    <t xml:space="preserve">107956</t>
  </si>
  <si>
    <t xml:space="preserve">INVALID[Thamway]</t>
  </si>
  <si>
    <t xml:space="preserve">A161</t>
  </si>
  <si>
    <t xml:space="preserve">A161-6566B</t>
  </si>
  <si>
    <t xml:space="preserve">109184</t>
  </si>
  <si>
    <t xml:space="preserve">IPEC</t>
  </si>
  <si>
    <t xml:space="preserve">372M</t>
  </si>
  <si>
    <t xml:space="preserve">Multi-Process CMP</t>
  </si>
  <si>
    <t xml:space="preserve">98465</t>
  </si>
  <si>
    <t xml:space="preserve">472</t>
  </si>
  <si>
    <t xml:space="preserve">CMP Polishing system</t>
  </si>
  <si>
    <t xml:space="preserve">150 MM / 200 mm</t>
  </si>
  <si>
    <t xml:space="preserve">We have available qty  3 units, which were removed from fab production line 
and right now is packed, crating and stored in the warehouse. They are sold 
in "as-is" condition and configured for 6"/ 8" wafer CMP. The price of each 
tool is for the tool sold in its current "as is" condition.
</t>
  </si>
  <si>
    <t xml:space="preserve">98466</t>
  </si>
  <si>
    <t xml:space="preserve">CMP</t>
  </si>
  <si>
    <t xml:space="preserve">FULLY REFURBISHED AND CAN BE DEMONSTARED IN OPERATIONAL CONDITION.
There are 2 units, which have been fully refurbished and configured for 6" 
wafer CMP. Both are packied and crating ready for shipment in warehouse. 
The price of each tool shown is not including on site installation and 
shipping.
</t>
  </si>
  <si>
    <t xml:space="preserve">109235</t>
  </si>
  <si>
    <t xml:space="preserve">106504</t>
  </si>
  <si>
    <t xml:space="preserve">Irvine Optical</t>
  </si>
  <si>
    <t xml:space="preserve">Auto Wafer Loader Microscope Inspection</t>
  </si>
  <si>
    <t xml:space="preserve">WAFER INSPECTION MICROSCOPE WITH AUTOLOADER</t>
  </si>
  <si>
    <t xml:space="preserve">108970</t>
  </si>
  <si>
    <t xml:space="preserve">IsMeca</t>
  </si>
  <si>
    <t xml:space="preserve">NX16</t>
  </si>
  <si>
    <t xml:space="preserve">TEST SYSTEM</t>
  </si>
  <si>
    <t xml:space="preserve">-Still installed and operational
-Can be inspected by appointment
-Please refer to attached photo for details
-Including AssLabeling Laser A000 966</t>
  </si>
  <si>
    <t xml:space="preserve">108754</t>
  </si>
  <si>
    <t xml:space="preserve">IWASHITA</t>
  </si>
  <si>
    <t xml:space="preserve">Shotmatic 3</t>
  </si>
  <si>
    <t xml:space="preserve">Epoxy Dispenser, 2ea Available</t>
  </si>
  <si>
    <t xml:space="preserve">108163</t>
  </si>
  <si>
    <t xml:space="preserve">IWATANI</t>
  </si>
  <si>
    <t xml:space="preserve">LNS-1</t>
  </si>
  <si>
    <t xml:space="preserve">Liquid Nitrogen Supplier</t>
  </si>
  <si>
    <t xml:space="preserve">91419</t>
  </si>
  <si>
    <t xml:space="preserve">J.A Woollam</t>
  </si>
  <si>
    <t xml:space="preserve">VUV-VASE (Gen II)</t>
  </si>
  <si>
    <t xml:space="preserve">Ellipsometer</t>
  </si>
  <si>
    <t xml:space="preserve">91420</t>
  </si>
  <si>
    <t xml:space="preserve">VUV-VASE VU302 (Gen I)</t>
  </si>
  <si>
    <t xml:space="preserve">101047</t>
  </si>
  <si>
    <t xml:space="preserve">Jel</t>
  </si>
  <si>
    <t xml:space="preserve">SCR32000CS‐ 450‐PM</t>
  </si>
  <si>
    <t xml:space="preserve">Cleanroom Handling Robot</t>
  </si>
  <si>
    <t xml:space="preserve">JEL cleanroom robot without accessories. The robot is equipped with a 38cm 
long dualblade end‐effector with vacuum suction cups. This is a pre-owned 
item, manufactured in 2014.
Visually good condition. Mild scuff marks on 2nd link and wrist block. 
Untested. Original transport fixation bracket mounted.</t>
  </si>
  <si>
    <t xml:space="preserve">108822</t>
  </si>
  <si>
    <t xml:space="preserve">JEOL</t>
  </si>
  <si>
    <t xml:space="preserve">JSM-6600F</t>
  </si>
  <si>
    <t xml:space="preserve">91422</t>
  </si>
  <si>
    <t xml:space="preserve">JSM-5600</t>
  </si>
  <si>
    <t xml:space="preserve">91424</t>
  </si>
  <si>
    <t xml:space="preserve">JSM-6700F</t>
  </si>
  <si>
    <t xml:space="preserve">108323</t>
  </si>
  <si>
    <t xml:space="preserve">JFS-9855S</t>
  </si>
  <si>
    <t xml:space="preserve">Focused Ion Beam System</t>
  </si>
  <si>
    <r>
      <rPr>
        <sz val="8"/>
        <rFont val="Arial"/>
        <family val="0"/>
      </rPr>
      <t xml:space="preserve">The factory interface is Integrated SMIF.Sun Sparc Version is 
250.Software</t>
    </r>
    <r>
      <rPr>
        <sz val="8"/>
        <rFont val="Noto Sans CJK SC"/>
        <family val="2"/>
      </rPr>
      <t xml:space="preserve">：</t>
    </r>
    <r>
      <rPr>
        <sz val="8"/>
        <rFont val="Arial"/>
        <family val="0"/>
      </rPr>
      <t xml:space="preserve">1.OS Version is HP-UX V10.2X2.Host Version is V3.113.EOS 
Version is V2.924.Master Version is V3.03Last PM Date is 2020/06/05Off-Line 
Date is 2020/07/29Electrical Requirements is 202V.All the cables are 
present.All the covers are present.Auto Loader is 8".Magnification Range is 
200000X.Tilt Range is 0~60°.Resolution is 5nm.Accelerating Voltage Range is 
15000V. Cryo Pump Make/Model is EBARA/A10S.The chiller is 
present.FeatureHigh SIM resolution : 7nm (30kV)High SEM resolution : 5nm 
(1kV)High quality SEM images ( 1280 X 1024 picls)Stage tilt : 0∘ to 60∘ 
(Wafer)Quick switching between FIB milling and SEI observation 
modesEquipped with a C to C auto-loaderCoordinate linkage with optical 
defect inspection system and laser microscopeRecipe capability for wafer 
information and observation/milling condition</t>
    </r>
  </si>
  <si>
    <t xml:space="preserve">110627</t>
  </si>
  <si>
    <t xml:space="preserve">JSM-6460LV</t>
  </si>
  <si>
    <t xml:space="preserve">108324</t>
  </si>
  <si>
    <t xml:space="preserve">JWS-7555</t>
  </si>
  <si>
    <t xml:space="preserve">SEM - Defect Review (DR)</t>
  </si>
  <si>
    <t xml:space="preserve">108907</t>
  </si>
  <si>
    <t xml:space="preserve">JEM3200FS</t>
  </si>
  <si>
    <t xml:space="preserve">High Resolution TEM</t>
  </si>
  <si>
    <t xml:space="preserve">de-installed
warehoused.
can be inspected by appointment.</t>
  </si>
  <si>
    <t xml:space="preserve">109185</t>
  </si>
  <si>
    <t xml:space="preserve">JEM-2010F</t>
  </si>
  <si>
    <t xml:space="preserve">TEM</t>
  </si>
  <si>
    <t xml:space="preserve">109186</t>
  </si>
  <si>
    <t xml:space="preserve">JFS-9815</t>
  </si>
  <si>
    <t xml:space="preserve">109187</t>
  </si>
  <si>
    <t xml:space="preserve">JSM-6400F</t>
  </si>
  <si>
    <t xml:space="preserve">108164</t>
  </si>
  <si>
    <t xml:space="preserve">JSM-6340F</t>
  </si>
  <si>
    <t xml:space="preserve">FE Sem</t>
  </si>
  <si>
    <t xml:space="preserve">109188</t>
  </si>
  <si>
    <t xml:space="preserve">JWS-7855S</t>
  </si>
  <si>
    <t xml:space="preserve">Mask Inspection &amp; Repair System</t>
  </si>
  <si>
    <t xml:space="preserve">106668</t>
  </si>
  <si>
    <t xml:space="preserve">JWS-7500E</t>
  </si>
  <si>
    <t xml:space="preserve">SCANNING ELECTRON MICROSCOPE</t>
  </si>
  <si>
    <t xml:space="preserve">36564</t>
  </si>
  <si>
    <t xml:space="preserve">CD-SEM, JSM-6340F</t>
  </si>
  <si>
    <t xml:space="preserve">109558</t>
  </si>
  <si>
    <t xml:space="preserve">JSM-7500F</t>
  </si>
  <si>
    <t xml:space="preserve">98726</t>
  </si>
  <si>
    <t xml:space="preserve">Jonas and Redmann</t>
  </si>
  <si>
    <t xml:space="preserve">SDB</t>
  </si>
  <si>
    <t xml:space="preserve">Automated Loader for Baccini Printing Line</t>
  </si>
  <si>
    <t xml:space="preserve">Dimensions (WxHxD): 180x225x185</t>
  </si>
  <si>
    <t xml:space="preserve">98727</t>
  </si>
  <si>
    <t xml:space="preserve">WHD (Wafer Handling Diffusion)</t>
  </si>
  <si>
    <t xml:space="preserve">Automated Loader for Centrotherm E2000 Furnace</t>
  </si>
  <si>
    <t xml:space="preserve">Dimensions (WxHxD): 455x250x242
Deinstalled and warehoused at Avezzano , Italy.
Can be inspected by appointment. Please refer to the attached photos to see 
the current condition.
 </t>
  </si>
  <si>
    <t xml:space="preserve">98728</t>
  </si>
  <si>
    <t xml:space="preserve">WHP (Wafer Handling Plasm)</t>
  </si>
  <si>
    <t xml:space="preserve">Automated Loader for Anti Reflection Coating System</t>
  </si>
  <si>
    <t xml:space="preserve">Dimensions (WxHxD): 340x250x150</t>
  </si>
  <si>
    <t xml:space="preserve">77014</t>
  </si>
  <si>
    <t xml:space="preserve">SDB A</t>
  </si>
  <si>
    <t xml:space="preserve">AUTOMATED Loader for baccini Print Line</t>
  </si>
  <si>
    <t xml:space="preserve">MODEL: SDB A
SERIAL NUMBER: 540-065
Automated Loader for Baccini Print Line for solar cell processing.
  In warehouse, crated, inspection by appointment only
Additional photos are available upon request.
SEE ATTACHED ELECTRONIC MANUAL
-CE MARKED
-INCLUDES ALL SOFTWARE DISKS AND ELECTRONIC MANUALS
-ONLY USED FOR RUNNING A FEW PILOT LOTS
-NEVER USED IN PRODUCTION
-CURRENTLY DE-INSTALLED AND WAREHOUSED
-packed DIMENSIONS: 270 CM X 155 CM X 240 CM
WEIGHT 1600 KG
can run cells of sizes 125 mm , 150 mm and 156 mm
-INSTALLED DIMENSIONS: 446.5 CM X 147.2 CM X 259.6 CM
</t>
  </si>
  <si>
    <t xml:space="preserve">56310</t>
  </si>
  <si>
    <t xml:space="preserve">Q2 WHD A</t>
  </si>
  <si>
    <t xml:space="preserve">Loader for Centrotherm E2000 furnace</t>
  </si>
  <si>
    <t xml:space="preserve">156 mm and 125 mm</t>
  </si>
  <si>
    <t xml:space="preserve">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</si>
  <si>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 xml:space="preserve">91427</t>
  </si>
  <si>
    <t xml:space="preserve">Jordan Valley</t>
  </si>
  <si>
    <t xml:space="preserve">JVX 6200</t>
  </si>
  <si>
    <t xml:space="preserve">X-ray metrology (X-Ray Reflectivity)</t>
  </si>
  <si>
    <t xml:space="preserve">100917</t>
  </si>
  <si>
    <t xml:space="preserve">JVX6200</t>
  </si>
  <si>
    <t xml:space="preserve">X-Ray Inspection System</t>
  </si>
  <si>
    <t xml:space="preserve">99830</t>
  </si>
  <si>
    <t xml:space="preserve">JORDAN VALLEY</t>
  </si>
  <si>
    <t xml:space="preserve">JVX6200I</t>
  </si>
  <si>
    <t xml:space="preserve">X-ray Metrology System</t>
  </si>
  <si>
    <t xml:space="preserve">Configuration available upon request.
Please check pictures below for more information.</t>
  </si>
  <si>
    <t xml:space="preserve">108415</t>
  </si>
  <si>
    <t xml:space="preserve">Jordan Valley Semiconductors LTD</t>
  </si>
  <si>
    <t xml:space="preserve">JVX 7200</t>
  </si>
  <si>
    <t xml:space="preserve">X-ray Fluorescence Spectrometer</t>
  </si>
  <si>
    <t xml:space="preserve">84552</t>
  </si>
  <si>
    <t xml:space="preserve">JSC Systems</t>
  </si>
  <si>
    <t xml:space="preserve">510</t>
  </si>
  <si>
    <t xml:space="preserve">JSC Systems, Inc. 510-180C TP 110V Set Point controller
Good,working condition, with power cable
</t>
  </si>
  <si>
    <t xml:space="preserve">109042</t>
  </si>
  <si>
    <t xml:space="preserve">JST</t>
  </si>
  <si>
    <t xml:space="preserve">CLV</t>
  </si>
  <si>
    <t xml:space="preserve">IPA Wafer Dryer</t>
  </si>
  <si>
    <t xml:space="preserve">-still installed and in working condition
-has CE mark
-400 VAC 3 PHASE 24 A
The Closed Loop Vapor Dryer (CLV) is a patented ultra-clean IPA Drying 
technology designed and built
to provide optimal wafer drying performance.
The CLV is a combination of two proven drying technologies: vacuum and 
isopropyl alcohol IPA drying.
In the CLV Dryer, IPA vapor is remotely generated and introduced into the 
drying chamber where it mixes with and displaces the water.
The vapor is then pulled out of the chamber and replaced with ultrapure 
nitrogen.
The closed loop process provides low particle drying for blind holes, vias, 
and high aspect ratios while reducing IPA usage and emissions.
Applications for the CLV Dryer include silicon wafer, II-VI compound wafer, 
MEMS, glass substrates, and optics, among others.
In a typical performance, the CLV’s dry cycle lasts between 10 and 20 
minutes, depending on carrier and product type.
It consumes an average of 60mL IPA per drying cycle. Typical particle 
performance of &lt; 20 adders @ 0.16um or greater per drying cycle.
The CLV Dryer emits less than a pound of vapor emissions a day.
Standard features
304L stainless steel shell and containment
316L electropolished stainless steel process chamber
No IPA vapor present during load/unload
Sealed vessel with closed loop process
Indirect heating of IPA to create vapor
CO2 fire suppression system
Designed with a programmable logic controller (PLC) in addition to an 
industrial color touchscreen
Modular design for quick replacements and minimal down time
Automated lid with two hand safety control
Front, side, and rear access maintenance with lift-off panels
Recessed dry chamber design pulls chemical fumes through the exhausted dual 
containment plenum
Meets NEC, NFPA, and FM Codes for processing with flammable solvents (IPA)
SEMI S2 certification
CE marked
Optional Features
Flexible dry chamber sizes available
Facility bulk chemical dispense of IPA
GEM/SECSII factory automation interface
3rd party electrical inspections
Heated N2 blow-off for reduced dry cycle time
External high volume vacuum pump for reduced dry cycle time
Available as a standalone configuration or integrated into a JST Automated 
Wet Bench for dry-to-dry processing</t>
  </si>
  <si>
    <t xml:space="preserve">106917</t>
  </si>
  <si>
    <t xml:space="preserve">K AND S</t>
  </si>
  <si>
    <t xml:space="preserve">SPRINT</t>
  </si>
  <si>
    <t xml:space="preserve">HIGHSPEED AUTOMATIC WIRE BONDER</t>
  </si>
  <si>
    <t xml:space="preserve">-see attached photos for details.
-located in Asia.
-Can be inspected by appointment.</t>
  </si>
  <si>
    <t xml:space="preserve">18866</t>
  </si>
  <si>
    <t xml:space="preserve">98060-0000-001-01</t>
  </si>
  <si>
    <t xml:space="preserve">Manual for Model 8060 automatic wedge bonder</t>
  </si>
  <si>
    <t xml:space="preserve">109028</t>
  </si>
  <si>
    <t xml:space="preserve">8028</t>
  </si>
  <si>
    <t xml:space="preserve">Automatic Ball Bonder</t>
  </si>
  <si>
    <t xml:space="preserve">79595</t>
  </si>
  <si>
    <t xml:space="preserve">K Tech Engineering</t>
  </si>
  <si>
    <t xml:space="preserve">BK04A</t>
  </si>
  <si>
    <t xml:space="preserve">Blister tape applicator for microelectronic components</t>
  </si>
  <si>
    <t xml:space="preserve">-In Avezzano (AQ) 67051 Italy
-CE marked
-In operational condition
-De-installed, warehoused.
-see photo for details
-Type ELX / ATM-98 Table top / Manual
Shipping Information:
Dimensions: 1500 mm x 500 mm x 500 mm weight 50 KG</t>
  </si>
  <si>
    <t xml:space="preserve">108823</t>
  </si>
  <si>
    <t xml:space="preserve">K&amp;S</t>
  </si>
  <si>
    <t xml:space="preserve">4123</t>
  </si>
  <si>
    <t xml:space="preserve">Manual Wedge Bonder</t>
  </si>
  <si>
    <t xml:space="preserve">108824</t>
  </si>
  <si>
    <t xml:space="preserve">4124</t>
  </si>
  <si>
    <t xml:space="preserve">Manual Thermosonic Ball Bonder</t>
  </si>
  <si>
    <t xml:space="preserve">108825</t>
  </si>
  <si>
    <t xml:space="preserve">4129</t>
  </si>
  <si>
    <t xml:space="preserve">Manual Deep Access Wedge Bonder</t>
  </si>
  <si>
    <t xml:space="preserve">IN USA: refurbished, fully operational and excellent condition
- 500 Mil Access
- Microprocessor controlled bonding parameters
- Programmable tail length and tear travel
- Programmable wire length
- Self-calibration of ultrasonic system
- Machine self-diagnostics
- Ambient workholder
- Oblique illumination
- Bausch &amp; Lomb StereoZoom 4 microscope
- Electrical input: 120V, 1Ph., 50/60 Hz
- Operation manual</t>
  </si>
  <si>
    <t xml:space="preserve">108826</t>
  </si>
  <si>
    <t xml:space="preserve">4526</t>
  </si>
  <si>
    <t xml:space="preserve">Manual Wedge Bonder, with Vertical Wire Feed</t>
  </si>
  <si>
    <t xml:space="preserve">108827</t>
  </si>
  <si>
    <t xml:space="preserve">6497</t>
  </si>
  <si>
    <t xml:space="preserve">Semi-Automatic Flip Chip Epoxy Die Bonder </t>
  </si>
  <si>
    <t xml:space="preserve">Guaranteed fully operational at consignment: located in USA
3ea CCD video cameras with LED illumination
+/- 1.2Mil @ 3 Sigma placement accuracy
50 to 3000 grams bond force range
10sq. mil - 1000sq. mil die size range
19" x 12" XY travel; 0.5" Z axis travel; 0.0003" (0.0076mm) X, Y, Z 
resolution
0.2 mrad/motor pulse theta rotation
1ea single collet head for die picking
Single needle syringe for programmable liquid dispense
Iwashita Shotmatic 3 pressurized adhesive dispenser
2" x 2" waffle pack die presentation platform
4" x 4" ambient flat die attach workholder
 </t>
  </si>
  <si>
    <t xml:space="preserve">108828</t>
  </si>
  <si>
    <t xml:space="preserve">8020</t>
  </si>
  <si>
    <t xml:space="preserve">108829</t>
  </si>
  <si>
    <t xml:space="preserve">108830</t>
  </si>
  <si>
    <t xml:space="preserve">8060</t>
  </si>
  <si>
    <t xml:space="preserve">Automatic Wedge Bonder</t>
  </si>
  <si>
    <t xml:space="preserve">108832</t>
  </si>
  <si>
    <t xml:space="preserve">4524AD</t>
  </si>
  <si>
    <t xml:space="preserve">108755</t>
  </si>
  <si>
    <t xml:space="preserve">9388 Laser Pro</t>
  </si>
  <si>
    <t xml:space="preserve">Automatic Ball Attach System</t>
  </si>
  <si>
    <t xml:space="preserve">108756</t>
  </si>
  <si>
    <t xml:space="preserve">1471</t>
  </si>
  <si>
    <t xml:space="preserve">Automatic wedge bonder</t>
  </si>
  <si>
    <t xml:space="preserve">Wire Bonder, 2ea Available</t>
  </si>
  <si>
    <t xml:space="preserve">108757</t>
  </si>
  <si>
    <t xml:space="preserve">1488 Plus</t>
  </si>
  <si>
    <t xml:space="preserve">Automatic Gold Ball Bonder </t>
  </si>
  <si>
    <t xml:space="preserve">    * K&amp;S 870 Pattern Recognition System, Revision 1.65-0-08
    * Operating System Software Revision 7-11-A-06 Including the Following
      Upgrades:
    * Low Dropset Looping
          o J-Wire Looping
          o Bump Bonding
          o BGA 1 Looping
          o BGA 2 Looping
          o “SR” Looping
          o Fine Pitch Video Lead Locator
    * OLYMPUS SZ30 Stereo Zoom Microscope
    * 2” X 2” Manual Vacuum Workholder</t>
  </si>
  <si>
    <t xml:space="preserve">84231</t>
  </si>
  <si>
    <t xml:space="preserve">Kalrez</t>
  </si>
  <si>
    <t xml:space="preserve">O-RING AS-568A</t>
  </si>
  <si>
    <t xml:space="preserve">o-ring seal</t>
  </si>
  <si>
    <t xml:space="preserve">
DUPONT KALREZ O-RING AS-568A K#456 COMPOUND: PV8070</t>
  </si>
  <si>
    <t xml:space="preserve">110605</t>
  </si>
  <si>
    <t xml:space="preserve">KARL SUSS</t>
  </si>
  <si>
    <t xml:space="preserve">MA200</t>
  </si>
  <si>
    <t xml:space="preserve">Mask Aligner (Cassette to Cassette)</t>
  </si>
  <si>
    <t xml:space="preserve"> Automatic Mask Aligner
- Configured for Top Side Alignment
- Cassette to Cassette Operation
- Up to 8“/200mm wafer capable
- Large Clear Field Proximity Maskholder for 9” corner masks, with 8“ 
exposure area
- Vacuum Chuck: 8” Thermal Proximity Chuck
- Maskholder: 9“x9” Maskholder
- Lamp House: Model LH5000 (5000 Watt)
- Power Supply: Suss CIC 5000 Power Supply
- UV400 Optics (for 365nm &amp; 405 nm exposure) with G-Line Filter
- Objectives: 5x &amp; 10x Objectives
- Suss AL3000 Autoalignment System
- Suss DVM8 Microscope
- Julabo Chiller
- Isolation table (included in main body)
- Operations Manual for MA200
- Suss 1000 Intensity Meter with 365 &amp; 435 nm probes
- Fully Reconditioned to Factory Specifications</t>
  </si>
  <si>
    <t xml:space="preserve">110606</t>
  </si>
  <si>
    <t xml:space="preserve">Karl Suss</t>
  </si>
  <si>
    <t xml:space="preserve">MA 25</t>
  </si>
  <si>
    <t xml:space="preserve">Mask Aligner</t>
  </si>
  <si>
    <t xml:space="preserve">For immediate sale: Refurbished Karl Suss MA 25 Mask Aligner
-Compatible with up to 5” Wafer or Substrate
-With BSA
-With TSA
-With vibration isolation
-Cassette to cassette handling
-Alignment stage: X, Y, Theta
-Pre-align station, 5"
-Objective: 30x
-Transport plates kit: W-4"
-Chuck cont: W- 4"-5"
-Maskholder: W- 4"
-Exposure unit: MA 150 LH 350 W 2x
-Exposure optics: UV400
-CIC 500 Lamp power supply
-Manual
-Power supply: 230 V, 50 Hz
Vintage: 2000
Condition: very good</t>
  </si>
  <si>
    <t xml:space="preserve">110607</t>
  </si>
  <si>
    <t xml:space="preserve">MA45</t>
  </si>
  <si>
    <t xml:space="preserve">Up to 100 mm</t>
  </si>
  <si>
    <t xml:space="preserve">1 pc. Mask Aligner Karl Suss MA45 – inclusive Service and Function tested.
A Video of the system in operation has been uploaded and is visible at the 
following link:-&lt;https://youtube.com/shorts/0X2oKGzcruI?feature=share&gt;
Prepared for Hard- and Softcontact
Mask Aligner for manual Alignment
(Substrates up to max. 100 x 100 mm, 4” Wafer)
Manuel Loading of Masks und Substrates
Adjustment by Micrometerbolts
Adjustment by Splitfield Microscope
Light source for various Spectral Ranges UV 300-400
Diffraction Optics UV 400
Base machine specification:
Base Machine with mechanical, pneumatic and electric equipment
X,Y, Theta und Z Adjustment with WEC-Head
(WEC-Head and Micrometerbolts for Rough and Fine Adjustment)
Lamphouse LH 350W
Optics equipped with:
Ellipsoidal Reflector
Cold Light Mirror UV 400
Diffraction Optics UV400
Diversion Mirror 45° (LH 350)
Frontlens 100 mm x 100mm
Lamp HBO 350 W/S
Power Supply CIC500 incl. Ignition Box
Splitfield Microscope
1 Set Oculars, 1 Set Objectives (customer wish)
1 Set Fibre Optics for Microscope Illumination
1 x Exposure Chuck 100 x 100 mm (4”)
1 x Mask Holder M-5”, S-4”
Checked through specialist, full functional, no missing parts.</t>
  </si>
  <si>
    <t xml:space="preserve">110609</t>
  </si>
  <si>
    <t xml:space="preserve">Mask Aligner with CIC1000 lamp housing</t>
  </si>
  <si>
    <t xml:space="preserve">-deinstalled warehoused.
-in working condition
-The hardware is in the Intel Standard Configuration
Suss MA200 Mask Aligner
UV400/cont/W-200 optics
365/405 dual range sensor
MA200 Wafer Chuck (200mm)
Mask Holder with Guard
DVM8 with Sony cameras-machine level
L25X Objective (quantity 2)
Field Expanders
SUSS AL3000 Auto Align system w/ ROSIE
Dimensions
o Main Unit: 188H x 163W x 98D mm (6H x 5.4W x 3.2D ft)
o Remote Console: 183 x 66 x 82 mm (6H x 2.2W x 2.7D ft)</t>
  </si>
  <si>
    <t xml:space="preserve">110611</t>
  </si>
  <si>
    <t xml:space="preserve">MJB-3</t>
  </si>
  <si>
    <t xml:space="preserve">Specifications:
·KARL SUSS MJB3 Type:10000003
·Power 220v/50Hz/500VA
·UV400 Optics
·Lamp House 200 watt
·Operation Modes: Soft Contact/Hard Contact
·Chuck for 2” wafers and Mask Holder for 3” masks (Square opening 2”x2”)
·Single Microscope with 3 objectives X5, X10, X20 (Includes illumination 
power supply)
·Karl Suss CIC500 Power Supply (For the mercury lamp) with Remote Ignition 
Box.
·Operation/Service Manual (soft pdf file)
In very good working condition. Currently de-installed and warehoused. 
Inspection is available by appointment.</t>
  </si>
  <si>
    <t xml:space="preserve">110612</t>
  </si>
  <si>
    <t xml:space="preserve">MA56</t>
  </si>
  <si>
    <t xml:space="preserve">In working condition. Currently de-installed and warehoused. Inspection is 
available by appointment.</t>
  </si>
  <si>
    <t xml:space="preserve">110619</t>
  </si>
  <si>
    <t xml:space="preserve">PA200HS</t>
  </si>
  <si>
    <t xml:space="preserve">109597</t>
  </si>
  <si>
    <t xml:space="preserve">MA150e</t>
  </si>
  <si>
    <t xml:space="preserve">Mask Aligner with TSA</t>
  </si>
  <si>
    <t xml:space="preserve">108833</t>
  </si>
  <si>
    <t xml:space="preserve">MA-4 </t>
  </si>
  <si>
    <t xml:space="preserve">Mask Aligner, IR Backside Alignment with Single Microscope, for up to 4" Wafers</t>
  </si>
  <si>
    <t xml:space="preserve">108834</t>
  </si>
  <si>
    <t xml:space="preserve">MA-45</t>
  </si>
  <si>
    <t xml:space="preserve">Mask Aligner, Front Side Alignment with Splitfield Microscope, for up to 4" Wafers</t>
  </si>
  <si>
    <t xml:space="preserve">109602</t>
  </si>
  <si>
    <t xml:space="preserve">MJB3</t>
  </si>
  <si>
    <t xml:space="preserve">350W Mask Aligner</t>
  </si>
  <si>
    <t xml:space="preserve">75mm</t>
  </si>
  <si>
    <t xml:space="preserve">108835</t>
  </si>
  <si>
    <t xml:space="preserve">PM-8</t>
  </si>
  <si>
    <t xml:space="preserve">Analytical Wafer Prober</t>
  </si>
  <si>
    <t xml:space="preserve">109603</t>
  </si>
  <si>
    <t xml:space="preserve">Compact Mask Aligner with TSA</t>
  </si>
  <si>
    <t xml:space="preserve">109607</t>
  </si>
  <si>
    <t xml:space="preserve">108073</t>
  </si>
  <si>
    <t xml:space="preserve">MA150</t>
  </si>
  <si>
    <t xml:space="preserve">108074</t>
  </si>
  <si>
    <t xml:space="preserve">Mask</t>
  </si>
  <si>
    <t xml:space="preserve">9inch Mask for 8inch Aligner</t>
  </si>
  <si>
    <t xml:space="preserve">109612</t>
  </si>
  <si>
    <t xml:space="preserve">MA8/BA8 Gen 3</t>
  </si>
  <si>
    <t xml:space="preserve">TSA/BSA Mask Aligner</t>
  </si>
  <si>
    <t xml:space="preserve">109615</t>
  </si>
  <si>
    <t xml:space="preserve">MJB4</t>
  </si>
  <si>
    <t xml:space="preserve">99394</t>
  </si>
  <si>
    <t xml:space="preserve">MA 150</t>
  </si>
  <si>
    <t xml:space="preserve">Mask Aligner (Spare Parts)</t>
  </si>
  <si>
    <t xml:space="preserve">Set of used spare parts for a Suss MA 150.
See attached photos for details.
Including:-
1.Electronics backplane
2.MA150_Pneumatics
3.MA150_POWER_BOX
4.Front_Mirror_Cover     
5. MA150_Stage Mask_Holder_mechanism
6. Front_Mirror_Housing   
7. MICROSCOPE_ASSEMBLY_with_5X_objectives
8. IGNITION_BOX           
9. N2_Cooling_Flowmeter
10. LCD_TOUCH_MONITOR
11. SHUTTER_ASSEMBLY
12. LCD_Touch_Monitor_Tag   
13. Stage+Microscope_JOYSTICKS
14. LENS_TUBE_+FLYEYE_LENS
15. TSA_Illumination
16. LINEAR_BEARING        
17. UV_Lamp_Housing_bootom
18. MA150_CABLES          
19. UV_LAMP_HOUSING
20. MA150_COVERS        
21. UV_Lamp_Housing_Top
22. MA150_Hardware     
23. UV_Lamp_IGNITION_BOX
24. MA150_Main_Frame     
25. WEC_HEAD+_ELEVATORS+MIC._Mechanism
26. MA150_PCBs_quantity 17
27. MA150 Stage Z Axis Guide
 </t>
  </si>
  <si>
    <t xml:space="preserve">99397</t>
  </si>
  <si>
    <t xml:space="preserve">PM 8</t>
  </si>
  <si>
    <t xml:space="preserve">Manual Prober</t>
  </si>
  <si>
    <t xml:space="preserve">In working condition. Currently de-installed and warehoused. Inspection is 
available by appointment.
Separate PH150 Probe Manipulators x2 also available if required.
Check the video below to see the tool:</t>
  </si>
  <si>
    <t xml:space="preserve">100939</t>
  </si>
  <si>
    <t xml:space="preserve">Mask Holder</t>
  </si>
  <si>
    <t xml:space="preserve">1 Set for 4" Wafer (Front-/Backside), 1 Set for 5" Wafer (Front-/Backside)
Please check pictures below for more information
SOLD VIA PRIVATE TREATY BIDDING</t>
  </si>
  <si>
    <t xml:space="preserve">106854</t>
  </si>
  <si>
    <t xml:space="preserve">MA8 BA8</t>
  </si>
  <si>
    <t xml:space="preserve">Mask Aligner with BSA</t>
  </si>
  <si>
    <t xml:space="preserve">up to 8 inch</t>
  </si>
  <si>
    <t xml:space="preserve">Deinstalled, warehoused. Can be inspected by appointment.
For details of the condition, see attached photos.
-With windows PC
-CE MARKED
-MA8 BA8 IS N. G305418</t>
  </si>
  <si>
    <t xml:space="preserve">108906</t>
  </si>
  <si>
    <t xml:space="preserve">Karl SUSS</t>
  </si>
  <si>
    <t xml:space="preserve">150 mm, 200 mm</t>
  </si>
  <si>
    <t xml:space="preserve">8" Holder , 2x Optic Lens (5x, 10x, 20x), no BSE option (Karl suss Original 
version), It was working condition, No BSA option
De-installed, warehoused. Can be inspected by appointment. Location: Asia</t>
  </si>
  <si>
    <t xml:space="preserve">108908</t>
  </si>
  <si>
    <t xml:space="preserve">-. Chuck size : 200mm fixed no vacuum contact
-. Mask Holder : 9" mask with proximity mode
-. Lamp house : LH1000
-. Lamp type : 1000w lamp
-. CIC type : CIC1000
-. Microscope : DVM8 with Field expander
-. Motorized obective movement option installed
-. Objective : 25x Leiz 
-. Cassette loader/ unloader type : Special cassette loader / unloader
-. Optics : UV400
-. AL3000 installed for Autoalign (have to check available function)
-. Wafer detection on the cassette : Ultra sonic sensor installed
-. PAL type : XRS PAL(Analog flat finder)
-. Alignment mode : Top Side Alignment
The EQUIPMENT IS DE-INSTALLED AND WAREHOUSED. Further DETAILS ARE AVAILABLE 
ON REQUEST</t>
  </si>
  <si>
    <t xml:space="preserve">108909</t>
  </si>
  <si>
    <t xml:space="preserve">150 mm-200 MM</t>
  </si>
  <si>
    <t xml:space="preserve">8" Holder , 2x Optic Lens (5x, 10x, 20x), no BSE option (Karl suss Original 
version, It was working condtion before deinstallation)
De-installed, warehoused. Can be inspected by appointment. Further details 
are available on request</t>
  </si>
  <si>
    <t xml:space="preserve">108939</t>
  </si>
  <si>
    <t xml:space="preserve">MA 56</t>
  </si>
  <si>
    <t xml:space="preserve">108758</t>
  </si>
  <si>
    <t xml:space="preserve">MA6</t>
  </si>
  <si>
    <t xml:space="preserve">50-150 mm</t>
  </si>
  <si>
    <t xml:space="preserve">Price with 4" Back Side Alignment Chuck
Tool Configuration
•1µ Resolution in Hard Contact Mode      
• Split Field Alignment Microscope with 5X, 10X &amp; 20X Objective Lenses
• Back Side Alignment with IR Illumination 
• 2”- 6” Wafer Size Range
• 3” Back Side Alignment Chuck Included
• 4" Back Side Alignment Chuck Available 
• 6” X 6” Mask Plate Holder  
• CIC 1000 1000W UV Power Supply 
• 230VAC, 1 PH, 50/60Hz Input Power  </t>
  </si>
  <si>
    <t xml:space="preserve">106897</t>
  </si>
  <si>
    <t xml:space="preserve">Karl Suss Micro Tec</t>
  </si>
  <si>
    <t xml:space="preserve">-deinstalled warehoused.
-see photos for details about the configuration and condition.
-complete and not missing any parts.</t>
  </si>
  <si>
    <t xml:space="preserve">106915</t>
  </si>
  <si>
    <t xml:space="preserve">PA-200</t>
  </si>
  <si>
    <t xml:space="preserve">Wafer Prober Station</t>
  </si>
  <si>
    <t xml:space="preserve">106916</t>
  </si>
  <si>
    <t xml:space="preserve">PA200</t>
  </si>
  <si>
    <t xml:space="preserve">106798</t>
  </si>
  <si>
    <t xml:space="preserve">Kawasaki</t>
  </si>
  <si>
    <t xml:space="preserve">3NS411B-F006</t>
  </si>
  <si>
    <t xml:space="preserve">Robot with cable and Controller</t>
  </si>
  <si>
    <t xml:space="preserve">Controller is 30C61E-B019 type</t>
  </si>
  <si>
    <t xml:space="preserve">98468</t>
  </si>
  <si>
    <t xml:space="preserve">3NX540B-A302</t>
  </si>
  <si>
    <t xml:space="preserve">atmospheric wafer robot( AMAT producer)</t>
  </si>
  <si>
    <t xml:space="preserve">98469</t>
  </si>
  <si>
    <t xml:space="preserve">NS410B-A002</t>
  </si>
  <si>
    <t xml:space="preserve">103208</t>
  </si>
  <si>
    <t xml:space="preserve">Keller</t>
  </si>
  <si>
    <t xml:space="preserve">VARIO-T 1.0-SC8-B30-HD</t>
  </si>
  <si>
    <t xml:space="preserve">Scrubber / Compact Dust Separator for Baccini  laser unit exhaust air</t>
  </si>
  <si>
    <t xml:space="preserve">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</si>
  <si>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 xml:space="preserve">106818</t>
  </si>
  <si>
    <t xml:space="preserve">Kensington </t>
  </si>
  <si>
    <t xml:space="preserve">WFH4C</t>
  </si>
  <si>
    <t xml:space="preserve">wafer robot with aligner</t>
  </si>
  <si>
    <t xml:space="preserve">150/200mm</t>
  </si>
  <si>
    <t xml:space="preserve">106819</t>
  </si>
  <si>
    <t xml:space="preserve">WFH4D </t>
  </si>
  <si>
    <t xml:space="preserve">110608</t>
  </si>
  <si>
    <t xml:space="preserve">KEYENCE</t>
  </si>
  <si>
    <t xml:space="preserve">VHX-2000 D</t>
  </si>
  <si>
    <t xml:space="preserve">Digital Micrsocope for laboratory / Assembly inspection use</t>
  </si>
  <si>
    <t xml:space="preserve">Complete, in excellent operational condition, and including many optional 
items. Please refer to the attached photos for details of the instrument's 
current conditions.</t>
  </si>
  <si>
    <t xml:space="preserve">84388</t>
  </si>
  <si>
    <t xml:space="preserve">FU-12</t>
  </si>
  <si>
    <t xml:space="preserve">PHOTO SENSOR</t>
  </si>
  <si>
    <t xml:space="preserve">FU-12
WEIGHT: 100 GR.
DIMENSION: 15 X 15 X 2,5 (H) FOR EACH</t>
  </si>
  <si>
    <t xml:space="preserve">84392</t>
  </si>
  <si>
    <t xml:space="preserve">PS SERIES</t>
  </si>
  <si>
    <t xml:space="preserve">Sensor Fiber Optic Cable
PS-55 2 PIECES
PS-25
FS2-60
FS-T1
FU-69
WEIGHT: 100 GR.
DIMENSION: 12 X 12 X 2,5 (H) FOR EACH</t>
  </si>
  <si>
    <t xml:space="preserve">84393</t>
  </si>
  <si>
    <t xml:space="preserve">PS2-61
WEIGHT: 180 GR.
DIMENSION: 11 X 12 X 3,5 (H)</t>
  </si>
  <si>
    <t xml:space="preserve">84394</t>
  </si>
  <si>
    <t xml:space="preserve">AP-21A
WEIGHT: 200 GR.
DIMENSION: 11,5 X 10 X 5 (H) FOR EACH</t>
  </si>
  <si>
    <t xml:space="preserve">109016</t>
  </si>
  <si>
    <t xml:space="preserve">109189</t>
  </si>
  <si>
    <t xml:space="preserve">Keysight / Agilent / Hewlett-Packard (HP)</t>
  </si>
  <si>
    <t xml:space="preserve">Parametric Tester</t>
  </si>
  <si>
    <t xml:space="preserve">109190</t>
  </si>
  <si>
    <t xml:space="preserve">108836</t>
  </si>
  <si>
    <t xml:space="preserve">KINETIC SYSTEMS</t>
  </si>
  <si>
    <t xml:space="preserve">Vibraplane 1202-22-12S</t>
  </si>
  <si>
    <t xml:space="preserve">Vibration Isolation Table, 47" x 36"</t>
  </si>
  <si>
    <t xml:space="preserve">108759</t>
  </si>
  <si>
    <t xml:space="preserve">Vibraplane 1201-01-11</t>
  </si>
  <si>
    <t xml:space="preserve">Vibration Isolation Table 30"x35"x29"(h)</t>
  </si>
  <si>
    <t xml:space="preserve">109075</t>
  </si>
  <si>
    <t xml:space="preserve">KLA</t>
  </si>
  <si>
    <t xml:space="preserve">AIT FUSION UV (SPARES)</t>
  </si>
  <si>
    <t xml:space="preserve">Hard Disk Drive with software for KLA AIT Fusion UV</t>
  </si>
  <si>
    <t xml:space="preserve">Disk Model: Seagate ST336706LC
Serial number: 3FD1FP2A
Type: SCSI hard disk
KLA part number labels:-
0064319-000 AA
W000182049</t>
  </si>
  <si>
    <t xml:space="preserve">108569</t>
  </si>
  <si>
    <t xml:space="preserve">2131</t>
  </si>
  <si>
    <t xml:space="preserve">Inspection System</t>
  </si>
  <si>
    <t xml:space="preserve">Configuration available upon request. Can be inspected by appointment.</t>
  </si>
  <si>
    <t xml:space="preserve">84000</t>
  </si>
  <si>
    <t xml:space="preserve">750-653120-00C0</t>
  </si>
  <si>
    <t xml:space="preserve">Power Line Conditioner / Transformer for KLA 2122</t>
  </si>
  <si>
    <t xml:space="preserve">9KVA, 30 AMP 50/60Hz
208,240,380,416,480 V Input
Output: 208/120V with taps
Model: 2-2.5% FCAN; 4-2.5% FCBN
Good condition, removed from fab, sealed, and shipped to our warehouse.
Unsealed only to take photos.
</t>
  </si>
  <si>
    <t xml:space="preserve">86304</t>
  </si>
  <si>
    <t xml:space="preserve">1007</t>
  </si>
  <si>
    <t xml:space="preserve">Chuck, prober, 6" gold chuck assembly</t>
  </si>
  <si>
    <t xml:space="preserve">Good working condition KLA 1007 Gold Chuck assembly
</t>
  </si>
  <si>
    <t xml:space="preserve">53026</t>
  </si>
  <si>
    <t xml:space="preserve">715-023506-00</t>
  </si>
  <si>
    <t xml:space="preserve">Complete lead screw and stepping motor for KLA 2xx reticle inspection system</t>
  </si>
  <si>
    <t xml:space="preserve">Complete lead screw assembly (P/N 715-023506-00)
Compumotor p/n MT E2610-177EP</t>
  </si>
  <si>
    <t xml:space="preserve">87086</t>
  </si>
  <si>
    <t xml:space="preserve">655-6616141-00</t>
  </si>
  <si>
    <t xml:space="preserve">Wafer stage, kla 21xx</t>
  </si>
  <si>
    <t xml:space="preserve">REV A0
FOR  KLA 21XX
</t>
  </si>
  <si>
    <t xml:space="preserve">109106</t>
  </si>
  <si>
    <t xml:space="preserve">Surfscan AIT 3</t>
  </si>
  <si>
    <t xml:space="preserve">Wafer particle Inspection</t>
  </si>
  <si>
    <t xml:space="preserve">De-installed and warehoused. Has some missing parts.
Please refer to the attached photos for details.</t>
  </si>
  <si>
    <t xml:space="preserve">34115</t>
  </si>
  <si>
    <t xml:space="preserve">740-401-320</t>
  </si>
  <si>
    <t xml:space="preserve">P-N 073-401-320  AIRLOCK</t>
  </si>
  <si>
    <t xml:space="preserve">110659</t>
  </si>
  <si>
    <t xml:space="preserve">UV1250SE</t>
  </si>
  <si>
    <t xml:space="preserve">Thin film meansurement system</t>
  </si>
  <si>
    <t xml:space="preserve">125 mm - 200 mm</t>
  </si>
  <si>
    <t xml:space="preserve">The equipment is not currently functional. It has the following known 
defective parts: MCB, SE path mis-aligned.
Fitted with open wafer cassette loaders x 2
Has CE mark.</t>
  </si>
  <si>
    <t xml:space="preserve">110660</t>
  </si>
  <si>
    <t xml:space="preserve">7700</t>
  </si>
  <si>
    <t xml:space="preserve">Surfscan wafer particle detection system</t>
  </si>
  <si>
    <t xml:space="preserve">100 - 200 mm</t>
  </si>
  <si>
    <t xml:space="preserve">    * Detects defects as small as 0.15 µm, while defects below 0.2 µm can
      be detected on many process levels, including nitride, oxide,
      polysilicon and TEOS films
    * Capable of measuring defects on unpatterned wafers
    * Capable of measuring wafers from 4” to 8”
    * High sensitivity on after-etch and high topography applications
    * Circular input polarization enhances sensitivity and defect capture
      on post-CMP and other post-deposited layers
 </t>
  </si>
  <si>
    <t xml:space="preserve">34118</t>
  </si>
  <si>
    <t xml:space="preserve">Ceramic table</t>
  </si>
  <si>
    <t xml:space="preserve">8" Ceramic Table &amp; Misc Parts</t>
  </si>
  <si>
    <t xml:space="preserve">34119</t>
  </si>
  <si>
    <t xml:space="preserve">7700M (SPARES)</t>
  </si>
  <si>
    <t xml:space="preserve">Lens PCB 042763</t>
  </si>
  <si>
    <t xml:space="preserve">34121</t>
  </si>
  <si>
    <t xml:space="preserve">7700m</t>
  </si>
  <si>
    <t xml:space="preserve">robot Dist. PCB</t>
  </si>
  <si>
    <t xml:space="preserve">Pulled From working tool, located in Ireland warehouse in excellent 
condition
sold as-is.</t>
  </si>
  <si>
    <t xml:space="preserve">34122</t>
  </si>
  <si>
    <t xml:space="preserve">Keyboard Assy </t>
  </si>
  <si>
    <t xml:space="preserve">34123</t>
  </si>
  <si>
    <t xml:space="preserve">253537 Rev A PCB Microscope Dist</t>
  </si>
  <si>
    <t xml:space="preserve">84301</t>
  </si>
  <si>
    <t xml:space="preserve">710-658036-20</t>
  </si>
  <si>
    <t xml:space="preserve">Alignment Processor board REV C3</t>
  </si>
  <si>
    <t xml:space="preserve">removed from working tool</t>
  </si>
  <si>
    <t xml:space="preserve">84302</t>
  </si>
  <si>
    <t xml:space="preserve">710-658041-20</t>
  </si>
  <si>
    <t xml:space="preserve">Alignment PRocessor Phase 3 Board REV E0</t>
  </si>
  <si>
    <t xml:space="preserve">84303</t>
  </si>
  <si>
    <t xml:space="preserve">710-658046-20</t>
  </si>
  <si>
    <t xml:space="preserve">PRocessor Board REV E0</t>
  </si>
  <si>
    <t xml:space="preserve">84304</t>
  </si>
  <si>
    <t xml:space="preserve">710-658177-20</t>
  </si>
  <si>
    <t xml:space="preserve">Interpolator phase 3 Board REV F1</t>
  </si>
  <si>
    <t xml:space="preserve">removed from working tool
second board we have is same part number, listed as X Interpolator</t>
  </si>
  <si>
    <t xml:space="preserve">84305</t>
  </si>
  <si>
    <t xml:space="preserve">710-658172-20</t>
  </si>
  <si>
    <t xml:space="preserve">Y Interpolator C,PH3 Board REV J1</t>
  </si>
  <si>
    <t xml:space="preserve">84306</t>
  </si>
  <si>
    <t xml:space="preserve">710-655651-20</t>
  </si>
  <si>
    <t xml:space="preserve">Cornerturn 3 PC board REV C0</t>
  </si>
  <si>
    <t xml:space="preserve">106066</t>
  </si>
  <si>
    <t xml:space="preserve">710-029946-00 Rev:XE</t>
  </si>
  <si>
    <t xml:space="preserve">Corrector-Formatter PCB M2A only</t>
  </si>
  <si>
    <t xml:space="preserve">PCB for a KLA 259 reticle inspection system.
Removed from a working tool.
REV XE OPT 1</t>
  </si>
  <si>
    <t xml:space="preserve">84307</t>
  </si>
  <si>
    <t xml:space="preserve">710-659412-00</t>
  </si>
  <si>
    <t xml:space="preserve">Mass Memory PCB REV C0</t>
  </si>
  <si>
    <t xml:space="preserve">34131</t>
  </si>
  <si>
    <t xml:space="preserve">Pittmann Motor 94337528 Microscope driver</t>
  </si>
  <si>
    <t xml:space="preserve">84308</t>
  </si>
  <si>
    <t xml:space="preserve">710-658232-20</t>
  </si>
  <si>
    <t xml:space="preserve">Memory Controller Phase 3 PC board REV H1</t>
  </si>
  <si>
    <t xml:space="preserve">34132</t>
  </si>
  <si>
    <t xml:space="preserve">181137 Drive Assy PCB</t>
  </si>
  <si>
    <t xml:space="preserve">84309</t>
  </si>
  <si>
    <t xml:space="preserve">710-658086-20</t>
  </si>
  <si>
    <t xml:space="preserve">PC Board, REV E0</t>
  </si>
  <si>
    <t xml:space="preserve">34135</t>
  </si>
  <si>
    <t xml:space="preserve">174203 Rev D PCB Flat finder pwd Driver </t>
  </si>
  <si>
    <t xml:space="preserve">Excellent condition, located in our  Avezzano, Italy warehouse</t>
  </si>
  <si>
    <t xml:space="preserve">87642</t>
  </si>
  <si>
    <t xml:space="preserve">6400 6220 </t>
  </si>
  <si>
    <t xml:space="preserve">Set of New OEM Cables FOR SURFSCAN MODELS 6200 AND 6400</t>
  </si>
  <si>
    <t xml:space="preserve">New cables, from KLA, with KLA stickers
includes:
724-00216-01
553-000
11-112528
0063658-000
730-659291-001 arc lamp cable
0243275-002 cable smb6400/hdr,17w5,smb 3
55-0796b J5 upper stage interface
located in Texas warehouse</t>
  </si>
  <si>
    <t xml:space="preserve">34138</t>
  </si>
  <si>
    <t xml:space="preserve">7700m (spares)</t>
  </si>
  <si>
    <t xml:space="preserve">p/n 252948 Rev B Motor Lamp Drive SFS 76</t>
  </si>
  <si>
    <t xml:space="preserve">Tencor p/n 252948 Rev B Motor Lamp Drive SFS 76</t>
  </si>
  <si>
    <t xml:space="preserve">34139</t>
  </si>
  <si>
    <t xml:space="preserve">Front Panel PCB</t>
  </si>
  <si>
    <t xml:space="preserve">34143</t>
  </si>
  <si>
    <t xml:space="preserve">181830 Rev D, National Instruments AT-GPIB/TNT</t>
  </si>
  <si>
    <t xml:space="preserve">34144</t>
  </si>
  <si>
    <t xml:space="preserve">EMO Switch</t>
  </si>
  <si>
    <t xml:space="preserve">106080</t>
  </si>
  <si>
    <t xml:space="preserve">710-023236-00 Rev B1</t>
  </si>
  <si>
    <t xml:space="preserve">P3 Scan delay FIR Filter PCB</t>
  </si>
  <si>
    <t xml:space="preserve">FROM A KLA 259 RETICLE INSPECTION SYSTEM. THE PART WAS REMOVED FROM A 
WORKING SYSTEM.</t>
  </si>
  <si>
    <t xml:space="preserve">34145</t>
  </si>
  <si>
    <t xml:space="preserve">Leadscrew and Servo Motor CMC MT2115-014DF</t>
  </si>
  <si>
    <t xml:space="preserve">106081</t>
  </si>
  <si>
    <t xml:space="preserve">710-022410-01 Rev A5</t>
  </si>
  <si>
    <t xml:space="preserve">AR GRAPHICS DISPLAY CONTROLLER 2 PCB</t>
  </si>
  <si>
    <t xml:space="preserve">106082</t>
  </si>
  <si>
    <t xml:space="preserve">710-029421-00 Rev C2</t>
  </si>
  <si>
    <t xml:space="preserve">SERVO DRIVE 2 III PCB</t>
  </si>
  <si>
    <t xml:space="preserve">34147</t>
  </si>
  <si>
    <t xml:space="preserve">Mirror Assy with Fiber Optic</t>
  </si>
  <si>
    <t xml:space="preserve">106083</t>
  </si>
  <si>
    <t xml:space="preserve">710-023589-00 Rev B2</t>
  </si>
  <si>
    <t xml:space="preserve">SERVO DRIVE 1 III PCB</t>
  </si>
  <si>
    <t xml:space="preserve">106084</t>
  </si>
  <si>
    <t xml:space="preserve">710-101836-02 Rev G3</t>
  </si>
  <si>
    <t xml:space="preserve">AUTOFOCUS 2  PCB</t>
  </si>
  <si>
    <t xml:space="preserve">34154</t>
  </si>
  <si>
    <t xml:space="preserve">201989 Concave Mirror</t>
  </si>
  <si>
    <t xml:space="preserve">84076</t>
  </si>
  <si>
    <t xml:space="preserve">050-654234-00</t>
  </si>
  <si>
    <t xml:space="preserve">Lamp Micro Line Filament w/ clips</t>
  </si>
  <si>
    <t xml:space="preserve">Pack of lamp w/ clips, KLA-Tencor 050-654234-00
for  Use in KLA 21xx tools
</t>
  </si>
  <si>
    <t xml:space="preserve">34160</t>
  </si>
  <si>
    <t xml:space="preserve">Detector Assy</t>
  </si>
  <si>
    <t xml:space="preserve">34161</t>
  </si>
  <si>
    <t xml:space="preserve">Mouse &amp; PCB 240C</t>
  </si>
  <si>
    <t xml:space="preserve">106865</t>
  </si>
  <si>
    <t xml:space="preserve">2830 (PARTS)</t>
  </si>
  <si>
    <t xml:space="preserve">EFEM ONLY with Yaskawa XURCM9206 robot</t>
  </si>
  <si>
    <t xml:space="preserve">-300 mm EFEM only for a KLA 2830
type: PHX DF 2.0
-feb 2010 vintage
-has dual 300 mm load ports fitted
-robot type is Yaskawa XURCM9206.R&lt;A&gt;
-PRE-ALIGNER ALSO INCLUDED.</t>
  </si>
  <si>
    <t xml:space="preserve">34162</t>
  </si>
  <si>
    <t xml:space="preserve">Convex Glass Plate </t>
  </si>
  <si>
    <t xml:space="preserve">34163</t>
  </si>
  <si>
    <t xml:space="preserve">two cables 7 brackets</t>
  </si>
  <si>
    <t xml:space="preserve">34164</t>
  </si>
  <si>
    <t xml:space="preserve">Misc Bracket</t>
  </si>
  <si>
    <t xml:space="preserve">34167</t>
  </si>
  <si>
    <t xml:space="preserve">Photomultiplier</t>
  </si>
  <si>
    <t xml:space="preserve">106106</t>
  </si>
  <si>
    <t xml:space="preserve">710-022400-01 D5</t>
  </si>
  <si>
    <t xml:space="preserve">Graphic Display Controller 1 PCB for KLA 2xx reticle inspection system</t>
  </si>
  <si>
    <t xml:space="preserve">PCB from a KLA 259 reticle inspection system. Removed from a working tool.</t>
  </si>
  <si>
    <t xml:space="preserve">106107</t>
  </si>
  <si>
    <t xml:space="preserve">710-023602-00 B</t>
  </si>
  <si>
    <t xml:space="preserve">Display System Trap, RF PCB for KLA 2xx reticle inspection system</t>
  </si>
  <si>
    <t xml:space="preserve">106108</t>
  </si>
  <si>
    <t xml:space="preserve">710-023256-00 C2</t>
  </si>
  <si>
    <t xml:space="preserve">P3 Data Input PCB for KLA 2xx reticle inspection system</t>
  </si>
  <si>
    <t xml:space="preserve">106109</t>
  </si>
  <si>
    <t xml:space="preserve">710-023141-00 </t>
  </si>
  <si>
    <t xml:space="preserve">Assy, Formatter p3 PCB for KLA 2xx reticle inspection system</t>
  </si>
  <si>
    <t xml:space="preserve">31614</t>
  </si>
  <si>
    <t xml:space="preserve">8100</t>
  </si>
  <si>
    <t xml:space="preserve">PICOAMP 11  P/N 720-02964-000</t>
  </si>
  <si>
    <t xml:space="preserve">Rigg Engineering Group SN 189-20S REV B SN 185-20S REV B</t>
  </si>
  <si>
    <t xml:space="preserve">106110</t>
  </si>
  <si>
    <t xml:space="preserve">710-028001-00 A1</t>
  </si>
  <si>
    <t xml:space="preserve">Image Memory PCB for KLA 2xx reticle inspection system  </t>
  </si>
  <si>
    <t xml:space="preserve">PCB from a KLA 259 reticle inspection system. Removed from a working tool.
REV A1 OPT 1</t>
  </si>
  <si>
    <t xml:space="preserve">31615</t>
  </si>
  <si>
    <t xml:space="preserve">8100 (Spares)</t>
  </si>
  <si>
    <t xml:space="preserve">wafer tabel for CD SEM P/N 731-09404-047 Rev 2</t>
  </si>
  <si>
    <t xml:space="preserve">wafer table for kla 8100 series CD SEM
DIAMETER 15 CM.
 KG. 0,3</t>
  </si>
  <si>
    <t xml:space="preserve">106111</t>
  </si>
  <si>
    <t xml:space="preserve">710-028014-01 E</t>
  </si>
  <si>
    <t xml:space="preserve">ADBA PCB for KLA 2xx reticle inspection system</t>
  </si>
  <si>
    <t xml:space="preserve">31616</t>
  </si>
  <si>
    <t xml:space="preserve">Plate Wafer P/N 731-08507-004</t>
  </si>
  <si>
    <t xml:space="preserve">106112</t>
  </si>
  <si>
    <t xml:space="preserve">Image Memory PCB for KLA 2xx reticle inspection system</t>
  </si>
  <si>
    <t xml:space="preserve">106113</t>
  </si>
  <si>
    <t xml:space="preserve">710-023596-00 C2</t>
  </si>
  <si>
    <t xml:space="preserve">Alignment Error Detector P3 RF PCB for KLA 2xx reticle inspection system</t>
  </si>
  <si>
    <t xml:space="preserve">31618</t>
  </si>
  <si>
    <t xml:space="preserve">Block, Pivot ,Keybd  P/N 740-03389-000</t>
  </si>
  <si>
    <t xml:space="preserve">106114</t>
  </si>
  <si>
    <t xml:space="preserve">108930</t>
  </si>
  <si>
    <t xml:space="preserve">Archer AIM Plus</t>
  </si>
  <si>
    <t xml:space="preserve">Overlay measurement System</t>
  </si>
  <si>
    <t xml:space="preserve">QTY 2 AVAILABLE.
HAVE BEEN RUNNING UNTIL OCTOBER 2022 IN THE FAB
Main System Main Unit 1 OK
Handler System GEN3 1 OK
Software Version 5.60.05.30200
Factory Interface FOUP 2 OK</t>
  </si>
  <si>
    <t xml:space="preserve">31619</t>
  </si>
  <si>
    <t xml:space="preserve">Bracket retainer keybd P/N 740-03390-000</t>
  </si>
  <si>
    <t xml:space="preserve">Qty 10 including screws, washers and nuts</t>
  </si>
  <si>
    <t xml:space="preserve">106115</t>
  </si>
  <si>
    <t xml:space="preserve">31620</t>
  </si>
  <si>
    <t xml:space="preserve">Interface cable set P/N 810-09072-002 REV A</t>
  </si>
  <si>
    <t xml:space="preserve">Inteface cable set for Robot, Ionpump, Vac Gauge ,stage etc Quantity 2 sets 
available</t>
  </si>
  <si>
    <t xml:space="preserve">106116</t>
  </si>
  <si>
    <t xml:space="preserve">710-039524-00 A</t>
  </si>
  <si>
    <t xml:space="preserve">AP 1 210 series PCB for KLA 2xx reticle inspection system</t>
  </si>
  <si>
    <t xml:space="preserve">31621</t>
  </si>
  <si>
    <t xml:space="preserve">MCA Module P/N 720-02847-000</t>
  </si>
  <si>
    <t xml:space="preserve">106117</t>
  </si>
  <si>
    <t xml:space="preserve">Image Memory PCB for KLA 2xx reticle inspection system </t>
  </si>
  <si>
    <t xml:space="preserve">108421</t>
  </si>
  <si>
    <t xml:space="preserve">eDR-5210</t>
  </si>
  <si>
    <t xml:space="preserve">31622</t>
  </si>
  <si>
    <t xml:space="preserve">P/N 740-05635-000 REV A</t>
  </si>
  <si>
    <t xml:space="preserve">106118</t>
  </si>
  <si>
    <t xml:space="preserve">710-028014-00 B3</t>
  </si>
  <si>
    <t xml:space="preserve">Image Memory Address PCB for KLA 2xx reticle inspection system</t>
  </si>
  <si>
    <t xml:space="preserve">31623</t>
  </si>
  <si>
    <t xml:space="preserve">T Piece P/N 471-07945-000</t>
  </si>
  <si>
    <t xml:space="preserve">106119</t>
  </si>
  <si>
    <t xml:space="preserve">31624</t>
  </si>
  <si>
    <t xml:space="preserve">Ground Strap P/N 810-04308-005</t>
  </si>
  <si>
    <t xml:space="preserve">106120</t>
  </si>
  <si>
    <t xml:space="preserve">710-037887-01 B</t>
  </si>
  <si>
    <t xml:space="preserve">BMMC M2A with RIA signal mod. PCB for KLA 2xx reticle inspection system</t>
  </si>
  <si>
    <t xml:space="preserve">108424</t>
  </si>
  <si>
    <t xml:space="preserve">eS805</t>
  </si>
  <si>
    <t xml:space="preserve">31625</t>
  </si>
  <si>
    <t xml:space="preserve">Ground Strap P/N 810-04308-004</t>
  </si>
  <si>
    <t xml:space="preserve">106121</t>
  </si>
  <si>
    <t xml:space="preserve">710-029767-00 REV D</t>
  </si>
  <si>
    <t xml:space="preserve">UPLL RF PCB for KLA 2xx reticle inspection system</t>
  </si>
  <si>
    <t xml:space="preserve">31626</t>
  </si>
  <si>
    <t xml:space="preserve">Bracket P/N 740-07893-000</t>
  </si>
  <si>
    <t xml:space="preserve">106122</t>
  </si>
  <si>
    <t xml:space="preserve">710-036420-00 XB</t>
  </si>
  <si>
    <t xml:space="preserve">Defect Concatenator 4 PCB -IAS compatible-newest version PCB for KLA 2xx reticle inspection system</t>
  </si>
  <si>
    <t xml:space="preserve">108426</t>
  </si>
  <si>
    <t xml:space="preserve">SM-300/SpectraMap</t>
  </si>
  <si>
    <t xml:space="preserve">Film Thickness Measurement System</t>
  </si>
  <si>
    <t xml:space="preserve">31627</t>
  </si>
  <si>
    <t xml:space="preserve">P/N 740-05728-000</t>
  </si>
  <si>
    <t xml:space="preserve">Bracket Lid Lift upper</t>
  </si>
  <si>
    <t xml:space="preserve">106123</t>
  </si>
  <si>
    <t xml:space="preserve">710-036380-00 C</t>
  </si>
  <si>
    <t xml:space="preserve">IAS parameter 2  PCB for KLA 2xx reticle inspection system</t>
  </si>
  <si>
    <t xml:space="preserve">31628</t>
  </si>
  <si>
    <t xml:space="preserve">P/N 740-07892-000 Rev A</t>
  </si>
  <si>
    <t xml:space="preserve">106124</t>
  </si>
  <si>
    <t xml:space="preserve">710-023279-00 H2</t>
  </si>
  <si>
    <t xml:space="preserve">04/16 level dump  PCB for KLA 2xx reticle inspection system</t>
  </si>
  <si>
    <t xml:space="preserve">PCB from a KLA 259 reticle inspection system. Removed from a working tool. 
Rev H2 Opt 1</t>
  </si>
  <si>
    <t xml:space="preserve">108428</t>
  </si>
  <si>
    <t xml:space="preserve">Surfscan 7700</t>
  </si>
  <si>
    <t xml:space="preserve">Particle Measurement</t>
  </si>
  <si>
    <t xml:space="preserve">31629</t>
  </si>
  <si>
    <t xml:space="preserve">Flex Pipe</t>
  </si>
  <si>
    <t xml:space="preserve">1" Dia by 20" Long</t>
  </si>
  <si>
    <t xml:space="preserve">106125</t>
  </si>
  <si>
    <t xml:space="preserve">710-040042-00 XB</t>
  </si>
  <si>
    <t xml:space="preserve">e-series detector, threshold 2x2 259 M2A  PCB for KLA 2xx reticle inspection system</t>
  </si>
  <si>
    <t xml:space="preserve">31630</t>
  </si>
  <si>
    <t xml:space="preserve">PCB  830-10172-000 Rev 3</t>
  </si>
  <si>
    <t xml:space="preserve">106126</t>
  </si>
  <si>
    <t xml:space="preserve">710-023455-00 XC</t>
  </si>
  <si>
    <t xml:space="preserve">e-series detector, compare, 21xe   PCB for KLA 2xx reticle inspection system</t>
  </si>
  <si>
    <t xml:space="preserve">108430</t>
  </si>
  <si>
    <t xml:space="preserve">TP300</t>
  </si>
  <si>
    <t xml:space="preserve">31631</t>
  </si>
  <si>
    <t xml:space="preserve">Bracket P/N 740-05415-000 Rev A</t>
  </si>
  <si>
    <t xml:space="preserve">106127</t>
  </si>
  <si>
    <t xml:space="preserve">710-029694-00 XF</t>
  </si>
  <si>
    <t xml:space="preserve">e-series detector,data 259 ROQ   PCB for KLA 2xx reticle inspection system</t>
  </si>
  <si>
    <t xml:space="preserve">108431</t>
  </si>
  <si>
    <t xml:space="preserve">VisEdge CV300R</t>
  </si>
  <si>
    <t xml:space="preserve">Edge Defect</t>
  </si>
  <si>
    <t xml:space="preserve">31632</t>
  </si>
  <si>
    <t xml:space="preserve">Festo PU-3 Duo air Pipe</t>
  </si>
  <si>
    <t xml:space="preserve">106128</t>
  </si>
  <si>
    <t xml:space="preserve">31633</t>
  </si>
  <si>
    <t xml:space="preserve">Plastic Disc </t>
  </si>
  <si>
    <t xml:space="preserve">61/2" DIA</t>
  </si>
  <si>
    <t xml:space="preserve">106129</t>
  </si>
  <si>
    <t xml:space="preserve">710-039924-00 A1</t>
  </si>
  <si>
    <t xml:space="preserve">SERVO DRIVE 3 IV  PCB for KLA 2xx reticle inspection system</t>
  </si>
  <si>
    <t xml:space="preserve">106130</t>
  </si>
  <si>
    <t xml:space="preserve">710-028287-01 G1</t>
  </si>
  <si>
    <t xml:space="preserve">servo 4 II    PCB for KLA 2xx reticle inspection system</t>
  </si>
  <si>
    <t xml:space="preserve">106131</t>
  </si>
  <si>
    <t xml:space="preserve">710-023599-01 B1</t>
  </si>
  <si>
    <t xml:space="preserve">Computer IF (RF)    PCB for KLA 2xx reticle inspection system</t>
  </si>
  <si>
    <t xml:space="preserve">106132</t>
  </si>
  <si>
    <t xml:space="preserve">710-037718-00 C</t>
  </si>
  <si>
    <t xml:space="preserve">SBC 3.5 inch floppy   PCB for KLA 2xx reticle inspection system</t>
  </si>
  <si>
    <t xml:space="preserve">106133</t>
  </si>
  <si>
    <t xml:space="preserve">710-023273-00 C</t>
  </si>
  <si>
    <t xml:space="preserve">512 K ram, 210 series  PCB for KLA 2xx reticle inspection system</t>
  </si>
  <si>
    <t xml:space="preserve">106134</t>
  </si>
  <si>
    <t xml:space="preserve">710-037717-00 A</t>
  </si>
  <si>
    <t xml:space="preserve">FDD controller, 3.5 inch  PCB for KLA 2xx reticle inspection system</t>
  </si>
  <si>
    <t xml:space="preserve">106135</t>
  </si>
  <si>
    <t xml:space="preserve">710-029924-00 REV F</t>
  </si>
  <si>
    <t xml:space="preserve">Preprocessor 1 (RF)  PCB for KLA 2xx reticle inspection system</t>
  </si>
  <si>
    <t xml:space="preserve">PCB from a KLA 259 reticle inspection system. Removed from a working tool.
QTY 2 AVAILABLE. REV F OPT 1</t>
  </si>
  <si>
    <t xml:space="preserve">106136</t>
  </si>
  <si>
    <t xml:space="preserve">710-029927-00 REV E</t>
  </si>
  <si>
    <t xml:space="preserve">Preprocessor 2 (RF)  PCB for KLA 2xx reticle inspection system</t>
  </si>
  <si>
    <t xml:space="preserve">PCB from a KLA 259 reticle inspection system. Removed from a working tool.
QTY 2 AVAILABLE</t>
  </si>
  <si>
    <t xml:space="preserve">106137</t>
  </si>
  <si>
    <t xml:space="preserve">710-037889-00 Rev XA</t>
  </si>
  <si>
    <t xml:space="preserve">Preprocessor I/O  PCB for KLA 2xx reticle inspection system</t>
  </si>
  <si>
    <t xml:space="preserve">PCB from a KLA 259 reticle inspection system. Removed from a working tool.
rev xa opt 1</t>
  </si>
  <si>
    <t xml:space="preserve">106138</t>
  </si>
  <si>
    <t xml:space="preserve">710-036106-00 REV D</t>
  </si>
  <si>
    <t xml:space="preserve">Defect Highlighting Control 3  PCB for KLA 2xx reticle inspection system</t>
  </si>
  <si>
    <t xml:space="preserve">PCB from a KLA 259 reticle inspection system. Removed from a working tool.
REV D OPT 1</t>
  </si>
  <si>
    <t xml:space="preserve">27803</t>
  </si>
  <si>
    <t xml:space="preserve">KLA 8100 SEM Part 740-03565-000</t>
  </si>
  <si>
    <t xml:space="preserve">Quantity 5 Available</t>
  </si>
  <si>
    <t xml:space="preserve">27804</t>
  </si>
  <si>
    <t xml:space="preserve">Defect Highlighting PC</t>
  </si>
  <si>
    <t xml:space="preserve">Defect Highlighting PC for KLA 2xx reticle inspection system</t>
  </si>
  <si>
    <t xml:space="preserve">1.2 MB Floppy Disk Drive AST VGA Plus-4 MB Ram Voltage:115
486-33E Model 5V
In working condition.
The defect highlighting PC was an upgrade which was applied to KLA 2xx 
reticle inspection systems. It can be applied to any e-series tools, by 
adding in this PC, and the defect highlighting board which goes into the 
card cage.</t>
  </si>
  <si>
    <t xml:space="preserve">106140</t>
  </si>
  <si>
    <t xml:space="preserve">710-037699-00 XA1</t>
  </si>
  <si>
    <t xml:space="preserve">gain/offset testpoint board  PCB for KLA 2xx reticle inspection system</t>
  </si>
  <si>
    <t xml:space="preserve">31645</t>
  </si>
  <si>
    <t xml:space="preserve">259 (Spares)</t>
  </si>
  <si>
    <t xml:space="preserve">Set of 2 Objectives and 2 illuminator lenses for KLA 259 reticle inspection system</t>
  </si>
  <si>
    <t xml:space="preserve">This sales items consists of the following parts:-
Set of 2 Objectives and 2 illuminator lenses for KLA 259 reticle inspection 
system. Removed from a working tool. Long Working Distance .</t>
  </si>
  <si>
    <t xml:space="preserve">106141</t>
  </si>
  <si>
    <t xml:space="preserve">710-102570-02 Rev 1</t>
  </si>
  <si>
    <t xml:space="preserve">Autofocus Pre-Amplifier PCB  PCB for KLA 2xx reticle inspection system</t>
  </si>
  <si>
    <t xml:space="preserve">106142</t>
  </si>
  <si>
    <t xml:space="preserve">210e and 259 (Spares)</t>
  </si>
  <si>
    <t xml:space="preserve">Encoders, 2500 LPI  for KLA 2xx reticle inspection system</t>
  </si>
  <si>
    <t xml:space="preserve">Encoders from a KLA 259 reticle inspection system. Removed from a working 
tool.</t>
  </si>
  <si>
    <t xml:space="preserve">27807</t>
  </si>
  <si>
    <t xml:space="preserve">720-05887-000</t>
  </si>
  <si>
    <t xml:space="preserve">MCP Detector Control Chassis </t>
  </si>
  <si>
    <t xml:space="preserve">Quantity 3 available SN:085-41S SN:075-41S SN:094-419</t>
  </si>
  <si>
    <t xml:space="preserve">106143</t>
  </si>
  <si>
    <t xml:space="preserve">740-064388-000</t>
  </si>
  <si>
    <t xml:space="preserve">RETICLE TRANSFER SYSTEM FOR 5 AND 6 INCH PHOTOMASKS</t>
  </si>
  <si>
    <t xml:space="preserve">5 INCH/6 INCH</t>
  </si>
  <si>
    <t xml:space="preserve">IN WORKING CONDITION
REFER TO ATTACHED PHOTOS FOR DETAILS</t>
  </si>
  <si>
    <t xml:space="preserve">27809</t>
  </si>
  <si>
    <t xml:space="preserve">259 (spares)</t>
  </si>
  <si>
    <t xml:space="preserve">Trinocular Microscope Head for KLA 2xx reticle inspection system</t>
  </si>
  <si>
    <t xml:space="preserve">Microscope Head Assembly 10x/20L Eye Pieces
Parts
655-037648-00 Rev XA
655-03737-00 Rev XA
655-037138-00 Rev XD ORH</t>
  </si>
  <si>
    <t xml:space="preserve">106146</t>
  </si>
  <si>
    <t xml:space="preserve">740-210171-00 ORH</t>
  </si>
  <si>
    <t xml:space="preserve">Reticle holder, for 5 inch 090 Masks, Left handed for KLA 2xx reticle inspection system</t>
  </si>
  <si>
    <t xml:space="preserve">83635</t>
  </si>
  <si>
    <t xml:space="preserve">712-023914-00 rev B</t>
  </si>
  <si>
    <t xml:space="preserve">CCD TV camera for KLA 2XX reticle inspection system</t>
  </si>
  <si>
    <t xml:space="preserve">Optical CCD-TV Camera for use with KLA-Tencor 2xx reticle inspection 
systems
TC7005 C
S N 103487
12 VDC
CONNECT TO CLASS 2
SUPPLY ONLY
BURLE SECURITY PRODUCTS
WEIGHT : 1 KG. ca
DIMENSION: 20CM. X 12 CM. X 7 CM. (H)</t>
  </si>
  <si>
    <t xml:space="preserve">108989</t>
  </si>
  <si>
    <t xml:space="preserve">710-661729-00 CD0</t>
  </si>
  <si>
    <t xml:space="preserve">S.A.T. RANDOM DEFECT PROCESSOR PCB FOR KLA 21XX</t>
  </si>
  <si>
    <t xml:space="preserve">REMOVED FROM A WORKING TOOL.
LOCATED IN AVEZZANO 67051 ITALY
MODS ESS EUT
SEE PHOTOS FOR DETAILS</t>
  </si>
  <si>
    <t xml:space="preserve">4288</t>
  </si>
  <si>
    <t xml:space="preserve">710-101836-02 REV D</t>
  </si>
  <si>
    <t xml:space="preserve">AUTOFOCUS II POWER AMP</t>
  </si>
  <si>
    <t xml:space="preserve">4289</t>
  </si>
  <si>
    <t xml:space="preserve">710-102570-02</t>
  </si>
  <si>
    <t xml:space="preserve">AUTOFOCUS PRE-AMPLIFIER</t>
  </si>
  <si>
    <t xml:space="preserve">4290</t>
  </si>
  <si>
    <t xml:space="preserve">VLSI 845</t>
  </si>
  <si>
    <t xml:space="preserve">DUPONT VERIMASK for KLA 2xx reticle inspection system</t>
  </si>
  <si>
    <t xml:space="preserve">MASTER, USED, SOME DEFECTS , NOT PELLICALIZED, NO WORKSHEET
This test reticle has programmed defects, and is used for testing the 
sensitivity of KLA 210e series , 239 and 259 mask inspection systems.
This mask is not pellicalized, and it has been stored outside of a 
cleanroom. Hence, it will need to be cleaned before use in order to reduce 
the number of defects.</t>
  </si>
  <si>
    <t xml:space="preserve">1736</t>
  </si>
  <si>
    <t xml:space="preserve">710-101836-02</t>
  </si>
  <si>
    <t xml:space="preserve">AUTOFOCUS 2  HV PCB for KLA 2xx reticle inspection system</t>
  </si>
  <si>
    <t xml:space="preserve">Autofocus HV PCB</t>
  </si>
  <si>
    <t xml:space="preserve">106189</t>
  </si>
  <si>
    <t xml:space="preserve">AIRLOCK ASSEMBLY PCB</t>
  </si>
  <si>
    <t xml:space="preserve">FROM KLA 5XXX OVERLAY MEASUREMENT SYSTEM.
OTHER PART NUMBER WRITTEN ON BOARD:
710-401320-001B
DEINSTALLED FROM WORKING CONDITION</t>
  </si>
  <si>
    <t xml:space="preserve">106191</t>
  </si>
  <si>
    <t xml:space="preserve">900-01003-120</t>
  </si>
  <si>
    <t xml:space="preserve">Assy. Software System 8xxx V3.1.2</t>
  </si>
  <si>
    <t xml:space="preserve">Operation manual for KLA 8xxx CD SEM, for s/w version V3.1.2</t>
  </si>
  <si>
    <t xml:space="preserve">106968</t>
  </si>
  <si>
    <t xml:space="preserve">SP2 (spare parts)</t>
  </si>
  <si>
    <t xml:space="preserve">Complete set of calibration standard wafers for a KLA SP2</t>
  </si>
  <si>
    <t xml:space="preserve">Available for immediate purchase.
The following set of newly manufactured 8 inch calibration wafers.
8" wafer particle, silica
90 nm full coverage
Particle count 16,000 +/- 4800
Spot size (mm) 200 +/- 40
8" wafer particle, silica
300 nm full coverage
Particle count 16,000 +/- 4800
Spot size (mm) 200 +/- 40
8" wafer particle, silica
300 nm full coverage
Particle count 16,000 +/- 4800
Spot size (mm) 200 +/- 40
8" wafer particle, silica, 8 spot depositions
32nm, 40nm, 50nm, 60nm, 70nm,80nm, 90nm, 100nm
Particle count  2,000 +/ 600
Spot size (mm) 25 +/- 5</t>
  </si>
  <si>
    <t xml:space="preserve">109537</t>
  </si>
  <si>
    <t xml:space="preserve">2351</t>
  </si>
  <si>
    <t xml:space="preserve">Brightfield Wafer Defect Inspection System</t>
  </si>
  <si>
    <t xml:space="preserve">-CE Marked
-TUV EMV/EMC certified
-Known broken parts:-
-MAC Board Bad
-1 x SBD board missing
-Still installed  
-Available immediately  
-Still running production
-Set up for 200 mm wafer use
-Fitted with open cassette loading fab interface.
Configuration and installed options:-
-Windows 2000 based Operating System
-Modular Inspection Station
-Modular handler
-200 mm (8”) wafer set up.
-Dual Open cassette loading
-800 MPPS Image Computer
-BB Visible Pixels Installed: 0.62 um, 0.39 um, and 0.25 um
-BB/I-Line/G-Line UV Pixels Installed: 0.20 um and 0.16 um
-Array and Random Modes
-Edge ContrastTM
-Segmented Auto Threshold (SAT)
-Smart Review
-AutoSAT
-Wafer Inspection Sensitivity Enhancer (WISETM)
-Low Contact Chuck
-Integrated ULPA Filter
Data Transfer:
-Floppy Disk
-CD-RW
-Ethernet
-Wafer Pre-Aligner
-Network Communication
-User Interface
-iADC
-High Mag Review Optics
-High Resolution Review Camera
-Defect Clustering and Review Sampling
-Secondary Threshold/Mass Memory Edge Die
-Earthquake Restraint
-Operations/Users Manual - Clean Room (1)
-Power Line Conditioner
-Remote Power EMO
-Mounting: Bulkhead</t>
  </si>
  <si>
    <t xml:space="preserve">108775</t>
  </si>
  <si>
    <t xml:space="preserve">AlphaStep 300</t>
  </si>
  <si>
    <t xml:space="preserve">Profilometer</t>
  </si>
  <si>
    <t xml:space="preserve">    *  Mfg: 4/92
    * ±10 mm Scan Length
    * 2 to 250 µm/sec Scan Speed
    * 50/sec nominal Sampling Rate
    * Vertical Resolution
    * 1Å Resolution ±6.5 µm
          o 25Å Resolution ±150µm
    * 1.0-100 mg Stylus Programmable Force Range
    * 0.1 mg Stylus Programmable Force Resolution
    * 210 mm X, Y Maximum Travel
    * 254 x 254 mm Maximum Sample Size</t>
  </si>
  <si>
    <t xml:space="preserve">108009</t>
  </si>
  <si>
    <t xml:space="preserve">Wafer Film measurement / Ellipsometer</t>
  </si>
  <si>
    <t xml:space="preserve">-Currently deinstalled and warehoused, and can be inspected by appointment
-Configured with 2 x open wafer cassette loading plates
-Missing some optical parts
-Sold "as is".
-See the attached photos for details</t>
  </si>
  <si>
    <t xml:space="preserve">84216</t>
  </si>
  <si>
    <t xml:space="preserve">740-100360-00 ORH</t>
  </si>
  <si>
    <t xml:space="preserve">Mask Holder for 250 Mil x 6 inch masks for KLA 2xx reticle inspection system</t>
  </si>
  <si>
    <t xml:space="preserve">KLA   ORH 740-100360-00
         ORH 250 MIL 6.OX.250
WEIGHT: 600 GR.
DIMENSION: 28 X 24 X 2 (H)</t>
  </si>
  <si>
    <t xml:space="preserve">84218</t>
  </si>
  <si>
    <t xml:space="preserve">740-100059-00 GWH</t>
  </si>
  <si>
    <t xml:space="preserve">Glass Wafer Holder, 250-150 mm P1, for KLA 2xx reticle inspection system</t>
  </si>
  <si>
    <t xml:space="preserve">KLA   ORH 740-100059-00
         ORH 250 -150mm PI
WEIGHT: 700 GR.
DIMENSION: 29 X 23,5 X 2 (H)
WEIGHT:950 GR.
DIMENSION: 29,5 X 22,5 X 2,5 (H)</t>
  </si>
  <si>
    <t xml:space="preserve">109562</t>
  </si>
  <si>
    <t xml:space="preserve">2367</t>
  </si>
  <si>
    <t xml:space="preserve">Brightfield wafer defect inspection system</t>
  </si>
  <si>
    <t xml:space="preserve">-Install Type: Stand-Alone
-Please refer to the attached photos to see the details of the tool's 
current condition.
The 2367 UV/visible brightfield inspection system will allow you to see 
many types of yield-relevant defects down to the 65nm level.
Throughput is much improved, so you can sample more defects which occur 
during production.
Data rate is increased by 2x over previous generation brightfield tools.
Low false defects and automatic defect classification algorithms reduce 
time for SEM review and so allow you to do corrective actions quicker.
Buy doing a UV/DUV mix-and-match strategy with another 28xx inspection 
system maximises efficiency.
Connects with other KLA-Tencor inspectors and review tools optimize 
inspector capacity; reduce production integration time; and enable faster, 
more accurate inspection recipe setup on the SEM
Process Window Qualification application enables detection of systematic 
defects
Typical Uses:
Critical Pattern Layers (≥65nm): High resolution and noise-suppression 
technologies produce sensitivity to critical patterning defects, including: 
lithography CD variations and missing contacts; gate etch stringers; STI 
voids; and copper CMP corrosion.
Photo Cell Monitoring (PCM): Using the 2367 with optimized test wafers, PCM 
accelerates learning on lithography processes, helping you to quickly find 
and eliminate lithography-related micro defects.
After-Develop Inspection (ADI): The 2367 minimizes process-induced noise on 
photo product wafers, enabling the detection of yield-limiting defects, 
such as poisoned photoresists, micro-bridges, and resist bubbles.
PWQ: The Process Window Qualification (PWQ) application identifies printed 
reticle design errors, enabling lithographers to qualify the process window 
for their designs prior to production.
</t>
  </si>
  <si>
    <t xml:space="preserve">86672</t>
  </si>
  <si>
    <t xml:space="preserve">KLA  Tencor</t>
  </si>
  <si>
    <t xml:space="preserve">710-661729-00</t>
  </si>
  <si>
    <t xml:space="preserve">PC Board, KLA 21XX</t>
  </si>
  <si>
    <t xml:space="preserve">95117</t>
  </si>
  <si>
    <t xml:space="preserve">KLA - Tencor</t>
  </si>
  <si>
    <t xml:space="preserve">259</t>
  </si>
  <si>
    <t xml:space="preserve">Image Digitizer Assembly</t>
  </si>
  <si>
    <t xml:space="preserve">Quantity 2. 
This image digitizer assembly has one left side and 1 right side 
assembly.The KLA 259 has a pixel size of 0.25. Please refer to the attached 
photos for details.
Right-hand image digitizer assembly, consisting of:-
S/N 107
Sensor Support PCB 710-029898-00 REV XE
Channel Digitizer PCB 710-29903-00 Rev XG Opt 1
Channel Digitizer PCB 710-29903-00 Rev XH
Channel Digitizer PCB 710-29903-00 Rev XG
Channel Digitizer PCB 710-29903-00 Rev XH
Mechanical mounting Assembly, consisting of:-
655-022207-00 Rev E
655-022208-00 Rev B1
655-022209-00 Rev B
655-022211-00 Rev B1
Left-hand image digitizer assembly, consisting of:-
S/N 148
Sensor Support PCB 710-029898-00 REV XE
Channel Digitizer PCB 710-29903-00 Rev XH
Channel Digitizer PCB 710-29903-00 Rev XH
Channel Digitizer PCB 710-29903-00 Rev XH
Channel Digitizer PCB 710-29903-00 Rev XH
Mechanical mounting Assembly, consisting of:-
655-022207-00 Rev E
655-022208-00 Rev B1
655-022209-00 Rev B
655-022211-00 Rev B1
WEIGHT 4.5 KG DIMS 30 CM X 40 CM X 34 CM (H)</t>
  </si>
  <si>
    <t xml:space="preserve">34117</t>
  </si>
  <si>
    <t xml:space="preserve">KLA -TENCOR</t>
  </si>
  <si>
    <t xml:space="preserve">CASSETTE PLATE + PCB  8"</t>
  </si>
  <si>
    <t xml:space="preserve">SBC
CASSETTE PLATE + PCB  8
</t>
  </si>
  <si>
    <t xml:space="preserve">34126</t>
  </si>
  <si>
    <t xml:space="preserve">KLA -Tencor</t>
  </si>
  <si>
    <t xml:space="preserve">7700m (Spares)</t>
  </si>
  <si>
    <t xml:space="preserve">Mirror Curved</t>
  </si>
  <si>
    <t xml:space="preserve">34137</t>
  </si>
  <si>
    <t xml:space="preserve">p/n 199958 Rev F PCB PSF Driver SFS75 </t>
  </si>
  <si>
    <t xml:space="preserve">Tencor p/n 199958 Rev F
PCB PSF Driver SFS75 </t>
  </si>
  <si>
    <t xml:space="preserve">83562</t>
  </si>
  <si>
    <t xml:space="preserve">7700M (Spares)</t>
  </si>
  <si>
    <t xml:space="preserve">CONCAVE MIRROR 201969 - Optical part from KLA 7700M Surfscan</t>
  </si>
  <si>
    <t xml:space="preserve">83624</t>
  </si>
  <si>
    <t xml:space="preserve">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</si>
  <si>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</si>
  <si>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 xml:space="preserve">108075</t>
  </si>
  <si>
    <t xml:space="preserve">KLA Tencor</t>
  </si>
  <si>
    <t xml:space="preserve">Wafer Defect Inspection</t>
  </si>
  <si>
    <t xml:space="preserve">106574</t>
  </si>
  <si>
    <t xml:space="preserve">KLA TENCOR </t>
  </si>
  <si>
    <t xml:space="preserve">SEM-3800C</t>
  </si>
  <si>
    <t xml:space="preserve">34140</t>
  </si>
  <si>
    <t xml:space="preserve">KLA TENCOR</t>
  </si>
  <si>
    <t xml:space="preserve">7700M</t>
  </si>
  <si>
    <t xml:space="preserve">COMPUTER HARD DISK</t>
  </si>
  <si>
    <t xml:space="preserve">FORMATTED DOC 6.22 AS FOLLOWS:
CYL HD PRE  LZ  SEC  SIZE
1024  16  -1  1024  63  504MB
WEIGHT: GR700
DIMENSION:28 CM. X 17 CM. X 4 CM.(H)</t>
  </si>
  <si>
    <t xml:space="preserve">83555</t>
  </si>
  <si>
    <t xml:space="preserve">720-05721000</t>
  </si>
  <si>
    <t xml:space="preserve">CONTROL CHASSIS FOR KLA 8100 Column Control Chassis</t>
  </si>
  <si>
    <t xml:space="preserve">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</si>
  <si>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 xml:space="preserve">83572</t>
  </si>
  <si>
    <t xml:space="preserve">MCP DETECTOR CONTROL CHASSIS</t>
  </si>
  <si>
    <t xml:space="preserve">MCP DETECTOR CONTROL CHASSIS
150 WATTS
WEIGHT 13 KG.
DIMENSIONS:43CM X 41CM X 14CM (H)
</t>
  </si>
  <si>
    <t xml:space="preserve">83574</t>
  </si>
  <si>
    <t xml:space="preserve">150 WATTS</t>
  </si>
  <si>
    <t xml:space="preserve">MCP DETECTOR CONTROL CHASSIS
150 WATTS
TEST BAD CABLE
WEIGHT 13 KG.
DIMENSIONS:43CM X 41CM X 14CM (H)
</t>
  </si>
  <si>
    <t xml:space="preserve">83577</t>
  </si>
  <si>
    <t xml:space="preserve">7700 M</t>
  </si>
  <si>
    <t xml:space="preserve">MODEL 2214-30SLOTT</t>
  </si>
  <si>
    <t xml:space="preserve">D1,D2,D3</t>
  </si>
  <si>
    <t xml:space="preserve">MODEL 2214-30SLOTT
PAT NO.4.625.317
UNIPHASE
163 BAYPOINTE PKWY
SAN JOSE-CA 951134
WEIGHT 7 KG.
DIMENSION: CM 46 X 31 CM X 18 CM. (H)
</t>
  </si>
  <si>
    <t xml:space="preserve">31612</t>
  </si>
  <si>
    <t xml:space="preserve">PART 740 05584 000 C   CONNECTOR INTERFACE</t>
  </si>
  <si>
    <t xml:space="preserve">CONNECTOR INTERFACE</t>
  </si>
  <si>
    <t xml:space="preserve">83581</t>
  </si>
  <si>
    <t xml:space="preserve">720-05888-000</t>
  </si>
  <si>
    <t xml:space="preserve">TFE GUN CONTROLLER CHASSIS</t>
  </si>
  <si>
    <t xml:space="preserve">230 WATTS</t>
  </si>
  <si>
    <t xml:space="preserve">TFE GUN CONTROLLER CHASSIS
230 WATTS
WEIGHT 14 KG.
DIMENSIONS:50CM X 41CM X 14CM (H)
</t>
  </si>
  <si>
    <t xml:space="preserve">108165</t>
  </si>
  <si>
    <t xml:space="preserve">Surfscan 7200</t>
  </si>
  <si>
    <t xml:space="preserve">Surfscan wafer particle detection</t>
  </si>
  <si>
    <t xml:space="preserve">108166</t>
  </si>
  <si>
    <t xml:space="preserve">83614</t>
  </si>
  <si>
    <t xml:space="preserve">HA-200</t>
  </si>
  <si>
    <t xml:space="preserve">RADIATION POWER SYSTEMS INC. Mercury Lamp psu FOR KLA 2XX reticle inspection systems</t>
  </si>
  <si>
    <t xml:space="preserve">Power supply for mercury arc light source of KLA-Tencor 2xx reticle 
inspection system
-Used
-In working condition
KLA HA-200
TOTAL HOURS: 84467
WEIGHT: 16 KG.
DIMENSION: 40 CM. X 32 CM. X 16 CM.(H)</t>
  </si>
  <si>
    <t xml:space="preserve">27808</t>
  </si>
  <si>
    <t xml:space="preserve">720-07335-000</t>
  </si>
  <si>
    <t xml:space="preserve">ADVANTECH COMPUTER ICP-6751 FOR KLA 81XX CD SEM</t>
  </si>
  <si>
    <t xml:space="preserve">ADVANTECH COMPUTER ICP-6751
FOR KLA 8100 CD SEM</t>
  </si>
  <si>
    <t xml:space="preserve">21670</t>
  </si>
  <si>
    <t xml:space="preserve">213780 REV C</t>
  </si>
  <si>
    <t xml:space="preserve">PCB PFE 4K MASK ASSY SFS 7500</t>
  </si>
  <si>
    <t xml:space="preserve">PCB PFE 4K MASK ASSY SFS 7500 30 day return warranty</t>
  </si>
  <si>
    <t xml:space="preserve">21671</t>
  </si>
  <si>
    <t xml:space="preserve">244143 REV B</t>
  </si>
  <si>
    <t xml:space="preserve">PCB ADC PFE I/F 576 ASSY</t>
  </si>
  <si>
    <t xml:space="preserve">PCB ADC PFE I/F 576 ASSY FOR SURFSCAN 7700 SERIES 30 day return warranty</t>
  </si>
  <si>
    <t xml:space="preserve">106674</t>
  </si>
  <si>
    <t xml:space="preserve">Viper 2430</t>
  </si>
  <si>
    <t xml:space="preserve">Macro Defect Inspection</t>
  </si>
  <si>
    <t xml:space="preserve">Deinstalled, warehoused. Can be inspected by appointment.</t>
  </si>
  <si>
    <t xml:space="preserve">106675</t>
  </si>
  <si>
    <t xml:space="preserve">Viper 2435</t>
  </si>
  <si>
    <t xml:space="preserve">106676</t>
  </si>
  <si>
    <t xml:space="preserve">Viper 2435XP</t>
  </si>
  <si>
    <t xml:space="preserve">106677</t>
  </si>
  <si>
    <t xml:space="preserve">CI T1X0</t>
  </si>
  <si>
    <t xml:space="preserve">package inspection system</t>
  </si>
  <si>
    <t xml:space="preserve">106678</t>
  </si>
  <si>
    <t xml:space="preserve">83895</t>
  </si>
  <si>
    <t xml:space="preserve">PIN DIODE PRE AMP PCB</t>
  </si>
  <si>
    <t xml:space="preserve">PIN DIODE PRE AMP
KLA 7700
REV. C
WEIGHT: GR.150
DIMENSION:12 CM. X 5,5 CM. X 3,5 CM.(H)</t>
  </si>
  <si>
    <t xml:space="preserve">106679</t>
  </si>
  <si>
    <t xml:space="preserve">2132 (mainbody only)</t>
  </si>
  <si>
    <t xml:space="preserve">Wafer Inspection System</t>
  </si>
  <si>
    <t xml:space="preserve">106681</t>
  </si>
  <si>
    <t xml:space="preserve">P-2 </t>
  </si>
  <si>
    <t xml:space="preserve">Profileometer</t>
  </si>
  <si>
    <t xml:space="preserve">83898</t>
  </si>
  <si>
    <t xml:space="preserve">Optical sub-assembly</t>
  </si>
  <si>
    <t xml:space="preserve">see photos for details.
WEIGHT: GR.200
DIMENSION:11 CM. X 12 CM. X 4,4 CM.(H)</t>
  </si>
  <si>
    <t xml:space="preserve">83899</t>
  </si>
  <si>
    <t xml:space="preserve">Lens assembly</t>
  </si>
  <si>
    <t xml:space="preserve">WEIGHT: KG.1,5
DIMENSION:22,5 CM. X 3 CM. X 15,5 CM.(H)
</t>
  </si>
  <si>
    <t xml:space="preserve">83900</t>
  </si>
  <si>
    <t xml:space="preserve">Mechanical part</t>
  </si>
  <si>
    <t xml:space="preserve">WEIGHT: GR.100
DIMENSION:10 CM. X 7,5 CM. X 1 CM.(H)</t>
  </si>
  <si>
    <t xml:space="preserve">32230</t>
  </si>
  <si>
    <t xml:space="preserve">SFS6400 MECHANICAL CALIBRATION Document Number 238</t>
  </si>
  <si>
    <t xml:space="preserve">WAFERSURFACE ANALYSIS SYSTEM CUSTOMER MAINTENANCE REFERENCE</t>
  </si>
  <si>
    <t xml:space="preserve">File Name:MECHCUS.DOC Revision Date:06/01/95 PRODUCT SERVICES TECHNICAL 
SUPPORT Revision Level:A Page 1 of 44 ON CLEANROOM PAPER</t>
  </si>
  <si>
    <t xml:space="preserve">32231</t>
  </si>
  <si>
    <t xml:space="preserve">Surfscan 64X0 Calibration Procedure</t>
  </si>
  <si>
    <t xml:space="preserve">STANDARD OPERATING PROCEEDURE #537268 Revision Date:1/9/02 Revision:E Page 
1of 79 On cleanroom paper</t>
  </si>
  <si>
    <t xml:space="preserve">32232</t>
  </si>
  <si>
    <t xml:space="preserve">surfscan 64XX optical alignments Document Number 236</t>
  </si>
  <si>
    <t xml:space="preserve">WAFER SURFACE ANALYSIS SYSTEM MAINTENANCE REFERENCE</t>
  </si>
  <si>
    <t xml:space="preserve">File Name:64x0 Optics-doc236 Revision Date:1/10/2002 PRODUCT SERVICES 
TECHNICAL SUPPORT Revision Level:B Page 1 of 47 On cleanroom paper</t>
  </si>
  <si>
    <t xml:space="preserve">32233</t>
  </si>
  <si>
    <t xml:space="preserve">SFS6x00 MECHANICAL CALIBRATION Document number 200</t>
  </si>
  <si>
    <t xml:space="preserve">File Name:Mechanical doc 200.dot Revision date:05/11/98 PRODUCT SERVICES 
TECHNICAL SUPPORT Revision Lavel:C Page 1 of 93</t>
  </si>
  <si>
    <t xml:space="preserve">106481</t>
  </si>
  <si>
    <t xml:space="preserve">AIT I</t>
  </si>
  <si>
    <t xml:space="preserve">Patterned Surface Inspection System </t>
  </si>
  <si>
    <t xml:space="preserve">27801</t>
  </si>
  <si>
    <t xml:space="preserve">KLA- TENCOR</t>
  </si>
  <si>
    <t xml:space="preserve">720-05721-000</t>
  </si>
  <si>
    <t xml:space="preserve">Column Control Chasis for KLA 8100 cd sem</t>
  </si>
  <si>
    <t xml:space="preserve">Quantity 3 Available</t>
  </si>
  <si>
    <t xml:space="preserve">34149</t>
  </si>
  <si>
    <t xml:space="preserve">KLA-TENCOR	 	</t>
  </si>
  <si>
    <t xml:space="preserve">242163 Rev B  PCB  ADC-PFE Interface S76</t>
  </si>
  <si>
    <t xml:space="preserve">PCB FOR KLA 7700M</t>
  </si>
  <si>
    <t xml:space="preserve">34116</t>
  </si>
  <si>
    <t xml:space="preserve">Kla-Tencor 	</t>
  </si>
  <si>
    <t xml:space="preserve">AIT 1</t>
  </si>
  <si>
    <t xml:space="preserve">Network Card PCB</t>
  </si>
  <si>
    <t xml:space="preserve">KLA AIT 1 Network Card
SMC ISA 83C790QF P</t>
  </si>
  <si>
    <t xml:space="preserve">84411</t>
  </si>
  <si>
    <t xml:space="preserve">KLA-Tencor 	</t>
  </si>
  <si>
    <t xml:space="preserve">Electro-optical assembly for KLA Surfscan 7600 and 7700</t>
  </si>
  <si>
    <t xml:space="preserve">PART OF KLA-TENCOR 7700M
WEIGHT: KG. 1,4
DIMENSION: 25 X 20 X 14 (H)</t>
  </si>
  <si>
    <t xml:space="preserve">109059</t>
  </si>
  <si>
    <t xml:space="preserve">KLA-Tencor</t>
  </si>
  <si>
    <t xml:space="preserve">289825A</t>
  </si>
  <si>
    <t xml:space="preserve">Sony XC-711 Video Camera and cable set</t>
  </si>
  <si>
    <t xml:space="preserve">Removed from a working KLA 7700 M particle detection system.
With the interconnection cables.</t>
  </si>
  <si>
    <t xml:space="preserve">109598</t>
  </si>
  <si>
    <t xml:space="preserve">Surfscan 5500</t>
  </si>
  <si>
    <t xml:space="preserve">Wafer Particle Detection</t>
  </si>
  <si>
    <t xml:space="preserve">109601</t>
  </si>
  <si>
    <t xml:space="preserve">P15XP</t>
  </si>
  <si>
    <t xml:space="preserve">Surface Profiler (Upgraded from a P10)</t>
  </si>
  <si>
    <t xml:space="preserve">Deinstalled, warehoused. To be sold Refurbished</t>
  </si>
  <si>
    <t xml:space="preserve">103206</t>
  </si>
  <si>
    <t xml:space="preserve">5xxx Spare Part</t>
  </si>
  <si>
    <t xml:space="preserve">LH Research Mighty Mite 500w Power Supply for KLA 5xxx Overlay Measurement System</t>
  </si>
  <si>
    <t xml:space="preserve">USED PART, REMOVED FROM A WORKING SYSTEM
LH p/n 851391-101</t>
  </si>
  <si>
    <t xml:space="preserve">91435</t>
  </si>
  <si>
    <t xml:space="preserve">AIT</t>
  </si>
  <si>
    <t xml:space="preserve">Particle Review</t>
  </si>
  <si>
    <t xml:space="preserve">53035</t>
  </si>
  <si>
    <t xml:space="preserve">2132 (8 inch Wafer Chuck Assembly)</t>
  </si>
  <si>
    <t xml:space="preserve">Ceramic Wafer chuck, 8"</t>
  </si>
  <si>
    <t xml:space="preserve">Wafer chuck for 2132, see images for details.
</t>
  </si>
  <si>
    <t xml:space="preserve">53036</t>
  </si>
  <si>
    <t xml:space="preserve">KLA-Tencor </t>
  </si>
  <si>
    <t xml:space="preserve">Compumotor M575L11</t>
  </si>
  <si>
    <t xml:space="preserve">Stepping motor drive</t>
  </si>
  <si>
    <t xml:space="preserve">Stepping motor drive module (KLA-Tencor P/N 91-3677-05) see images for 
details</t>
  </si>
  <si>
    <t xml:space="preserve">109613</t>
  </si>
  <si>
    <t xml:space="preserve">109107</t>
  </si>
  <si>
    <t xml:space="preserve">PROMETRIX FT-650</t>
  </si>
  <si>
    <t xml:space="preserve">WAFER FILM THICKNESS MEASUREMENT SYSTEM</t>
  </si>
  <si>
    <t xml:space="preserve">KLA-Tencor Prometrix Film Thickness Probe W/ FT-650, Cognex 3100 Vision 
System , Sony monitor, Viewsonic monitor</t>
  </si>
  <si>
    <t xml:space="preserve">76358</t>
  </si>
  <si>
    <t xml:space="preserve">710-039524-01, rev C</t>
  </si>
  <si>
    <t xml:space="preserve">Alignment Processor 2 , 210e series PCB</t>
  </si>
  <si>
    <t xml:space="preserve">PCB from KLA 259 reticle inspection system</t>
  </si>
  <si>
    <t xml:space="preserve">91464</t>
  </si>
  <si>
    <t xml:space="preserve">PROMETRIX FT750</t>
  </si>
  <si>
    <t xml:space="preserve">Film Thickness Measurement</t>
  </si>
  <si>
    <t xml:space="preserve">91466</t>
  </si>
  <si>
    <t xml:space="preserve">34125</t>
  </si>
  <si>
    <t xml:space="preserve">Mirror Assy Flat</t>
  </si>
  <si>
    <t xml:space="preserve">34127</t>
  </si>
  <si>
    <t xml:space="preserve">p/n 186392A  PCB Controller Handler</t>
  </si>
  <si>
    <t xml:space="preserve"> - Tencor part number 186392A
 - PCB Controller Handler</t>
  </si>
  <si>
    <t xml:space="preserve">34130</t>
  </si>
  <si>
    <t xml:space="preserve">KLA-tencor</t>
  </si>
  <si>
    <t xml:space="preserve">18458 Rev B  $ CH Motor Control</t>
  </si>
  <si>
    <t xml:space="preserve">4-channel PWM Motor Drive PCB
Tencor p/n 18458
</t>
  </si>
  <si>
    <t xml:space="preserve">84054</t>
  </si>
  <si>
    <t xml:space="preserve">KLA-TENCOR</t>
  </si>
  <si>
    <t xml:space="preserve">Motorized slit assembly for CD SEM</t>
  </si>
  <si>
    <t xml:space="preserve">TESTED
THETA:.30.50
REACH:30.45.60
APR.98223
DET:8921
WEIGHT: 2,3 KG.
DIMENSION: 10 X 10 X 49 (H)
FOR EACH</t>
  </si>
  <si>
    <t xml:space="preserve">34134</t>
  </si>
  <si>
    <t xml:space="preserve">210617 rev B PCB Filter Optical</t>
  </si>
  <si>
    <t xml:space="preserve">34136</t>
  </si>
  <si>
    <t xml:space="preserve">p/n 099660 Handler back plane PCB</t>
  </si>
  <si>
    <t xml:space="preserve">Tencor p/n 099660 Handler back plane PCB</t>
  </si>
  <si>
    <t xml:space="preserve">4958</t>
  </si>
  <si>
    <t xml:space="preserve">Roll-a-Lift</t>
  </si>
  <si>
    <t xml:space="preserve">KIT 2135,2138,2230 MOVE</t>
  </si>
  <si>
    <t xml:space="preserve">KLA PART NUMBER 780-688251-000 ROLLA-LIFT P/N 970-678679-00-AC each kit 
consists of 2 lifts. One kit includes the original KLA shipping crate. The 
blades of the lifts have been modified so as to fit the 21xx tools 
precisely.</t>
  </si>
  <si>
    <t xml:space="preserve">4959</t>
  </si>
  <si>
    <t xml:space="preserve">655-650504-00</t>
  </si>
  <si>
    <t xml:space="preserve">8 INCH CHUCK ASSY FOR KLA 2132</t>
  </si>
  <si>
    <t xml:space="preserve">KLA OEM spare part</t>
  </si>
  <si>
    <t xml:space="preserve">83810</t>
  </si>
  <si>
    <t xml:space="preserve">leadscrew and stepper motor for KLA Surscan 7700m, 7600 microscope</t>
  </si>
  <si>
    <t xml:space="preserve">includes leadscrew,  copper plates and stepper motor CMC MT2115-0140F</t>
  </si>
  <si>
    <t xml:space="preserve">34148</t>
  </si>
  <si>
    <t xml:space="preserve">p/n 210595 Rev B Optical Filter PCB</t>
  </si>
  <si>
    <t xml:space="preserve">Tencor p/n 210595 Rev B Optical Filter PCB</t>
  </si>
  <si>
    <t xml:space="preserve">34150</t>
  </si>
  <si>
    <t xml:space="preserve">Tencor p/n 242163 Rev B 
PCB  ADC-PFE Interface S76</t>
  </si>
  <si>
    <t xml:space="preserve">34152</t>
  </si>
  <si>
    <t xml:space="preserve">p/n 213780 Rev C  PCB  MASK SFS </t>
  </si>
  <si>
    <t xml:space="preserve">34153</t>
  </si>
  <si>
    <t xml:space="preserve">Fresnel Lens / Mirror</t>
  </si>
  <si>
    <t xml:space="preserve">34165</t>
  </si>
  <si>
    <t xml:space="preserve">3005503</t>
  </si>
  <si>
    <t xml:space="preserve">OPTICAL ASSY for kla 7700 and 7600 surfscans</t>
  </si>
  <si>
    <t xml:space="preserve">MODEL NO.3005503</t>
  </si>
  <si>
    <t xml:space="preserve">84086</t>
  </si>
  <si>
    <t xml:space="preserve">ASSY.CBL.GND</t>
  </si>
  <si>
    <t xml:space="preserve">EATHING STRAP</t>
  </si>
  <si>
    <t xml:space="preserve">810-04308-003 REV.B 0700-3325 (3 PIECES)
810-04308-004 REV.B 0700-2020 (3 PIECES)
810-04308-005 REV.B 0700-3324 (1 PIECES)
810-04308-004 REV.B 0700-3325 (7 PIECES)
ASSY GBL.GND STRAP 10X 10,9" L
ESEG.-5862
QTY 14
WEIGHT TOTAL 0,5 KG.
DIMENSION: 30 X 15 X 7 (H)
</t>
  </si>
  <si>
    <t xml:space="preserve">34166</t>
  </si>
  <si>
    <t xml:space="preserve">AIT 1 (SPARES)</t>
  </si>
  <si>
    <t xml:space="preserve">Lens Assembly in transport box</t>
  </si>
  <si>
    <t xml:space="preserve">LENS FOR LASER DELIVERY OPTICS</t>
  </si>
  <si>
    <t xml:space="preserve">84087</t>
  </si>
  <si>
    <t xml:space="preserve">Mirror assembly for KLA 7700 m surfscan</t>
  </si>
  <si>
    <t xml:space="preserve">F12-488-8-400
DMO P-6
DONAL.JENNIFER INDUSTRIES
WEIGHT: 0,3 KG.
DIMENSION: 26 X 8 X 2,5 (H)</t>
  </si>
  <si>
    <t xml:space="preserve">84088</t>
  </si>
  <si>
    <t xml:space="preserve">Optical Lens assembly from a KLA 7700 M Surfscan</t>
  </si>
  <si>
    <t xml:space="preserve">WEIGHT: 25 GR.
DIMENSION: 13 X 4,5 X 11 (H)</t>
  </si>
  <si>
    <t xml:space="preserve">84089</t>
  </si>
  <si>
    <t xml:space="preserve">7600M</t>
  </si>
  <si>
    <t xml:space="preserve">ELECTRO-OPTICAL ACTUATOR ASSY </t>
  </si>
  <si>
    <t xml:space="preserve">2900
WEIGHT: 200 GR.
DIMENSION: 9 X 9 X 6 (H)</t>
  </si>
  <si>
    <t xml:space="preserve">84091</t>
  </si>
  <si>
    <t xml:space="preserve">113387</t>
  </si>
  <si>
    <t xml:space="preserve">4-CHANNEL PWM MOTOR DRIVE ASSY PCB FOR KLA 7XXX SURFSCAN, P2 and P20 profilers</t>
  </si>
  <si>
    <t xml:space="preserve">EDAC  307-072-558-20
WEIGHT: 250 GR
DIMENSION: 25 x 18 x 7 (H)
WITH P/N 024344</t>
  </si>
  <si>
    <t xml:space="preserve">84092</t>
  </si>
  <si>
    <t xml:space="preserve">655-6500504-00</t>
  </si>
  <si>
    <t xml:space="preserve">CERAMIC CHUCK 200 MM(8*),2132</t>
  </si>
  <si>
    <t xml:space="preserve">WEIGHT: 500 GR.
DIAMETER: 19 CM. 1,1 CM (H)
WILL SHIP TO YOU FROM OUR WAREHOUSE IN AVEZZANO 67051 ITALY</t>
  </si>
  <si>
    <t xml:space="preserve">83837</t>
  </si>
  <si>
    <t xml:space="preserve">EMO Button for KLA 7700M</t>
  </si>
  <si>
    <t xml:space="preserve">EMERGENCY BUTTON WITH CABLE</t>
  </si>
  <si>
    <t xml:space="preserve">84093</t>
  </si>
  <si>
    <t xml:space="preserve">665-037138-00</t>
  </si>
  <si>
    <t xml:space="preserve">MICROSCOPE MASK FOR KLA 2XX RETICLE INSPECTION SYSTEM</t>
  </si>
  <si>
    <t xml:space="preserve">665 037138 00 XD
WEIGHT: 500 GR.
DIMENSION: 25 X 25 X 27 (H)</t>
  </si>
  <si>
    <t xml:space="preserve">31613</t>
  </si>
  <si>
    <t xml:space="preserve">Bracked Lift Keyboard KLA Part 740-03393-000</t>
  </si>
  <si>
    <t xml:space="preserve">109191</t>
  </si>
  <si>
    <t xml:space="preserve">2820</t>
  </si>
  <si>
    <t xml:space="preserve">Wafer Inspection Equipment</t>
  </si>
  <si>
    <t xml:space="preserve">109192</t>
  </si>
  <si>
    <t xml:space="preserve">109193</t>
  </si>
  <si>
    <t xml:space="preserve">2830</t>
  </si>
  <si>
    <t xml:space="preserve">Brightfield Inspection</t>
  </si>
  <si>
    <t xml:space="preserve">105866</t>
  </si>
  <si>
    <t xml:space="preserve">Surfscan 7700m</t>
  </si>
  <si>
    <t xml:space="preserve">Please check the pictures below for more information.</t>
  </si>
  <si>
    <t xml:space="preserve">109194</t>
  </si>
  <si>
    <t xml:space="preserve">AIT UV</t>
  </si>
  <si>
    <t xml:space="preserve">109195</t>
  </si>
  <si>
    <t xml:space="preserve">ASET-F5x</t>
  </si>
  <si>
    <t xml:space="preserve">109196</t>
  </si>
  <si>
    <t xml:space="preserve">Puma 9130</t>
  </si>
  <si>
    <t xml:space="preserve">109197</t>
  </si>
  <si>
    <t xml:space="preserve">27790</t>
  </si>
  <si>
    <t xml:space="preserve">259 (Spare parts)</t>
  </si>
  <si>
    <t xml:space="preserve">PCBs for reticle inspection system</t>
  </si>
  <si>
    <t xml:space="preserve">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</si>
  <si>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 xml:space="preserve">109198</t>
  </si>
  <si>
    <t xml:space="preserve">Surfscan SP2</t>
  </si>
  <si>
    <t xml:space="preserve">74643</t>
  </si>
  <si>
    <t xml:space="preserve">710-013838-00 Rev L</t>
  </si>
  <si>
    <t xml:space="preserve">PCB Universal Video Mux for KLA 2xx reticle inspection systems</t>
  </si>
  <si>
    <t xml:space="preserve">For KLA 259 reticle inspection system.</t>
  </si>
  <si>
    <t xml:space="preserve">1691</t>
  </si>
  <si>
    <t xml:space="preserve">259 (spare parts)</t>
  </si>
  <si>
    <t xml:space="preserve">Reticle Inspection - SPARE PARTS</t>
  </si>
  <si>
    <t xml:space="preserve">up to 7 inch</t>
  </si>
  <si>
    <t xml:space="preserve">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</si>
  <si>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 xml:space="preserve">27806</t>
  </si>
  <si>
    <t xml:space="preserve">TFE Gun Controller</t>
  </si>
  <si>
    <t xml:space="preserve">Gun Controller Chassis  Part No 720-05888-000</t>
  </si>
  <si>
    <t xml:space="preserve">Quantuty 2 Available SN: 102-42 SN: 098-42S Rev C
WEIGHT 15 KG.
DIMENSIONS:43CM X 41CM X 14CM (H)</t>
  </si>
  <si>
    <t xml:space="preserve">21667</t>
  </si>
  <si>
    <t xml:space="preserve">JDS-Uniphase 2214-30 SLQ TT</t>
  </si>
  <si>
    <t xml:space="preserve">LASER FOR KLA 7700 SURFSCAN</t>
  </si>
  <si>
    <t xml:space="preserve">30 day return warranty</t>
  </si>
  <si>
    <t xml:space="preserve">83621</t>
  </si>
  <si>
    <t xml:space="preserve">Loadlock assembly for CD-SEM </t>
  </si>
  <si>
    <t xml:space="preserve">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</si>
  <si>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QTY 3 AVAILABLE</t>
  </si>
  <si>
    <t xml:space="preserve">83622</t>
  </si>
  <si>
    <t xml:space="preserve">Load-lock assembly for CD SEM</t>
  </si>
  <si>
    <t xml:space="preserve">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</si>
  <si>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</si>
  <si>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 xml:space="preserve">18598</t>
  </si>
  <si>
    <t xml:space="preserve">5xxx Spare Parts</t>
  </si>
  <si>
    <t xml:space="preserve">Set of Spare Parts from a KLA 5015</t>
  </si>
  <si>
    <t xml:space="preserve">From serial number 203. Spare parts consisting of: -set of electronics 
boards -ORIEL illuminator -Optical parts -Lamp housing Barrier bagged, 
warehoused at warehouse of SDI, Avezzano, Italy</t>
  </si>
  <si>
    <t xml:space="preserve">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</si>
  <si>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</si>
  <si>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 xml:space="preserve">18599</t>
  </si>
  <si>
    <t xml:space="preserve">710-401249-01 Rev F</t>
  </si>
  <si>
    <t xml:space="preserve">DRIVER BOARD for KLA 5xxx</t>
  </si>
  <si>
    <t xml:space="preserve">PCB  for KLA 5xxx</t>
  </si>
  <si>
    <t xml:space="preserve">18600</t>
  </si>
  <si>
    <t xml:space="preserve">Driver Board  for KLA 5xxx</t>
  </si>
  <si>
    <t xml:space="preserve">18602</t>
  </si>
  <si>
    <t xml:space="preserve">750-40426.. 5xxx Spare Part</t>
  </si>
  <si>
    <t xml:space="preserve">BIT 3 COMPUTER COP for 5xxx Spare Part</t>
  </si>
  <si>
    <t xml:space="preserve">PCB 5xxx Spare Part. Used Part, removed from a system in working condition.</t>
  </si>
  <si>
    <t xml:space="preserve">18603</t>
  </si>
  <si>
    <t xml:space="preserve">710-401536-00 FOR kla 5XXX</t>
  </si>
  <si>
    <t xml:space="preserve">ASSY NO 401536 00 ENCODER INTERFACE</t>
  </si>
  <si>
    <t xml:space="preserve">18604</t>
  </si>
  <si>
    <t xml:space="preserve">710-401249-00 REV E for kla 5xxx</t>
  </si>
  <si>
    <t xml:space="preserve">108716</t>
  </si>
  <si>
    <t xml:space="preserve">Surfscan 4500</t>
  </si>
  <si>
    <t xml:space="preserve">Unpatterned Wafer Surface Inspection</t>
  </si>
  <si>
    <t xml:space="preserve">2 inch to 6 inch</t>
  </si>
  <si>
    <t xml:space="preserve">Fully operational, de-bugged and available for demonstration if required.
Deinstalled, Warehoused. Can be inspected by appointment at our warehouse 
in Avezzano, Italy.
Watch a video of the tool in operation:</t>
  </si>
  <si>
    <t xml:space="preserve">18605</t>
  </si>
  <si>
    <t xml:space="preserve">710-404146-00 REV A for KLA 5XXX</t>
  </si>
  <si>
    <t xml:space="preserve">ASSY BOARD FOR KLA 5XXX</t>
  </si>
  <si>
    <t xml:space="preserve">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</si>
  <si>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</si>
  <si>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 xml:space="preserve">18606</t>
  </si>
  <si>
    <t xml:space="preserve">750-400159-00 REV A for KLA 5xxx</t>
  </si>
  <si>
    <t xml:space="preserve">MATROX VIP 1024 for a KLA 5XXX overlay system</t>
  </si>
  <si>
    <t xml:space="preserve">18607</t>
  </si>
  <si>
    <t xml:space="preserve">730-400083-00 REV G for a KLA 5xxx</t>
  </si>
  <si>
    <t xml:space="preserve">PZT CONTROLLER for a KLA 5xxx system</t>
  </si>
  <si>
    <t xml:space="preserve">18608</t>
  </si>
  <si>
    <t xml:space="preserve">712-404056-00 Rev B for a KLA 5xxx</t>
  </si>
  <si>
    <t xml:space="preserve">ASSY BOARD for a KLA 5xxx overlay system</t>
  </si>
  <si>
    <t xml:space="preserve">Rev. B</t>
  </si>
  <si>
    <t xml:space="preserve">18609</t>
  </si>
  <si>
    <t xml:space="preserve">710-400412-00 Rev K</t>
  </si>
  <si>
    <t xml:space="preserve">PCB for a KLA 5xxx system</t>
  </si>
  <si>
    <t xml:space="preserve">sp</t>
  </si>
  <si>
    <t xml:space="preserve">18610</t>
  </si>
  <si>
    <t xml:space="preserve">18611</t>
  </si>
  <si>
    <t xml:space="preserve">750-400339-00 Rev H from a KLA 5xxx</t>
  </si>
  <si>
    <t xml:space="preserve">18612</t>
  </si>
  <si>
    <t xml:space="preserve">073-401-320 for a kla 5xxx</t>
  </si>
  <si>
    <t xml:space="preserve">AIRLOK PCB for a KLA 5xxx system</t>
  </si>
  <si>
    <t xml:space="preserve">18871</t>
  </si>
  <si>
    <t xml:space="preserve">546860-27</t>
  </si>
  <si>
    <t xml:space="preserve">Operation manual</t>
  </si>
  <si>
    <t xml:space="preserve">52151</t>
  </si>
  <si>
    <t xml:space="preserve">Hamamatsu R1924A</t>
  </si>
  <si>
    <t xml:space="preserve">Linear PMT p/n R1924A Compatible with KLA-Tencor AIT 1 and 2</t>
  </si>
  <si>
    <t xml:space="preserve">83896</t>
  </si>
  <si>
    <t xml:space="preserve">Pittman 9433F528</t>
  </si>
  <si>
    <t xml:space="preserve">Servo Drive motor for KLA 7700 Surfscan</t>
  </si>
  <si>
    <t xml:space="preserve">PITTMAN
9433F528
1000 CPR
AWM IA105C 300V FTI  E-15543(J)
AWM STYLE 2651 VW
WEIGHT: GR.350
DIMENSION:5 CM. X 5 CM. X 10 CM.(H)</t>
  </si>
  <si>
    <t xml:space="preserve">18872</t>
  </si>
  <si>
    <t xml:space="preserve">563234-27</t>
  </si>
  <si>
    <t xml:space="preserve">Reference manual</t>
  </si>
  <si>
    <t xml:space="preserve">83897</t>
  </si>
  <si>
    <t xml:space="preserve">8 inch ceramic chuck table for KLA 7700M</t>
  </si>
  <si>
    <t xml:space="preserve">WITH AIRPOT 71991-Z
WEIGHT: GR.950
DIMENSION:21 CM. X 21 CM. X 4 CM.(H)</t>
  </si>
  <si>
    <t xml:space="preserve">18873</t>
  </si>
  <si>
    <t xml:space="preserve">990-039410-00</t>
  </si>
  <si>
    <t xml:space="preserve">210 e-series theory</t>
  </si>
  <si>
    <t xml:space="preserve">84409</t>
  </si>
  <si>
    <t xml:space="preserve"> AIT-1 SHIPPING KIT</t>
  </si>
  <si>
    <t xml:space="preserve">Parts for locking the optics of KLA AIT 1 prior to shipping</t>
  </si>
  <si>
    <t xml:space="preserve">18874</t>
  </si>
  <si>
    <t xml:space="preserve">905-664046-000</t>
  </si>
  <si>
    <t xml:space="preserve">25x2 analysis workstation</t>
  </si>
  <si>
    <t xml:space="preserve">84410</t>
  </si>
  <si>
    <t xml:space="preserve">SENSOR OPTICAL</t>
  </si>
  <si>
    <t xml:space="preserve">MECHANICAL ART OF KLA-TENCOR 7700M OPTICS
WEIGHT: KG. 1,3
DIMENSION: 31 X 25 X 14 (H)</t>
  </si>
  <si>
    <t xml:space="preserve">83643</t>
  </si>
  <si>
    <t xml:space="preserve">RIBBON CABLE</t>
  </si>
  <si>
    <t xml:space="preserve">2 PIECE</t>
  </si>
  <si>
    <t xml:space="preserve">18875</t>
  </si>
  <si>
    <t xml:space="preserve">563226-27</t>
  </si>
  <si>
    <t xml:space="preserve">Software version 5.0 manual</t>
  </si>
  <si>
    <t xml:space="preserve">18876</t>
  </si>
  <si>
    <t xml:space="preserve">546879-27</t>
  </si>
  <si>
    <t xml:space="preserve">Software version 4.1 manual</t>
  </si>
  <si>
    <t xml:space="preserve">83645</t>
  </si>
  <si>
    <t xml:space="preserve">2xx (SPARES)</t>
  </si>
  <si>
    <t xml:space="preserve">Control Paddles for KLA 2xx reticle inspection system</t>
  </si>
  <si>
    <t xml:space="preserve">Left and right control paddle assemblies for KLA -Tencor 2xx reticle 
inspection systems</t>
  </si>
  <si>
    <t xml:space="preserve">83901</t>
  </si>
  <si>
    <t xml:space="preserve">655-03737-00 Rev XA</t>
  </si>
  <si>
    <t xml:space="preserve">Mechanical part for a KLA 7700 M (Surfscan)</t>
  </si>
  <si>
    <t xml:space="preserve">6550373700 REV XA
WEIGHT: GR.150
DIMENSION:5 CM. X 1 CM. X 5 CM.(H)</t>
  </si>
  <si>
    <t xml:space="preserve">83902</t>
  </si>
  <si>
    <t xml:space="preserve">Lambda Electronics LFS-47-48 REGULATED POWER SUPPLY</t>
  </si>
  <si>
    <t xml:space="preserve">Regulated power supply for kla 5XXX OVERLAY SYSTEM. Used part, removed from 
a working system.
INPUT 95-132 VAC
47-63 HZ
(USE O AND 110 TERMINALS)
OR 187-250 VAC OR 260-350 VDC
(USE O AND 220 TERMINALS)
MAX 1071 W
PWR FACTOR 0.6
OUTPUT: 48-5% VDC
MAX RATINGS 17.0A@ 40°C
                       16.0A@ 50°C
                       14.5A@ 60°C
WEIGHT: KG.4
DIMENSION:30 CM. X 13 CM. X 13 CM.(H)
</t>
  </si>
  <si>
    <t xml:space="preserve">18622</t>
  </si>
  <si>
    <t xml:space="preserve">750-404260 for KLA 5XXX</t>
  </si>
  <si>
    <t xml:space="preserve">103366</t>
  </si>
  <si>
    <t xml:space="preserve">Robot Arm, for up to 8 inch wafers, for  KLA 7700 M</t>
  </si>
  <si>
    <t xml:space="preserve">This robot arm will fit on any of the old Tencor-designed wafer handlers, 
which were present on the KLA 7600 and 7700 surfscans.</t>
  </si>
  <si>
    <t xml:space="preserve">18632</t>
  </si>
  <si>
    <t xml:space="preserve">18634</t>
  </si>
  <si>
    <t xml:space="preserve">POWER SUPPLY LAMBDA</t>
  </si>
  <si>
    <t xml:space="preserve">Rev. A</t>
  </si>
  <si>
    <t xml:space="preserve">18635</t>
  </si>
  <si>
    <t xml:space="preserve">851391-101</t>
  </si>
  <si>
    <t xml:space="preserve">LH RESEARCH </t>
  </si>
  <si>
    <t xml:space="preserve">REV.B</t>
  </si>
  <si>
    <t xml:space="preserve">83918</t>
  </si>
  <si>
    <t xml:space="preserve">Adjustable Opto Mechanical assembly for KLA 7700 Surfscan</t>
  </si>
  <si>
    <t xml:space="preserve">WEIGHT GR.500
DIMENSION: 10 CM. X 10 CM. X 6 CM. (H)</t>
  </si>
  <si>
    <t xml:space="preserve">71632</t>
  </si>
  <si>
    <t xml:space="preserve">2122</t>
  </si>
  <si>
    <t xml:space="preserve">Deinstalled, barrier bagged, warehoused.
Located at Avezzano Italy.
I can sell you this tool "as is", or else I can refurbish it for you, and 
demonstrate it in operational condition, in my cleanroom facility in 
Avezzano Italy.
See the following link for details of other KLA refurbishments we did in 
the past:-
KLA Tencor equipment refurbishing capabilities
&lt;https://www.fabsurplus.com/blog/used-kla-tencor-inspection-metrology-refurbishment/&gt;
s/n W21xx801
Boards in card cages included:-
Boards in the main card cage:-
Slot 1  Blank
Slot 2  710-658086-20 Rev E0
Slot 3  710-658232-20 Rev H1
Slot 4  710-659412-00 Rev C0
Slot 5  Blank
Slot 6  710-659412-00 Rev C0
Slot 7  710-655651-20 Rev
Slot 8  710-655651-20 Rev
Slot 9  710-658172-20 Rev JI Y Interpolator, Phase 3
Slot 10 710-658177-20 Rev F1 X Interpolator, Phase 3
Slot 11 710-658172-20 Rev J1 Y Interpolator, Phase 3
Slot 12 710-658177-20 Rev F1 X Interpolator, Phase 3
Slot 13 w024039
Slot 14 ????????
Slot 15 710-658036-20 Rev C3
Slot 16 Blank
Slot 17 Blank
Slot 18 Blank
Slot 19 Blank
Slot 20 Blank
Boards in the Aux card cage:-
Slot 1  710-659465-20
Slot 2  ????????
Slot 3  710-650099-20 Rev L0 KLA DP ASSY
Slot 4  710-????
Slot 5  Blank
Slot 6  710-650044-20 Rev D1
Slot 7  710-658363-20 Rev C0</t>
  </si>
  <si>
    <t xml:space="preserve">108760</t>
  </si>
  <si>
    <t xml:space="preserve">Wafer Particle Inspection System</t>
  </si>
  <si>
    <t xml:space="preserve">2 to 6 inch</t>
  </si>
  <si>
    <t xml:space="preserve"> TENCOR Surfscan 4500 Surface Contamination Detection System featuring:   
    • Contamination Free Cassette to Cassette Handling of 2” – 6” Wafers  
    • HeNe 2mW Laser, 6328 Angstrom Wavelength
    • 0.20 micron Particle Size Sensitivity
    • Automatic Calibration       
    • 20 Column Thermal Printer</t>
  </si>
  <si>
    <t xml:space="preserve">83929</t>
  </si>
  <si>
    <t xml:space="preserve">720-02847-000</t>
  </si>
  <si>
    <t xml:space="preserve">MCA Module for KLA 81xx CD SEM</t>
  </si>
  <si>
    <t xml:space="preserve">P/N 720-02847-000
REV:D
WEIGHT: GR.300
DIMENSION: 12 CM. X 14 CM. X 4 CM. (H)</t>
  </si>
  <si>
    <t xml:space="preserve">83930</t>
  </si>
  <si>
    <t xml:space="preserve">720-02964-000B</t>
  </si>
  <si>
    <t xml:space="preserve">PICOAMP II for KLA 81xx CD SEM</t>
  </si>
  <si>
    <t xml:space="preserve">P/N:720-02964-000
REV:B
WEIGHT: GR.250
DIMENSION: 13 CM. X 10 CM. X 4 CM. (H) FOR EACH</t>
  </si>
  <si>
    <t xml:space="preserve">83932</t>
  </si>
  <si>
    <t xml:space="preserve">195430 rev B</t>
  </si>
  <si>
    <t xml:space="preserve">Detector Assembly for a KLA 7700M Surfscan</t>
  </si>
  <si>
    <t xml:space="preserve">WEIGHT: KG.1
DIMENSION: 31 CM. X 23 CM. X 6 CM. (H)</t>
  </si>
  <si>
    <t xml:space="preserve">96998</t>
  </si>
  <si>
    <t xml:space="preserve">Surfscan AIT</t>
  </si>
  <si>
    <t xml:space="preserve">Patterned Wafer Inspection</t>
  </si>
  <si>
    <t xml:space="preserve">Deinstalled and warehoused. The condition is reasonable, but, there are 
some missing parts from the card-cage.</t>
  </si>
  <si>
    <t xml:space="preserve">53227</t>
  </si>
  <si>
    <t xml:space="preserve">251739</t>
  </si>
  <si>
    <t xml:space="preserve">CH3 PMT OPTICS ASSY AIT2</t>
  </si>
  <si>
    <t xml:space="preserve">Good used KLA AIT 2 CH3 PMT  Assembly.
Manufactured by Hamamatsu.
Removed from working tool and stored in our warehouse
</t>
  </si>
  <si>
    <t xml:space="preserve">84215</t>
  </si>
  <si>
    <t xml:space="preserve">AT GPIB IEE 488.2 Interface PCB for a KLA 7700 M</t>
  </si>
  <si>
    <t xml:space="preserve">Board manufacturer: NATIONAL INSTRUMENTS
WEIGHT: 150 GR.
DIMENSION: 17,5 X 12,5 X 2,5 (H)</t>
  </si>
  <si>
    <t xml:space="preserve">84217</t>
  </si>
  <si>
    <t xml:space="preserve">740-210171-00</t>
  </si>
  <si>
    <t xml:space="preserve">Mask Holder for 5 inch x 0.090 thickness masks, with compensation glass, KLA 2XX</t>
  </si>
  <si>
    <t xml:space="preserve">KLA   ORH 740-210171-00
         ORH 250 -5.0 x.090
WEIGHT: 700 GR.
DIMENSION: 29 X 23,5 X 2 (H)</t>
  </si>
  <si>
    <t xml:space="preserve">84219</t>
  </si>
  <si>
    <t xml:space="preserve">740-210171-00 Rev C OHR</t>
  </si>
  <si>
    <t xml:space="preserve">84220</t>
  </si>
  <si>
    <t xml:space="preserve">253537 Rev A</t>
  </si>
  <si>
    <t xml:space="preserve">Microscope Distribution  PCB, for Surfscan 7600 and 7700 series</t>
  </si>
  <si>
    <t xml:space="preserve">35971</t>
  </si>
  <si>
    <t xml:space="preserve">KLA-Tencor Corp.</t>
  </si>
  <si>
    <t xml:space="preserve">Electron gun controller for KLA 8100</t>
  </si>
  <si>
    <t xml:space="preserve">Deinstalled Wareshoused In stock</t>
  </si>
  <si>
    <t xml:space="preserve">80185</t>
  </si>
  <si>
    <t xml:space="preserve">KNF Neuberger</t>
  </si>
  <si>
    <t xml:space="preserve">057359</t>
  </si>
  <si>
    <t xml:space="preserve">Diphagrahm service kit for N40.3FT pump</t>
  </si>
  <si>
    <t xml:space="preserve">  New in package, valve kit for KNF pump </t>
  </si>
  <si>
    <t xml:space="preserve">74239</t>
  </si>
  <si>
    <t xml:space="preserve">KNF NEUBERGER</t>
  </si>
  <si>
    <t xml:space="preserve">N 840.3 FT.18</t>
  </si>
  <si>
    <t xml:space="preserve">DIAPHRAGM VACUUM PUMP LABOPORT D-79112</t>
  </si>
  <si>
    <t xml:space="preserve">KNF NEUBERGER DIAPHRAGM VACUUM PUMP LABOPORT D-79112 N 840.3 FT.18 1,0 Bar 
50Hz This pump is part of our 10MW solar cell line, used in production, 
this pump is believed to be in working condition Untested some slight 
corrosion on bottom of pump. 50hz 230V with plug for Singapore/European use</t>
  </si>
  <si>
    <t xml:space="preserve">103386</t>
  </si>
  <si>
    <t xml:space="preserve">KNIEL System</t>
  </si>
  <si>
    <t xml:space="preserve">CPD 5.12/6.3</t>
  </si>
  <si>
    <t xml:space="preserve">Power Supply, 321-019-02.00</t>
  </si>
  <si>
    <t xml:space="preserve">CE MARKED</t>
  </si>
  <si>
    <t xml:space="preserve">84224</t>
  </si>
  <si>
    <t xml:space="preserve">KOGANEI</t>
  </si>
  <si>
    <t xml:space="preserve">ORCA 16X120</t>
  </si>
  <si>
    <t xml:space="preserve">Slit type rodless cylinder</t>
  </si>
  <si>
    <t xml:space="preserve">MAX. 0.7 MPa 37
WEIGHT:350 GR.
DIMENSION: 4 X 3 X 25 (H)</t>
  </si>
  <si>
    <t xml:space="preserve">84258</t>
  </si>
  <si>
    <t xml:space="preserve">SLIM</t>
  </si>
  <si>
    <t xml:space="preserve">AIR CYLINDER</t>
  </si>
  <si>
    <t xml:space="preserve">AIR CYLINDER SLIM
DAD 32 X 25-954W
WEIGHT: 400 GR.
DIMENSION: 4 X 4 X 23 (H)
FOR EACH
</t>
  </si>
  <si>
    <t xml:space="preserve">84261</t>
  </si>
  <si>
    <t xml:space="preserve">PDA S</t>
  </si>
  <si>
    <t xml:space="preserve">AIR CYLINDER
16 X 100
WEIGHT: 200 GR.
DIMENSION:  X 2 X 2 (H)
FOR EACH
</t>
  </si>
  <si>
    <t xml:space="preserve">84265</t>
  </si>
  <si>
    <t xml:space="preserve">KA CMA</t>
  </si>
  <si>
    <t xml:space="preserve">AIR CYLINDER
BORE X ST 
25 X 25
MAX PRESS:9 bar
WEIGHT: 200 GR.
DIMENSION:  X 2 X 2 (H)
FOR EACH
</t>
  </si>
  <si>
    <t xml:space="preserve">84266</t>
  </si>
  <si>
    <t xml:space="preserve">TWDA</t>
  </si>
  <si>
    <t xml:space="preserve">AIR CYLINDER TWINPORT
TWDA20 X 200-HA
WEIGHT: 400 GR.
DIMENSION: 3 X 3 X 29 (H)
</t>
  </si>
  <si>
    <t xml:space="preserve">84270</t>
  </si>
  <si>
    <t xml:space="preserve">AIR CYLINDER
WEIGHT: 600 GR. FOR TWO.
THE DIMENSION OF: DAD 32 X 25 ARE: 3,5 X 3,5 X 22(H)
THE DIMENSION OF :DAD 20 X 50 ARE:   3 X 3 X 18,5 (H)
</t>
  </si>
  <si>
    <t xml:space="preserve">83846</t>
  </si>
  <si>
    <t xml:space="preserve">JDAS32X5-165W</t>
  </si>
  <si>
    <t xml:space="preserve">WEIGHT: 200 GR.
DIMENSION 5 X 5 X 5 (H)
THE PRICE IS FOR EACH</t>
  </si>
  <si>
    <t xml:space="preserve">83873</t>
  </si>
  <si>
    <t xml:space="preserve">BDAS10X30</t>
  </si>
  <si>
    <t xml:space="preserve">KOGANEI TK49173
WEIGHT: 100 GR.
DIMENSION:5 CM. X 2 CM. X 8 CM.(H) FOR TWO
</t>
  </si>
  <si>
    <t xml:space="preserve">83880</t>
  </si>
  <si>
    <t xml:space="preserve">AME07-E2-PSL</t>
  </si>
  <si>
    <t xml:space="preserve">VACUUM EJECTOR</t>
  </si>
  <si>
    <t xml:space="preserve">24VDC
WEIGHT: 200 GR.
DIMENSION:12 CM. X 2 CM. X 5 CM.(H)FOR EACH</t>
  </si>
  <si>
    <t xml:space="preserve">83891</t>
  </si>
  <si>
    <t xml:space="preserve">A200-4E1</t>
  </si>
  <si>
    <t xml:space="preserve">AIR VALVE</t>
  </si>
  <si>
    <t xml:space="preserve">DC 24V
0-0 9 MPa
SUPPLIED BY DALCO ENGENEERING SYSTEM LTD
WEIGHT: GR.350
DIMENSION: 4 CM. X 3 CM. X 10,5 CM. (H) FOR EACH
</t>
  </si>
  <si>
    <t xml:space="preserve">84223</t>
  </si>
  <si>
    <t xml:space="preserve">MAX. 0.8MPa 27
WEIGHT:400 GR.
DIMENSION: 5 X 5 X 27 (H)
FOR EACH
includes instruction manual</t>
  </si>
  <si>
    <t xml:space="preserve">84055</t>
  </si>
  <si>
    <t xml:space="preserve">KOGANEI LTD</t>
  </si>
  <si>
    <t xml:space="preserve">KA.CMA</t>
  </si>
  <si>
    <t xml:space="preserve">MINI CYLINDER</t>
  </si>
  <si>
    <t xml:space="preserve">MOD.KA-CMA
BORE XST 40X375
MAX PRESS 9 BAR
WEIGHT: 2 KG
DIMENSION: 6 X 6 X 45 (H)
FOR EACH
</t>
  </si>
  <si>
    <t xml:space="preserve">84056</t>
  </si>
  <si>
    <t xml:space="preserve">MINI-CYLINDER</t>
  </si>
  <si>
    <t xml:space="preserve">MOD.KA-CMA
BORE XST 30 X 300
MAX PRESSURE: 9 BAR
WEIGHT: 1,2 KG.
DIMENSION: 4 X4 X 43 (H)
</t>
  </si>
  <si>
    <t xml:space="preserve">84057</t>
  </si>
  <si>
    <t xml:space="preserve">MOD.KA-CMA
BORE XST 40 X 60
MAX PRESSURE: 9 KGF/CM
WEIGHT: 1 KG.
DIMENSION: 6 X6 X 19 (H)
</t>
  </si>
  <si>
    <t xml:space="preserve">108570</t>
  </si>
  <si>
    <t xml:space="preserve">Kokusai</t>
  </si>
  <si>
    <t xml:space="preserve">DJ-1206VN</t>
  </si>
  <si>
    <t xml:space="preserve">90149</t>
  </si>
  <si>
    <t xml:space="preserve">DD-1223 V-DF</t>
  </si>
  <si>
    <t xml:space="preserve">Vertical Furnace, Wet Oxidation</t>
  </si>
  <si>
    <t xml:space="preserve">DEINSTALLED, WAREHOUSED.
controllers type: cx5000</t>
  </si>
  <si>
    <t xml:space="preserve">108837</t>
  </si>
  <si>
    <t xml:space="preserve">KOKUSAI</t>
  </si>
  <si>
    <t xml:space="preserve">VR70</t>
  </si>
  <si>
    <t xml:space="preserve">Resistivity Test Tool</t>
  </si>
  <si>
    <t xml:space="preserve">109108</t>
  </si>
  <si>
    <t xml:space="preserve">DJ-1236VN-DF</t>
  </si>
  <si>
    <t xml:space="preserve">Vertical Low-Pressure CVD System</t>
  </si>
  <si>
    <t xml:space="preserve">DEINSTALLED, WAREHOUSED, REFER TO ATTACHED PHOTOS FOR DETAILS</t>
  </si>
  <si>
    <t xml:space="preserve">103534</t>
  </si>
  <si>
    <t xml:space="preserve">DD1223VN</t>
  </si>
  <si>
    <t xml:space="preserve">Pyro</t>
  </si>
  <si>
    <t xml:space="preserve">103535</t>
  </si>
  <si>
    <t xml:space="preserve">DJ1223VN</t>
  </si>
  <si>
    <t xml:space="preserve">103536</t>
  </si>
  <si>
    <t xml:space="preserve">ZESTON-lll DD-1223V</t>
  </si>
  <si>
    <t xml:space="preserve">91254</t>
  </si>
  <si>
    <t xml:space="preserve">QUIXACE2</t>
  </si>
  <si>
    <t xml:space="preserve">ALD TiN</t>
  </si>
  <si>
    <t xml:space="preserve">109199</t>
  </si>
  <si>
    <t xml:space="preserve">Quixace II ALD Nitride</t>
  </si>
  <si>
    <t xml:space="preserve">109200</t>
  </si>
  <si>
    <t xml:space="preserve">108433</t>
  </si>
  <si>
    <t xml:space="preserve">109201</t>
  </si>
  <si>
    <t xml:space="preserve">Quixace II Anneal</t>
  </si>
  <si>
    <t xml:space="preserve">108434</t>
  </si>
  <si>
    <t xml:space="preserve">Quixace II ALD Oxide</t>
  </si>
  <si>
    <t xml:space="preserve">109202</t>
  </si>
  <si>
    <t xml:space="preserve">109203</t>
  </si>
  <si>
    <t xml:space="preserve">Quixace II Nitride</t>
  </si>
  <si>
    <t xml:space="preserve">109204</t>
  </si>
  <si>
    <t xml:space="preserve">Quixace II Poly</t>
  </si>
  <si>
    <t xml:space="preserve">109205</t>
  </si>
  <si>
    <t xml:space="preserve">Quixace Ultimate ALD SiO2</t>
  </si>
  <si>
    <t xml:space="preserve">108438</t>
  </si>
  <si>
    <t xml:space="preserve">108441</t>
  </si>
  <si>
    <t xml:space="preserve">Quixace Nitride</t>
  </si>
  <si>
    <t xml:space="preserve">106673</t>
  </si>
  <si>
    <t xml:space="preserve">DJ1206VN</t>
  </si>
  <si>
    <t xml:space="preserve">CVD FURNACE SiN</t>
  </si>
  <si>
    <t xml:space="preserve">106682</t>
  </si>
  <si>
    <t xml:space="preserve">106683</t>
  </si>
  <si>
    <t xml:space="preserve">Vertical furnace, ALD TiN</t>
  </si>
  <si>
    <t xml:space="preserve">106684</t>
  </si>
  <si>
    <t xml:space="preserve">106685</t>
  </si>
  <si>
    <t xml:space="preserve">106686</t>
  </si>
  <si>
    <t xml:space="preserve">106687</t>
  </si>
  <si>
    <t xml:space="preserve">106688</t>
  </si>
  <si>
    <t xml:space="preserve">Vertical Furnace, Nitride deposition</t>
  </si>
  <si>
    <t xml:space="preserve">83931</t>
  </si>
  <si>
    <t xml:space="preserve">M 152 WRL</t>
  </si>
  <si>
    <t xml:space="preserve">THERMO COUPLE</t>
  </si>
  <si>
    <t xml:space="preserve">PROTECTING TUBE:SSAS
LASS 0.25
TOTAL WEIGHT:GR.900
DIMENSION IN BOX:25 CM. X 23 CM. X 7 CM. (H)
</t>
  </si>
  <si>
    <t xml:space="preserve">109026</t>
  </si>
  <si>
    <t xml:space="preserve">DJ-853V-8BL J3</t>
  </si>
  <si>
    <t xml:space="preserve">VERTICAL CVD FURNACE, NITRIDE PROCESS</t>
  </si>
  <si>
    <t xml:space="preserve">-Deinstalled and warehoused, can be inspected by appointment.
-The equipment will be provided in "refurbished" condition.
Configuration:
1 System Layout Main &amp; Utility: Integrated
2 System Type: L Type
3 Side Maintenance: No Side Maintenance
4 System Paint Color: IVORY
5 Furnace Front Surface Finish: Painted
6 Heater Model: D4EX 18104-2
7 Rapid Cooling Unit: Not Installed
8 N2 Load Lock: Not Installed
9 O2 Analyzer: Not Installed
10 Cassette I/O Type (Normal / SMIF): Normal
11 SMIF Maker / Model: Not Installed
12 AGV Compatibility: Unable
13 System Main Controller: CX3002B
14 Mechanical Controller: CX1223
15 Sequence Controller; OMRON CS1G
16 Gas Controller: CX3202
17 Gas Flow Chart Pannel Not Installed
18 Operation Pannel Installed
19 Signal Tower / Colors Installed: 4 colors
20 Furnace Temperature Controller: CQ1600
21 Furnace Overtemp Detector DN-150V
22 Gas Detecter Maker / Model: Not Installed
23 Detecting Gas - NA
24 Host Communications: Yes
25 User Host Computer I/F: HSMS
26 Manual (Drawing, Parts list etc): Not Included
GAS SYSTEM
1 Process Gas: N2 , NH3, DCS
2 Integrated Gas System: Block style
3 Manual Valve FUJIKIN
4 Air-Operated Valve FUJIKIN
5 Filter: MILLIPORE ( Ni )
6 Regulator: VERIFLOW
7 MFC Maker / Model: STEC / SEC-7330
8 PT Sensor Maker / Model: NAGANO
9 DPM Maker / Model: NAGANO
10 Check Valve Not Installed
11 Baking System Not Installed
12 Liquid Source Auto-Refill Not Installed
13 Burn Controller Not Installed
14 Veporizer Not Installed
VACUUM / EXHAUST SYSTEM
1 Pump: Not Included
2 Pressure Control Valve: CKD
3 Pressure Controller: CKD
4 Pressure Sensor: INFICON
5 Trap: Installed
6 Gas Cooler: Not Installed
WAFER / CASSETTE HANDLING
1 Wafer Type: 150 mm
2 Auto Wafer Aligner: Not Installed
3 Wafer Qty. in Cassette: 25
4 Cassette Storage Qty.: 18
5 Fork Type: 1 + 4 (VAC) Tweezer type
6 Fork-Wafer Presence Sensor: Installed
7 Fork-Variable Pitch: Installed
8 Magnetic Seal Rotation: Not Installed
PROCESS KITS
1 Boat Type / Pitch N/A
2 Boat Material N/A
3 Cap Pedestal Material N/A
4 Outer Tube N/A
5 Inner Tube N/A
6 SIC Liner Tube N/A
7 Process Tube N/A
8 External Torch N/A
9 Profile T/C Type N/A</t>
  </si>
  <si>
    <t xml:space="preserve">108006</t>
  </si>
  <si>
    <t xml:space="preserve">DD-823V</t>
  </si>
  <si>
    <t xml:space="preserve">VERTICAL CVD FURNACE, H2 ANNEAL PROCESS</t>
  </si>
  <si>
    <t xml:space="preserve">108007</t>
  </si>
  <si>
    <t xml:space="preserve">DJ-853V-8BL J2</t>
  </si>
  <si>
    <t xml:space="preserve">VERTICAL CVD FURNACE, HTO PROCESS</t>
  </si>
  <si>
    <t xml:space="preserve">Model:KE DJ-853V J2 (Upgraded from KE DJ-853V J1)
Process: HTO
Comments:-
-Deinstalled and warehoused, can be inspected by appointment.
-The equipment will be provided in "refurbished" condition.
1 System Layout: Main, Utility
2 System Type: L Type
3 Side Maintenance: No Side Maintenance
4 System Paint Color: IVORY
5 Furnace Front Surface Finish: Painted
6 Heater Model: D4EX08455
7 Rapid Cooling Unit: Not Installed
8 N2 Load Lock: Not Installed
9 O2 Analyzer: Not Installed
10 Cassette I/O Type (Normal / SMIF): Normal
11 SMIF Maker / Model: Not Installed
12 AGV Compatibility: Unable
13 System Main Controller: CX3002D
14 Mechanical Controller: CX1220
15 Sequence Controller: CX1312
16 Gas Controller: CX3202
17 Gas Flow Chart Panel -
18 Operation Panel Installed (FRONT)
19 Signal Tower / Colors Installed 3
20 Furnace Temperature Controller: CQ1600
21 Furnace Overtemp Detector: DN-150L
22 Gas Detecter Maker / Model: Not Installed
23 Detecting Gas - N.A.
24 Host Communications: Yes
25 User Host Computer I/F: HSMS
26 Manual (Drawing, Parts list etc): Not Included
GAS SYSTEM
1 Process Gas: N2 , N2O, SiH4
2 Basic Style: Conventional (VCR type)
3 Manual Valve SAM
4 Air-Operated Valve BENKAN SCV
5 Filter MILLIPORE
6 Regulator TANAKA TORR II
7 MFC Maker / Model SAM FTM480
MFC1 : N2 50 SCCM, MFC2 : N2 10 SLM,
MFC3 : SiH4 50 SCCM, MFC4 : SiH4 50 SCCM,
MFC5 : NO 2 SLM
8 PT Sensor Maker / Model NAGANO
9 DPM Maker / Model NAGANO
10 Check Valve Not Installed
11 Baking System Not Installed
12 Liquid Source Auto-Refill Not Installed
13 Burn Controller Not Installed
14 Vaporizer Not Installed
VACUUM / EXHAUST SYSTEM
1 Pump unit: Exist
2 Pressure Control Valve: APC
3 Pressure Controlle:r APC CONTROLLER AC-2X (Tylan)
4 Pressure Sensor: THERMOVAC
5 Trap: Not Installed
6 Gas Cooler: Not Installed
WAFER / CASSETTE HANDLING
1 Wafer Type: 200 mm
2 Auto Wafer Aligner: Not Installed
3 Wafer Qty. in Cassette: 26
4 Cassette Storage: Qty. 22
5 Fork Type: 1 + 4
6 Fork-Wafer Presence Sensor: Installed
7 Fork-Variable Pitch: Installed
8 Magnetic Seal Rotation: Installed
POWER
1 Voltage (Heater): 3 Phase 200V 150A
2 Voltage (Controller Main): 1 Phase 100V 30A
3 Voltage (Clean): 1 Phase 100V 50A
PROCESS KITS
1 Quartz set N/A
2 Profile T/C Type missing
3 Flange missing</t>
  </si>
  <si>
    <t xml:space="preserve">108920</t>
  </si>
  <si>
    <t xml:space="preserve">Komatsu</t>
  </si>
  <si>
    <t xml:space="preserve">G20K4-1</t>
  </si>
  <si>
    <t xml:space="preserve">LASER</t>
  </si>
  <si>
    <t xml:space="preserve">De-installed, warehoused. Can be inspected by appointment. Further details 
are available on request</t>
  </si>
  <si>
    <t xml:space="preserve">106689</t>
  </si>
  <si>
    <t xml:space="preserve">KORNIC</t>
  </si>
  <si>
    <t xml:space="preserve">KORONARTP1200+</t>
  </si>
  <si>
    <t xml:space="preserve">106690</t>
  </si>
  <si>
    <t xml:space="preserve">RTP-600M</t>
  </si>
  <si>
    <t xml:space="preserve">RTP, Wafer Diffusion</t>
  </si>
  <si>
    <t xml:space="preserve">100 mm, 150 mm</t>
  </si>
  <si>
    <t xml:space="preserve">84773</t>
  </si>
  <si>
    <t xml:space="preserve">KOYO LINBERG</t>
  </si>
  <si>
    <t xml:space="preserve">VF5100B</t>
  </si>
  <si>
    <t xml:space="preserve">Set of Cleanroom Manuals</t>
  </si>
  <si>
    <t xml:space="preserve">-Set of cleanroom manuals
-Seal in plastic bags
-Includes all manuals, training course notes , schematics etc.
</t>
  </si>
  <si>
    <t xml:space="preserve">106895</t>
  </si>
  <si>
    <t xml:space="preserve">KTC</t>
  </si>
  <si>
    <t xml:space="preserve">BT-30</t>
  </si>
  <si>
    <t xml:space="preserve">Die and ball shear tester</t>
  </si>
  <si>
    <t xml:space="preserve">84228</t>
  </si>
  <si>
    <t xml:space="preserve">Kurt J Lesker</t>
  </si>
  <si>
    <t xml:space="preserve">ISO160AVCRT</t>
  </si>
  <si>
    <t xml:space="preserve">Pump centering ring</t>
  </si>
  <si>
    <t xml:space="preserve">Kurt j. Lesker Pump centering ring QF160-SAVR
ISO,SS,C-ring,Viton
</t>
  </si>
  <si>
    <t xml:space="preserve">84229</t>
  </si>
  <si>
    <t xml:space="preserve">ISO100AVCRT</t>
  </si>
  <si>
    <t xml:space="preserve">Kurt j. Lesker Pump centering ring ISO100AVCRT
ISO,aluminum trapped centering ring
Viton'o'ring DN100
</t>
  </si>
  <si>
    <t xml:space="preserve">84230</t>
  </si>
  <si>
    <t xml:space="preserve"> ISO Flange ISO63, 5-hole, *NEW*</t>
  </si>
  <si>
    <t xml:space="preserve">5 hole pump flange</t>
  </si>
  <si>
    <t xml:space="preserve">new, old stock, ISO63 pump flange, 5-hole, NEW in the original 
packaging. From Kurt J Lesker, marked F35R part number. These are new, 
old-stock, sold as-is </t>
  </si>
  <si>
    <t xml:space="preserve">84282</t>
  </si>
  <si>
    <t xml:space="preserve">QF-SSC-ALM</t>
  </si>
  <si>
    <t xml:space="preserve">Single claw clamp</t>
  </si>
  <si>
    <t xml:space="preserve">QF-SSC-ALM clamp
ISO/63/100 M8 35mm bolt
</t>
  </si>
  <si>
    <t xml:space="preserve">84212</t>
  </si>
  <si>
    <t xml:space="preserve">QF160-SAVR</t>
  </si>
  <si>
    <t xml:space="preserve">110325</t>
  </si>
  <si>
    <t xml:space="preserve">Kurt J. Lesker </t>
  </si>
  <si>
    <t xml:space="preserve">AT3</t>
  </si>
  <si>
    <t xml:space="preserve">Sold Ex-Works, UK Office , Part Number:EJAT3 , Secondary P/N:9400150011</t>
  </si>
  <si>
    <t xml:space="preserve">109436</t>
  </si>
  <si>
    <t xml:space="preserve">KYOSAN</t>
  </si>
  <si>
    <t xml:space="preserve">15Z-S1</t>
  </si>
  <si>
    <t xml:space="preserve">109437</t>
  </si>
  <si>
    <t xml:space="preserve">15ZI-M</t>
  </si>
  <si>
    <t xml:space="preserve">109438</t>
  </si>
  <si>
    <t xml:space="preserve">HPK06ZI-TE7-SINGLE</t>
  </si>
  <si>
    <t xml:space="preserve">17</t>
  </si>
  <si>
    <t xml:space="preserve">Part Number: ES2L39-000021-12</t>
  </si>
  <si>
    <t xml:space="preserve">109439</t>
  </si>
  <si>
    <t xml:space="preserve">HPK15ZD</t>
  </si>
  <si>
    <t xml:space="preserve">109440</t>
  </si>
  <si>
    <t xml:space="preserve">JFK85TH-TC6</t>
  </si>
  <si>
    <t xml:space="preserve">Part Number: ES2L39-000048-64</t>
  </si>
  <si>
    <t xml:space="preserve">108761</t>
  </si>
  <si>
    <t xml:space="preserve">LABCONCO</t>
  </si>
  <si>
    <t xml:space="preserve">Protector</t>
  </si>
  <si>
    <t xml:space="preserve">Laboratory Fume Hood and Cabinet with Sink </t>
  </si>
  <si>
    <t xml:space="preserve">Sold as-is, working condition
 </t>
  </si>
  <si>
    <t xml:space="preserve">2873</t>
  </si>
  <si>
    <t xml:space="preserve">Lam</t>
  </si>
  <si>
    <t xml:space="preserve">4520 (spares)</t>
  </si>
  <si>
    <t xml:space="preserve">REMOTE CART</t>
  </si>
  <si>
    <t xml:space="preserve">Qty 2 available serial numbers:- 17750-1-b-1581183 17750-1-b-1651246  *®,™ 
Lam Research
Located in Avezzano, Italy</t>
  </si>
  <si>
    <t xml:space="preserve">106874</t>
  </si>
  <si>
    <t xml:space="preserve">2300 Exelan Flex</t>
  </si>
  <si>
    <t xml:space="preserve">Dry Etcher with 3 chambers</t>
  </si>
  <si>
    <t xml:space="preserve">Qty 3 chambers fitted
Chamber Type: Lam 2300 Exelan
Platform type:V2
Loadport type: Brooks
The equipment has been professionally de-installed, and inspection of the 
equipment is welcomed by appointment in the warehouse.
For details about the tool's condition and also the detailed configuration, 
please refer to the attached photos.</t>
  </si>
  <si>
    <t xml:space="preserve">109441</t>
  </si>
  <si>
    <t xml:space="preserve">LAM</t>
  </si>
  <si>
    <t xml:space="preserve">832-038915-103</t>
  </si>
  <si>
    <t xml:space="preserve">Part Number: 832-038915-103</t>
  </si>
  <si>
    <t xml:space="preserve">109442</t>
  </si>
  <si>
    <t xml:space="preserve">832-038915-203</t>
  </si>
  <si>
    <t xml:space="preserve">Part Number: 832-038915-203</t>
  </si>
  <si>
    <t xml:space="preserve">109443</t>
  </si>
  <si>
    <t xml:space="preserve">853-040482-502</t>
  </si>
  <si>
    <t xml:space="preserve">Part Number: 853-040482-502</t>
  </si>
  <si>
    <t xml:space="preserve">109444</t>
  </si>
  <si>
    <t xml:space="preserve">853-040482-600</t>
  </si>
  <si>
    <t xml:space="preserve">Part Number: 853-040482-600</t>
  </si>
  <si>
    <t xml:space="preserve">109445</t>
  </si>
  <si>
    <t xml:space="preserve">853-085372-114</t>
  </si>
  <si>
    <t xml:space="preserve">Part Number: 853-085372-114</t>
  </si>
  <si>
    <t xml:space="preserve">109446</t>
  </si>
  <si>
    <t xml:space="preserve">853-085375-015</t>
  </si>
  <si>
    <t xml:space="preserve">Part Number: 853-085375-015</t>
  </si>
  <si>
    <t xml:space="preserve">95408</t>
  </si>
  <si>
    <t xml:space="preserve">106691</t>
  </si>
  <si>
    <t xml:space="preserve">2300 CHAMBER ONLY</t>
  </si>
  <si>
    <t xml:space="preserve"> MWAVE STRIP (POLY)</t>
  </si>
  <si>
    <t xml:space="preserve">106692</t>
  </si>
  <si>
    <t xml:space="preserve">106693</t>
  </si>
  <si>
    <t xml:space="preserve">106694</t>
  </si>
  <si>
    <t xml:space="preserve">106695</t>
  </si>
  <si>
    <t xml:space="preserve">106696</t>
  </si>
  <si>
    <t xml:space="preserve">2300 FX EX+ CHAMBER ONLY</t>
  </si>
  <si>
    <t xml:space="preserve">PLASMA OXIDE ETCH</t>
  </si>
  <si>
    <t xml:space="preserve">106697</t>
  </si>
  <si>
    <t xml:space="preserve">2300 MWAVE STRPR CHAMBER</t>
  </si>
  <si>
    <t xml:space="preserve">106698</t>
  </si>
  <si>
    <t xml:space="preserve">ALTUS</t>
  </si>
  <si>
    <t xml:space="preserve">106699</t>
  </si>
  <si>
    <t xml:space="preserve">FLEX FX CHAMBER ONLY</t>
  </si>
  <si>
    <t xml:space="preserve">106700</t>
  </si>
  <si>
    <t xml:space="preserve">Novellus Altus Max Concept Three</t>
  </si>
  <si>
    <t xml:space="preserve">Tungsten CVD</t>
  </si>
  <si>
    <t xml:space="preserve">Deinstalled, warehoused. Can be inspected by appointment.
Equipment deinstalled date: May 2022
Manufacturer: Lam
Model: Altus Max /EFx
Type: Tungsten CVD
Vintage: Mar 2014
Configuration:
-Qty 3 x 300 mm Pod loaders
Loadport type: TDK TAS 300
-ATM Robot
-WTS
-C3 Altus EFX Module Mod C
-C3 Altus Max Module Mod A with 4 stations
-Robot type: 02-427863-00</t>
  </si>
  <si>
    <t xml:space="preserve">106701</t>
  </si>
  <si>
    <t xml:space="preserve">TORUS300K</t>
  </si>
  <si>
    <t xml:space="preserve">DRY Bevel Etcher</t>
  </si>
  <si>
    <t xml:space="preserve">110326</t>
  </si>
  <si>
    <t xml:space="preserve">6 inch RF Coil</t>
  </si>
  <si>
    <t xml:space="preserve">Sold Ex-Works, UK Office , Part Number:853-032104-006</t>
  </si>
  <si>
    <t xml:space="preserve">110327</t>
  </si>
  <si>
    <t xml:space="preserve">9500</t>
  </si>
  <si>
    <t xml:space="preserve">110328</t>
  </si>
  <si>
    <t xml:space="preserve">Sold Ex-Works, UK Office , Part Number:853-250118-001</t>
  </si>
  <si>
    <t xml:space="preserve">110329</t>
  </si>
  <si>
    <t xml:space="preserve">110330</t>
  </si>
  <si>
    <t xml:space="preserve">110331</t>
  </si>
  <si>
    <t xml:space="preserve">Kiyo Poly Match</t>
  </si>
  <si>
    <t xml:space="preserve">Sold Ex-Works, UK Office , Part Number:853-800749-014</t>
  </si>
  <si>
    <t xml:space="preserve">110332</t>
  </si>
  <si>
    <t xml:space="preserve">Research Match</t>
  </si>
  <si>
    <t xml:space="preserve">Sold Ex-Works, UK Office , Part Number:LAM AS1Q</t>
  </si>
  <si>
    <t xml:space="preserve">110333</t>
  </si>
  <si>
    <t xml:space="preserve">TCP Upper Match</t>
  </si>
  <si>
    <t xml:space="preserve">Sold Ex-Works, UK Office , Part Number:853-031685-001</t>
  </si>
  <si>
    <t xml:space="preserve">110334</t>
  </si>
  <si>
    <t xml:space="preserve">Sold Ex-Works, UK Office , Part Number:853-031685-002-2-C201</t>
  </si>
  <si>
    <t xml:space="preserve">110335</t>
  </si>
  <si>
    <t xml:space="preserve">Versys Poly match</t>
  </si>
  <si>
    <t xml:space="preserve">Sold Ex-Works, UK Office , Part Number:832-038915-103</t>
  </si>
  <si>
    <t xml:space="preserve">108445</t>
  </si>
  <si>
    <t xml:space="preserve">LAM / SEZ</t>
  </si>
  <si>
    <t xml:space="preserve">SP203</t>
  </si>
  <si>
    <t xml:space="preserve">108446</t>
  </si>
  <si>
    <t xml:space="preserve">SP304</t>
  </si>
  <si>
    <t xml:space="preserve">108447</t>
  </si>
  <si>
    <t xml:space="preserve">SP4300</t>
  </si>
  <si>
    <t xml:space="preserve">109234</t>
  </si>
  <si>
    <t xml:space="preserve">106240</t>
  </si>
  <si>
    <t xml:space="preserve">Lam Research</t>
  </si>
  <si>
    <t xml:space="preserve">853-011168-002 Rev C</t>
  </si>
  <si>
    <t xml:space="preserve">Surge Protector, Gap Drive Motor Assy</t>
  </si>
  <si>
    <t xml:space="preserve">-removed from a working machine
-Sold "as is, where is"
-Will ship to you from our warehouse in Avezzano 67051 Italy</t>
  </si>
  <si>
    <t xml:space="preserve">108038</t>
  </si>
  <si>
    <t xml:space="preserve">LAM RESEARCH</t>
  </si>
  <si>
    <t xml:space="preserve">At this time, we have the following list of Lam Research Spare parts for 
sale.
Please refer to the list attached in excel and below in HTML:-
No. 	MAKER 	Part No. 	Description 	Q'TY 	Condition
1 	LAM 	810-099175-009 REV B 	VIOP,PHASE 3 	1 	Used
2 	LAM 	810-099175-011 REV B 	VIOP,PHASE 3 	1 	Used
3 	LAM 	810-099175-011 REV A 	VIOP,PHASE 3 	1 	Used
4 	LAM 	605-707109-001 	LONTALK NETWORK INTERFACE ASSY
B105-0102 REV D VME-LTNI-S3 	5 	Used
5 	LAM 	810-068158-001 	ROBOT INTERFACE 	1 	Used
6 	LAM 	810-072903-004 REV G 	LONWORKS , PIO 	1 	Used
7 	LAM 	880-012536-101.A1 	SYS68K/SASI-1 CPU // 880-12536-101.A1 	1 	Used
8 	LAM 	880-012537-101.A3 	SYS68K/CPU-6VB // 880-12537-101.A3 	1 	Used
9 	LAM 	810-017038-002 	SYS68K/SIO-2 REV.2 / SERIAL I/O BOARD 	1 	Used
10 	LAM 	810-017031-004 	ADIO 	1 	Used
11 	LAM 	810-017075-003 	Gas Panel Interlock PCB 	1 	Used
12 	LAM 	810-015932-001 	PCB DIP Autotune Low Frequency 	2 	Used
13 	LAM 	810-017082-001 	16 CHANNEL HEAT/COOL BD 	1 	Used
14 	LAM 	810-017003-004 	PCB DIP High Frequency PCB Board 	5 	Used
15 	LAM 	810-073479-005 REV A 	JETSTREAM GAS BOX MB 	2 	Used
16 	LAM 	810-031325-002 REV B 	16 IGS MOTHER BOARD , DGF 	1 	Used
17 	LAM 	810-810193-103 REV C 	MOTHER BOARD , VTM 	2 	Used
18 	LAM 	810-800081-015 REV D 	P2 MB , VME ETCH 	1 	Used
19 	LAM 	810-800082-029 REV A 	VME BREAKOUT , KIYO45 	1 	Used
20 	LAM 	810-800082-029 REV. B
810-800081-013 REV. A
101VMEJ106-9001 REV. B 	VME BREAKOUT , KIYO45
P2 MB, VME
BUS TRONIC ASSY 	2SET 	Used
21 	LAM 	853-330476-001 	ASSY , RF FILTER , ESC , 9600 	1 	Used
22 	LAM 	PCB 000-061 REV M 	38A Elevator PCB 	1 	Used
23 	LAM 	810-800256-004 REV E 	NODE BOARD,TYPE 3 	1 	Used
24 	LAM 	810-800256-004 REV G 	NODE BOARD,TYPE 3 	1 	Used
25 	LAM 	810-800256-004 REV F 	NODE BOARD,TYPE 3 	2 	Used
26 	LAM 	810-000839-003 REV B 	ESC CURRENT MONITOR 	1 	Used
27 	LAM 	810-017015-001 REV A 	WAFER EDGE SENSOR 	1 	Used
28 	LAM 	810-017016-001 REV E 	STEPPER MOTOR DRIVER BD 	3 	Used
29 	LAM 	853-190023-001 REV A 	Controller Assembly 272072-00 	1 	Used
30 	LAM 	AC-2 	Tylan General AdapTorr AC-2 Controller 	1 	Used
31 	LAM 	514-220001-002 	PT CONTROL 	1 	Used
32 	LAM 	38A ELEVATOR 	  	1 	Used
33 	LAM 	810-801130-005 	PCB, Assy TC &amp; RTD 	1 	Used
34 	LAM 	810-102361-222 	CHAMBER MUX 	1 	Used
35 	LAM 	853-064887-010 	13.56 MHz RF Source Unit 	1 	Used
36 	LAM 	810-048219-021 	Pluse SMPL &amp; Hold W/SYNC OUT 	1 	Used
37 	LAM 	810-802969-002 	300mm Heater Filter 	2 	Used
38 	LAM 	810-225420-002 	PCBA, Lonworks, 6 Port RS-232, NODE 	2 	Used
39 	LAM 	853-038269-638 	  	1 	Used
40 	LAM 	853-038269-653 	  	1 	Used
41 	LAM 	853-067076-012 +
839-046079-024 C 	  	2 	Used
42 	LAM 	715-800332-028 	  	2 	Used
43 	LAM 	716-084752-023 	  	1 	Used
44 	LAM 	715-022497-020 +
790-022847-003 	  	2 	Used
45 	LAM 	  	CVBA-500BC/5-BEA-L
5-500pF 513KV 	2 	Used
 </t>
  </si>
  <si>
    <t xml:space="preserve">108572</t>
  </si>
  <si>
    <t xml:space="preserve">INOVA</t>
  </si>
  <si>
    <t xml:space="preserve">108573</t>
  </si>
  <si>
    <t xml:space="preserve">108574</t>
  </si>
  <si>
    <t xml:space="preserve">STRATA-3</t>
  </si>
  <si>
    <t xml:space="preserve">108575</t>
  </si>
  <si>
    <t xml:space="preserve">STRIKER</t>
  </si>
  <si>
    <t xml:space="preserve">108576</t>
  </si>
  <si>
    <t xml:space="preserve">108577</t>
  </si>
  <si>
    <t xml:space="preserve">Vector Express</t>
  </si>
  <si>
    <t xml:space="preserve">100919</t>
  </si>
  <si>
    <t xml:space="preserve">LAM Research</t>
  </si>
  <si>
    <t xml:space="preserve">CVD System</t>
  </si>
  <si>
    <t xml:space="preserve">100920</t>
  </si>
  <si>
    <t xml:space="preserve">100921</t>
  </si>
  <si>
    <t xml:space="preserve">ALTUS </t>
  </si>
  <si>
    <t xml:space="preserve">103538</t>
  </si>
  <si>
    <t xml:space="preserve">INOVA Concept 3</t>
  </si>
  <si>
    <t xml:space="preserve">NExT</t>
  </si>
  <si>
    <t xml:space="preserve">105861</t>
  </si>
  <si>
    <t xml:space="preserve">853-495477-001 Rev B</t>
  </si>
  <si>
    <t xml:space="preserve">Cable</t>
  </si>
  <si>
    <t xml:space="preserve">Spare Lam Cable
New OEM PART IN ORIGINAL PACKAGING, UNOPENED</t>
  </si>
  <si>
    <t xml:space="preserve">105862</t>
  </si>
  <si>
    <t xml:space="preserve">853-017410-003 REV A</t>
  </si>
  <si>
    <t xml:space="preserve">Assy. cable.LWR match,Pk det.</t>
  </si>
  <si>
    <t xml:space="preserve">BRAND NEW, UNUSED OEM PARTS, IN THE ORIGINAL SEALED PACKAGING</t>
  </si>
  <si>
    <t xml:space="preserve">108167</t>
  </si>
  <si>
    <t xml:space="preserve">2300 MWAVE STRPR</t>
  </si>
  <si>
    <t xml:space="preserve">108168</t>
  </si>
  <si>
    <t xml:space="preserve">FLEX_GX_E6</t>
  </si>
  <si>
    <t xml:space="preserve">Oxide ETCH </t>
  </si>
  <si>
    <t xml:space="preserve">108169</t>
  </si>
  <si>
    <t xml:space="preserve">VECTOR EXPRESS</t>
  </si>
  <si>
    <t xml:space="preserve">TEOS CVD</t>
  </si>
  <si>
    <t xml:space="preserve">108170</t>
  </si>
  <si>
    <t xml:space="preserve">109206</t>
  </si>
  <si>
    <t xml:space="preserve">2300 Coronus</t>
  </si>
  <si>
    <t xml:space="preserve">Wafer Edge Cleaning - Plasma</t>
  </si>
  <si>
    <t xml:space="preserve">109207</t>
  </si>
  <si>
    <t xml:space="preserve">2300 Exelan Flex FX - Chamber Only</t>
  </si>
  <si>
    <t xml:space="preserve">109208</t>
  </si>
  <si>
    <t xml:space="preserve">2300 Versys Metal</t>
  </si>
  <si>
    <t xml:space="preserve">84377</t>
  </si>
  <si>
    <t xml:space="preserve">810-06526-000</t>
  </si>
  <si>
    <t xml:space="preserve">ASSY.CBL.EF CONTROL.SNIPER</t>
  </si>
  <si>
    <t xml:space="preserve">XSGT-16742-MT
WEIGHT:100 GR.
DIMENSION: 2,5 X 6,5 CM X 2 (H)
</t>
  </si>
  <si>
    <t xml:space="preserve">109209</t>
  </si>
  <si>
    <t xml:space="preserve">2300e4 Exelan Flex DX</t>
  </si>
  <si>
    <t xml:space="preserve">109210</t>
  </si>
  <si>
    <t xml:space="preserve">2300e4 Exelan Flex ES</t>
  </si>
  <si>
    <t xml:space="preserve">108448</t>
  </si>
  <si>
    <t xml:space="preserve">108704</t>
  </si>
  <si>
    <t xml:space="preserve">490 Autoetch</t>
  </si>
  <si>
    <t xml:space="preserve">Polysilicon Dry Etcher</t>
  </si>
  <si>
    <t xml:space="preserve">LAM 490 AutoEtcher qty 3 available. Wafer size: 6 inch Upgraded TFT 
monitors Incl maintenance console Conditon: AS IS (No Chiller, No pump but 
with ENI RF Generator) Features: Single-wafer processing Fully automated 
microprocessor control Cassette-to-cassette wafer processing Vacuum load 
locked Programmable, variable electrode spacing Endpoint detection 
Configurable for 3-inch to 6-inch wafers Stand-alone or bulk-head mount 
configuration</t>
  </si>
  <si>
    <t xml:space="preserve">108449</t>
  </si>
  <si>
    <t xml:space="preserve">102568</t>
  </si>
  <si>
    <t xml:space="preserve">TORUS 300K</t>
  </si>
  <si>
    <t xml:space="preserve">Dry Etch</t>
  </si>
  <si>
    <t xml:space="preserve">102569</t>
  </si>
  <si>
    <t xml:space="preserve">TORUS 300S</t>
  </si>
  <si>
    <t xml:space="preserve">108457</t>
  </si>
  <si>
    <t xml:space="preserve">2300e4 Exelan Flex GXE</t>
  </si>
  <si>
    <t xml:space="preserve">91320</t>
  </si>
  <si>
    <t xml:space="preserve">EXELAN 2300</t>
  </si>
  <si>
    <t xml:space="preserve">OXIDE ETCH </t>
  </si>
  <si>
    <t xml:space="preserve">18898</t>
  </si>
  <si>
    <t xml:space="preserve">406-240121-008</t>
  </si>
  <si>
    <t xml:space="preserve">TCP 9600SE Drawings and schematics Vol 3</t>
  </si>
  <si>
    <t xml:space="preserve">18899</t>
  </si>
  <si>
    <t xml:space="preserve">406-240121-005</t>
  </si>
  <si>
    <t xml:space="preserve">TCP 9600SE Maintenance procedure</t>
  </si>
  <si>
    <t xml:space="preserve">18900</t>
  </si>
  <si>
    <t xml:space="preserve">406-240122-007</t>
  </si>
  <si>
    <t xml:space="preserve">TCP 9600SE Drawing and schematics Vol 2 </t>
  </si>
  <si>
    <t xml:space="preserve">18901</t>
  </si>
  <si>
    <t xml:space="preserve">406-240122-006</t>
  </si>
  <si>
    <t xml:space="preserve">TCP 9600SE Drawing and schematics Vol 1 </t>
  </si>
  <si>
    <t xml:space="preserve">18902</t>
  </si>
  <si>
    <t xml:space="preserve">406-240121-006</t>
  </si>
  <si>
    <t xml:space="preserve">18903</t>
  </si>
  <si>
    <t xml:space="preserve">406-240121-007</t>
  </si>
  <si>
    <t xml:space="preserve">18904</t>
  </si>
  <si>
    <t xml:space="preserve">TCP 9600SE Manual set addendum</t>
  </si>
  <si>
    <t xml:space="preserve">18905</t>
  </si>
  <si>
    <t xml:space="preserve">409-240164-001</t>
  </si>
  <si>
    <t xml:space="preserve">TCP rainbow e oxide 9500</t>
  </si>
  <si>
    <t xml:space="preserve">18906</t>
  </si>
  <si>
    <t xml:space="preserve">406-240040-002</t>
  </si>
  <si>
    <t xml:space="preserve">TCP Rainbow 4500 system descriptions</t>
  </si>
  <si>
    <t xml:space="preserve">18907</t>
  </si>
  <si>
    <t xml:space="preserve">406-240203-074 </t>
  </si>
  <si>
    <t xml:space="preserve">TPC 9400/9600 PTX alliance installation guide</t>
  </si>
  <si>
    <t xml:space="preserve">18908</t>
  </si>
  <si>
    <t xml:space="preserve">406-240101-001</t>
  </si>
  <si>
    <t xml:space="preserve">TCP 9400 SE installations and start up</t>
  </si>
  <si>
    <t xml:space="preserve">18909</t>
  </si>
  <si>
    <t xml:space="preserve">407-240100-001 </t>
  </si>
  <si>
    <t xml:space="preserve">TCP 9400 illustrated part identifier</t>
  </si>
  <si>
    <t xml:space="preserve">18910</t>
  </si>
  <si>
    <t xml:space="preserve">406-240121-003</t>
  </si>
  <si>
    <t xml:space="preserve">TCP 9600 SE system operation</t>
  </si>
  <si>
    <t xml:space="preserve">18911</t>
  </si>
  <si>
    <t xml:space="preserve">406-240121-002</t>
  </si>
  <si>
    <t xml:space="preserve">TCP 9600 SE system description</t>
  </si>
  <si>
    <t xml:space="preserve">18912</t>
  </si>
  <si>
    <t xml:space="preserve">406-240101-005 </t>
  </si>
  <si>
    <t xml:space="preserve">TCP 9400 SE maintenance classic</t>
  </si>
  <si>
    <t xml:space="preserve">18913</t>
  </si>
  <si>
    <t xml:space="preserve">406-240203-074</t>
  </si>
  <si>
    <t xml:space="preserve">TCP 9400/9600 PTX alliance installation guide</t>
  </si>
  <si>
    <t xml:space="preserve">Good condition, located in our Avezzano, Italy warehouse.</t>
  </si>
  <si>
    <t xml:space="preserve">18914</t>
  </si>
  <si>
    <t xml:space="preserve">409-240163-001</t>
  </si>
  <si>
    <t xml:space="preserve">Rainbow TCP Envision LAM RESEARCH SECS and SECS/GEM interface</t>
  </si>
  <si>
    <t xml:space="preserve">18915</t>
  </si>
  <si>
    <t xml:space="preserve">406-240100-005</t>
  </si>
  <si>
    <t xml:space="preserve">TCP 9400 maintenance procedure</t>
  </si>
  <si>
    <t xml:space="preserve">18916</t>
  </si>
  <si>
    <t xml:space="preserve">406-240101-008</t>
  </si>
  <si>
    <t xml:space="preserve">Drawings and schematics Vol3</t>
  </si>
  <si>
    <t xml:space="preserve">18917</t>
  </si>
  <si>
    <t xml:space="preserve">406-240101-006 </t>
  </si>
  <si>
    <t xml:space="preserve">98277</t>
  </si>
  <si>
    <t xml:space="preserve">Asher/Stripper</t>
  </si>
  <si>
    <t xml:space="preserve">18918</t>
  </si>
  <si>
    <t xml:space="preserve">406-240101-005</t>
  </si>
  <si>
    <t xml:space="preserve">Drawings and schematics Vol1</t>
  </si>
  <si>
    <t xml:space="preserve">18919</t>
  </si>
  <si>
    <t xml:space="preserve">406-240101-007</t>
  </si>
  <si>
    <t xml:space="preserve">Drawings and schematics Vol2</t>
  </si>
  <si>
    <t xml:space="preserve">98279</t>
  </si>
  <si>
    <t xml:space="preserve">FLEX GX E6</t>
  </si>
  <si>
    <t xml:space="preserve">OXIDE ETCH</t>
  </si>
  <si>
    <t xml:space="preserve">18920</t>
  </si>
  <si>
    <t xml:space="preserve">406-240122-009</t>
  </si>
  <si>
    <t xml:space="preserve">Drawings and schematics Vol4</t>
  </si>
  <si>
    <t xml:space="preserve">98280</t>
  </si>
  <si>
    <t xml:space="preserve">18927</t>
  </si>
  <si>
    <t xml:space="preserve">406-240122-008</t>
  </si>
  <si>
    <t xml:space="preserve">Drawing and schematics Vol3</t>
  </si>
  <si>
    <t xml:space="preserve">18928</t>
  </si>
  <si>
    <t xml:space="preserve">406-240122-010</t>
  </si>
  <si>
    <t xml:space="preserve">Drawing and schematics Vol5</t>
  </si>
  <si>
    <t xml:space="preserve">108280</t>
  </si>
  <si>
    <t xml:space="preserve">TCP 9600SE</t>
  </si>
  <si>
    <t xml:space="preserve">metal etcher</t>
  </si>
  <si>
    <t xml:space="preserve">106820</t>
  </si>
  <si>
    <t xml:space="preserve">Lam Research Ontrak</t>
  </si>
  <si>
    <t xml:space="preserve">Synergy</t>
  </si>
  <si>
    <t xml:space="preserve">Post CMP cleaner with HEPA mini-environment</t>
  </si>
  <si>
    <t xml:space="preserve">De-installed, warehoused. Can be inspected by appointment.
Right now, I have two complete sets of Ontrak Synergy cleaners for sale.
Please check the attached pictures for reference. Each cleaner comes with a 
Hepa mini-environment, two units of  LPT 2200 for wafer load and unload, 
and the cleaner itself.
They are in working condition since I have powered on and tested the 
function in Nov. 2022.</t>
  </si>
  <si>
    <t xml:space="preserve">106866</t>
  </si>
  <si>
    <t xml:space="preserve">Lam Research ®</t>
  </si>
  <si>
    <t xml:space="preserve">Jetstream MZI</t>
  </si>
  <si>
    <t xml:space="preserve">Gas Box, new and unused, p/n 571-065780-91534F</t>
  </si>
  <si>
    <t xml:space="preserve">-Unused, brand new and still in original packing materials
Model: Jetstream MZI gas box.
Part number: 571-065780-91534F
System Interconnect Diagram: 224-065780-002
System P-ID: 251-077848-787
System Pneumatic Diagram: 251-065780-787
Max. inlet pressure: 150 PSIG
Number of lines: 16
Packed Dimensions and weight:- 34 in x 30 in x 41 in weight 320 lbs
See attached photos showing what is included.</t>
  </si>
  <si>
    <t xml:space="preserve">110336</t>
  </si>
  <si>
    <t xml:space="preserve">Lambda</t>
  </si>
  <si>
    <t xml:space="preserve">SPA 400</t>
  </si>
  <si>
    <t xml:space="preserve">Sold Ex-Works, UK Office , Part Number:SPA400D-2A/220 , Secondary 
P/N:163369</t>
  </si>
  <si>
    <t xml:space="preserve">82879</t>
  </si>
  <si>
    <t xml:space="preserve">LAMBDA</t>
  </si>
  <si>
    <t xml:space="preserve">CKS-36-21A</t>
  </si>
  <si>
    <t xml:space="preserve">36V DC Regulated power supply, Advantest T5335P</t>
  </si>
  <si>
    <t xml:space="preserve">  Removed from working service from Advantest T5335P tester
 CKS-36-21A 36V 21A power supply
 </t>
  </si>
  <si>
    <t xml:space="preserve">13044</t>
  </si>
  <si>
    <t xml:space="preserve">CA1000</t>
  </si>
  <si>
    <t xml:space="preserve">Alpha 1000W  CA1000 Power Supply </t>
  </si>
  <si>
    <t xml:space="preserve">ch1 ch2 output volts (v)- 5 12 output current (A)- 60 33 off load volts 
(v)- 4.990 11.925 load regulation(%)- 0.100 0.000 line regulation (%)- 
0.000 0.000 PARD (vpp)- 0.027 0.068 current limit- pass pass short circuit 
(a)- 71.100 39.725 overvoltage- pass pass</t>
  </si>
  <si>
    <t xml:space="preserve">15066</t>
  </si>
  <si>
    <t xml:space="preserve">LAMBDA PHYSIK</t>
  </si>
  <si>
    <t xml:space="preserve">Novaline K2005</t>
  </si>
  <si>
    <t xml:space="preserve">248 nm excimer laser for ASML /300</t>
  </si>
  <si>
    <t xml:space="preserve">WILL SHIP TO YOU EXW FROM AVEZZANO (AQ) 67051 ITALY.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</si>
  <si>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 xml:space="preserve">94475</t>
  </si>
  <si>
    <t xml:space="preserve">LASERTEC</t>
  </si>
  <si>
    <t xml:space="preserve">BGM300</t>
  </si>
  <si>
    <t xml:space="preserve">Wafer Surface Analyzing and VIsualization System</t>
  </si>
  <si>
    <t xml:space="preserve">106702</t>
  </si>
  <si>
    <t xml:space="preserve">106484</t>
  </si>
  <si>
    <t xml:space="preserve">Laurier</t>
  </si>
  <si>
    <t xml:space="preserve">DS-7000T/R</t>
  </si>
  <si>
    <t xml:space="preserve">Die Pick and Sort</t>
  </si>
  <si>
    <t xml:space="preserve">A Shut down in Fab. Needs to be removed in the next few weeks.</t>
  </si>
  <si>
    <t xml:space="preserve">108762</t>
  </si>
  <si>
    <t xml:space="preserve">LEATHERWOOD</t>
  </si>
  <si>
    <t xml:space="preserve">LPD333.FR4.FT</t>
  </si>
  <si>
    <t xml:space="preserve">Semi-Auto Automated 6' Acid Wet Bench, for up to 6" Wafers, Excellent Condition</t>
  </si>
  <si>
    <t xml:space="preserve">Wafer Size Range    
  Minimum     75 mm
  Maximum     150 mm
  Set Size     150 mm
Number of Positions     3
Number of Robots     1
Automatic Wafer Transfer     YES
Controller Type     PLC Controller Type</t>
  </si>
  <si>
    <t xml:space="preserve">108763</t>
  </si>
  <si>
    <t xml:space="preserve">LPJ333.SS.ADFTX</t>
  </si>
  <si>
    <t xml:space="preserve">Semi-Auto 6' Solvent Wet Bench, for up to 6" Wafers, Excellent Condition</t>
  </si>
  <si>
    <t xml:space="preserve">Wafer Size Range    
  Minimum     75 mm
  Maximum     150 mm
  Set Size     150 mm
Number of Robots     1
Automatic Wafer Transfer     YES
Condition     Like New</t>
  </si>
  <si>
    <t xml:space="preserve">11234</t>
  </si>
  <si>
    <t xml:space="preserve">LEE VAC</t>
  </si>
  <si>
    <t xml:space="preserve">Gate valves</t>
  </si>
  <si>
    <t xml:space="preserve">gate valves components part that are connected to the process system.The 
inlet of the pump is ISO 40 and the outlet of the exhaust-extraction system 
has an NW 40 flange.Weight:12.5kg</t>
  </si>
  <si>
    <t xml:space="preserve">108171</t>
  </si>
  <si>
    <t xml:space="preserve">LEICA</t>
  </si>
  <si>
    <t xml:space="preserve">INM100</t>
  </si>
  <si>
    <t xml:space="preserve">Microscope</t>
  </si>
  <si>
    <t xml:space="preserve">108172</t>
  </si>
  <si>
    <t xml:space="preserve">108173</t>
  </si>
  <si>
    <t xml:space="preserve">108174</t>
  </si>
  <si>
    <t xml:space="preserve">KENSINGTON 300901</t>
  </si>
  <si>
    <t xml:space="preserve">Wafer Inspection Microscope</t>
  </si>
  <si>
    <t xml:space="preserve">108175</t>
  </si>
  <si>
    <t xml:space="preserve">108176</t>
  </si>
  <si>
    <t xml:space="preserve">108177</t>
  </si>
  <si>
    <t xml:space="preserve">108178</t>
  </si>
  <si>
    <t xml:space="preserve">Polyvar SC</t>
  </si>
  <si>
    <t xml:space="preserve">POLYVAR SCOPE</t>
  </si>
  <si>
    <t xml:space="preserve">108179</t>
  </si>
  <si>
    <t xml:space="preserve">Reichert POLYVAR SC</t>
  </si>
  <si>
    <t xml:space="preserve">108180</t>
  </si>
  <si>
    <t xml:space="preserve">Reichert-Jung, Kensington 300901</t>
  </si>
  <si>
    <t xml:space="preserve">108181</t>
  </si>
  <si>
    <t xml:space="preserve">108182</t>
  </si>
  <si>
    <t xml:space="preserve">108183</t>
  </si>
  <si>
    <t xml:space="preserve">109211</t>
  </si>
  <si>
    <t xml:space="preserve">Leica</t>
  </si>
  <si>
    <t xml:space="preserve">INS3300</t>
  </si>
  <si>
    <t xml:space="preserve">Macro-Defect</t>
  </si>
  <si>
    <t xml:space="preserve">109212</t>
  </si>
  <si>
    <t xml:space="preserve">109213</t>
  </si>
  <si>
    <t xml:space="preserve">106485</t>
  </si>
  <si>
    <t xml:space="preserve">LEICA INM20</t>
  </si>
  <si>
    <t xml:space="preserve">Microscope inspection station</t>
  </si>
  <si>
    <t xml:space="preserve">83570</t>
  </si>
  <si>
    <t xml:space="preserve">Leitz</t>
  </si>
  <si>
    <t xml:space="preserve">512815 / 2</t>
  </si>
  <si>
    <t xml:space="preserve">Microscope for KLA 51xx with olympus eyepieces</t>
  </si>
  <si>
    <t xml:space="preserve">512 815/20</t>
  </si>
  <si>
    <t xml:space="preserve">Overlay Measurement System trinocular microscope head, with 2 olypus 
eyepieces.</t>
  </si>
  <si>
    <t xml:space="preserve">109017</t>
  </si>
  <si>
    <t xml:space="preserve">LEITZ</t>
  </si>
  <si>
    <t xml:space="preserve">ERGOLUX AMC -LIS</t>
  </si>
  <si>
    <t xml:space="preserve">Inspection microscopes</t>
  </si>
  <si>
    <t xml:space="preserve">Inspection microscopes with automatic plate loading/unloading module LIS 
plate assembly 150mm . As is.
Lenses:
NPL Fluotar 5x/0,09
NPL Fluotar 10x/0,22 DF
NPL Fluotar 20x/0,45DF
NPL Fluotar 100x/0,90DF</t>
  </si>
  <si>
    <t xml:space="preserve">106241</t>
  </si>
  <si>
    <t xml:space="preserve">LEYBOLD</t>
  </si>
  <si>
    <t xml:space="preserve">ISO-K 100</t>
  </si>
  <si>
    <t xml:space="preserve">Large ISO-K Vacuum Bellows and 90 Degree Elbow</t>
  </si>
  <si>
    <t xml:space="preserve">SEE PHOTOS FOR DETAILS
PACKED WEIGHT AND DIMS: 33 CM X 44 CM X 28 CM (H) WEIGHT 4.6 KG
LENGTH OF BELLOWS PART: 25 CM</t>
  </si>
  <si>
    <t xml:space="preserve">77003</t>
  </si>
  <si>
    <t xml:space="preserve">Leybold</t>
  </si>
  <si>
    <t xml:space="preserve">287 02 V2</t>
  </si>
  <si>
    <t xml:space="preserve">Pump Valve</t>
  </si>
  <si>
    <t xml:space="preserve">Leybold 287-03-V2
</t>
  </si>
  <si>
    <t xml:space="preserve">108838</t>
  </si>
  <si>
    <t xml:space="preserve">LEYBOLD-HERAEUS</t>
  </si>
  <si>
    <t xml:space="preserve">NT-450</t>
  </si>
  <si>
    <t xml:space="preserve">Turbo Pump Controller</t>
  </si>
  <si>
    <t xml:space="preserve">108839</t>
  </si>
  <si>
    <t xml:space="preserve">TMP-450C</t>
  </si>
  <si>
    <t xml:space="preserve">Turbo Pump, 2ea Available</t>
  </si>
  <si>
    <t xml:space="preserve">108840</t>
  </si>
  <si>
    <t xml:space="preserve">Turbotronik NT 150/360</t>
  </si>
  <si>
    <t xml:space="preserve">Turbomolecular Vacuum Pump Controller</t>
  </si>
  <si>
    <t xml:space="preserve">108841</t>
  </si>
  <si>
    <t xml:space="preserve">Turbovac 150 </t>
  </si>
  <si>
    <t xml:space="preserve">108842</t>
  </si>
  <si>
    <t xml:space="preserve">Turbovac 150CSV</t>
  </si>
  <si>
    <t xml:space="preserve">33542</t>
  </si>
  <si>
    <t xml:space="preserve">Liebherr</t>
  </si>
  <si>
    <t xml:space="preserve">FKV 3610</t>
  </si>
  <si>
    <t xml:space="preserve">Fridge for the safe storage of photoresist</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</si>
  <si>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</si>
  <si>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106486</t>
  </si>
  <si>
    <t xml:space="preserve">Lintec</t>
  </si>
  <si>
    <t xml:space="preserve">RAD-2000F / 8</t>
  </si>
  <si>
    <t xml:space="preserve">LINTEC UV CURE TOOL</t>
  </si>
  <si>
    <t xml:space="preserve">106487</t>
  </si>
  <si>
    <t xml:space="preserve">RAD-2500</t>
  </si>
  <si>
    <t xml:space="preserve">Lintec Wafter Mounter RAD2500</t>
  </si>
  <si>
    <t xml:space="preserve">106488</t>
  </si>
  <si>
    <t xml:space="preserve">RAD-2500M/8</t>
  </si>
  <si>
    <t xml:space="preserve">Wafer mounter</t>
  </si>
  <si>
    <t xml:space="preserve">MANUAL. Shut down in Fab. Needs to be removed in the next few weeks.</t>
  </si>
  <si>
    <t xml:space="preserve">107008</t>
  </si>
  <si>
    <t xml:space="preserve">Long Hill Ind. Ltd.</t>
  </si>
  <si>
    <t xml:space="preserve">LH 836</t>
  </si>
  <si>
    <t xml:space="preserve">Automated Wafer taper</t>
  </si>
  <si>
    <t xml:space="preserve">Deinstalled, warehoused.
Note: This tool was a prototype.
Model LH836 Automatic Back Grind Tape &amp; Photo Resist Film Laminator from 
Longhill Industries, Ltd., utilizing the unique and proven Longhill vacuum 
laminating process, no troublesome rollers to clean and adjust, the tape or 
film and wafer are brought together inside a vacuum chamber.
Vacuum laminating is especially adapted to bumped wafers. During the vacuum 
laminating process there is a reduced atmosphere captured between the wafer 
surface and the tape, this effect causes the tape to more readily conform 
evenly over the bumps, especially around the wafer edge.
Programmable uniform tape tension minimizes wafer warp caused by uneven 
tape tension. Programmable cutter excises the wafer from the tape leaving 
no strings, burrs or leftover tape protrusions. Double side laminating in 
one pass is added optional feature.
Located in Europe. This therefore has European voltage set up and CE mark.</t>
  </si>
  <si>
    <t xml:space="preserve">108282</t>
  </si>
  <si>
    <t xml:space="preserve">Longhill</t>
  </si>
  <si>
    <t xml:space="preserve">LH800</t>
  </si>
  <si>
    <t xml:space="preserve">Wafer transfer machine</t>
  </si>
  <si>
    <t xml:space="preserve">108843</t>
  </si>
  <si>
    <t xml:space="preserve">LOOMIS</t>
  </si>
  <si>
    <t xml:space="preserve">LCD 2P</t>
  </si>
  <si>
    <t xml:space="preserve">Wafer Scriber with Breaker Option</t>
  </si>
  <si>
    <t xml:space="preserve">98730</t>
  </si>
  <si>
    <t xml:space="preserve">LOTUS</t>
  </si>
  <si>
    <t xml:space="preserve">Spray Cleaner</t>
  </si>
  <si>
    <t xml:space="preserve">WET Clean for parts</t>
  </si>
  <si>
    <t xml:space="preserve">Dimensions (WxHxD): 140cm x 200 cm x 142cm
s/n 07011901/5
CE marked
230/240 VAC 3 Ph/N/PE 50 hz
1.5 kVA
Control voltage: 24 V
Made in Germany.
For cleaning graphite wafer boats with 5% HF and 50% HF and DI Water, 
followed by CDA blow drying.</t>
  </si>
  <si>
    <t xml:space="preserve">94476</t>
  </si>
  <si>
    <t xml:space="preserve">LUMONICS</t>
  </si>
  <si>
    <t xml:space="preserve">Laser Marking System</t>
  </si>
  <si>
    <t xml:space="preserve">77092</t>
  </si>
  <si>
    <t xml:space="preserve">MAC</t>
  </si>
  <si>
    <t xml:space="preserve">225B-111BAAA</t>
  </si>
  <si>
    <t xml:space="preserve">Pneumatic solenoid valve</t>
  </si>
  <si>
    <t xml:space="preserve">108844</t>
  </si>
  <si>
    <t xml:space="preserve">MACTRONIX</t>
  </si>
  <si>
    <t xml:space="preserve">UKA-625</t>
  </si>
  <si>
    <t xml:space="preserve">Eureka III Jr. Manual Wafer Transfer </t>
  </si>
  <si>
    <t xml:space="preserve">108845</t>
  </si>
  <si>
    <t xml:space="preserve">UKA-825</t>
  </si>
  <si>
    <t xml:space="preserve">Wafer Transfer Tool - Eureka Jr. for 200 mm Wafers</t>
  </si>
  <si>
    <t xml:space="preserve">108764</t>
  </si>
  <si>
    <t xml:space="preserve">UKA-650</t>
  </si>
  <si>
    <t xml:space="preserve">Wafer Transfer Tool - Eureka III Sr. for 150mm Wafers</t>
  </si>
  <si>
    <t xml:space="preserve">94599</t>
  </si>
  <si>
    <t xml:space="preserve">MagneTek</t>
  </si>
  <si>
    <t xml:space="preserve">DS 316</t>
  </si>
  <si>
    <t xml:space="preserve">GPD 503</t>
  </si>
  <si>
    <t xml:space="preserve">84026</t>
  </si>
  <si>
    <t xml:space="preserve">Maple Systems</t>
  </si>
  <si>
    <t xml:space="preserve">HMI530TV45</t>
  </si>
  <si>
    <t xml:space="preserve">Touch Screen</t>
  </si>
  <si>
    <t xml:space="preserve">Maple Systems HMI530C-005 with communications cable, new in the box.
For AMI Systems and other tools that require touch-screen terminals.
Located in Boerne, TX Warehouse</t>
  </si>
  <si>
    <t xml:space="preserve">84072</t>
  </si>
  <si>
    <t xml:space="preserve">Maple Systems HMI530C-005 with communications cable, in a box.
We think this is a bad unit so selling for parts only.
For AMI Systems and other tools that require touch-screen terminals.
Located in Boerne, TX Warehouse</t>
  </si>
  <si>
    <t xml:space="preserve">110615</t>
  </si>
  <si>
    <t xml:space="preserve">March</t>
  </si>
  <si>
    <t xml:space="preserve">83885</t>
  </si>
  <si>
    <t xml:space="preserve">MATHESON</t>
  </si>
  <si>
    <t xml:space="preserve">TRI.GAS</t>
  </si>
  <si>
    <t xml:space="preserve">ROTAMETER</t>
  </si>
  <si>
    <t xml:space="preserve">MP13E101P404
23505-6012-000
OTHER SN: 9C91-53XR-X22H
                   H1X1-FTWR-F34R
WEIGHT: 200 GR.
DIMENSION: 10 CM. X 11 CM. X 3 CM. (H) FOR EACH
</t>
  </si>
  <si>
    <t xml:space="preserve">18835</t>
  </si>
  <si>
    <t xml:space="preserve">MATRIX</t>
  </si>
  <si>
    <t xml:space="preserve">0995-99844</t>
  </si>
  <si>
    <t xml:space="preserve">System one etcher model 403 installations and operations manual</t>
  </si>
  <si>
    <t xml:space="preserve">18836</t>
  </si>
  <si>
    <t xml:space="preserve">0995-99842</t>
  </si>
  <si>
    <t xml:space="preserve">system one etcher model 303 installations and operations manual</t>
  </si>
  <si>
    <t xml:space="preserve">18837</t>
  </si>
  <si>
    <t xml:space="preserve">Installation and operations manual</t>
  </si>
  <si>
    <t xml:space="preserve">18838</t>
  </si>
  <si>
    <t xml:space="preserve">0995-99829</t>
  </si>
  <si>
    <t xml:space="preserve">Oem user's manual</t>
  </si>
  <si>
    <t xml:space="preserve">83882</t>
  </si>
  <si>
    <t xml:space="preserve">MATSUSHITA</t>
  </si>
  <si>
    <t xml:space="preserve">BBC 35 N</t>
  </si>
  <si>
    <t xml:space="preserve">INTERRUPTOR CAP SYS </t>
  </si>
  <si>
    <t xml:space="preserve">CIRCUIT BREAKER
BC-30N
3P 5A
BBC35N
3P Uiac500V
50/60Hz
ac220v
ic2.5
WEIGHT: 400 GR.
DIMENSION:10 CM. X 7 CM. X 8 CM.(H)</t>
  </si>
  <si>
    <t xml:space="preserve">83637</t>
  </si>
  <si>
    <t xml:space="preserve">HP2-DC 24V</t>
  </si>
  <si>
    <t xml:space="preserve">RELAY  HP</t>
  </si>
  <si>
    <t xml:space="preserve">AW 5222
HP-RELAY
10A 250 VAC 81223
BOX WITH 20 PIECES
TOTAL WEIGHT: 1,5 KG.
DIMENSION: 24 CM. X 13 CM. X 6 CM. (H)
The price quoted is for the box containing 20 pieces.
</t>
  </si>
  <si>
    <t xml:space="preserve">108578</t>
  </si>
  <si>
    <t xml:space="preserve">MATTSON</t>
  </si>
  <si>
    <t xml:space="preserve">PARADIGM_SI</t>
  </si>
  <si>
    <t xml:space="preserve">DRY ETCH</t>
  </si>
  <si>
    <t xml:space="preserve">108579</t>
  </si>
  <si>
    <t xml:space="preserve">Poly-silicon etcher</t>
  </si>
  <si>
    <t xml:space="preserve">108910</t>
  </si>
  <si>
    <t xml:space="preserve">Mattson</t>
  </si>
  <si>
    <t xml:space="preserve">AST3000</t>
  </si>
  <si>
    <t xml:space="preserve">De-installed, warehoused. Can be inspected by appointment.
Configuration:Handler module
- 2xAsyst SCI INDEXER 2200
- Rorze dual Arm Robot
- PRI Automation Aligner
Process module
- Rotation unit: OK
- EILC Controller: OK
- LLF IGBT plate: OK
- PCU Controller: OK
- VME: OK
- RIPPLE unit: OK
Gas box
- O2, NH3, N2
Controller Module
Facility
- Transformer
- Chiller
- Blower
- Cable
 </t>
  </si>
  <si>
    <t xml:space="preserve">103539</t>
  </si>
  <si>
    <t xml:space="preserve">HELIOS</t>
  </si>
  <si>
    <t xml:space="preserve">-Quartz and FOUP loadports included
-Software and HDD not included
-Condition is as shown in the photos.
-Video inspection and warehouse inspection is available by appointment.
Equipment is De-installed and Warehoused.
Please check the pictures below for more information.</t>
  </si>
  <si>
    <t xml:space="preserve">103540</t>
  </si>
  <si>
    <t xml:space="preserve">109447</t>
  </si>
  <si>
    <t xml:space="preserve">RFS3019</t>
  </si>
  <si>
    <t xml:space="preserve">Part Number: 553-21311-00 Model Number: 233771-01</t>
  </si>
  <si>
    <t xml:space="preserve">108184</t>
  </si>
  <si>
    <t xml:space="preserve">MILLIOS</t>
  </si>
  <si>
    <t xml:space="preserve">Rapid Thermal Anneal</t>
  </si>
  <si>
    <t xml:space="preserve">18845</t>
  </si>
  <si>
    <t xml:space="preserve">17500675-00</t>
  </si>
  <si>
    <t xml:space="preserve">Aspen OEM manual volume I</t>
  </si>
  <si>
    <t xml:space="preserve">18846</t>
  </si>
  <si>
    <t xml:space="preserve">Aspen OEM manual volume II</t>
  </si>
  <si>
    <t xml:space="preserve">18847</t>
  </si>
  <si>
    <t xml:space="preserve">Aspen OEM manual volume III</t>
  </si>
  <si>
    <t xml:space="preserve">18848</t>
  </si>
  <si>
    <t xml:space="preserve">299-31000-00</t>
  </si>
  <si>
    <t xml:space="preserve">Aspen strip system manual</t>
  </si>
  <si>
    <t xml:space="preserve">98281</t>
  </si>
  <si>
    <t xml:space="preserve">deinstalled and warehoused.
see attached photos for details.</t>
  </si>
  <si>
    <t xml:space="preserve">98282</t>
  </si>
  <si>
    <t xml:space="preserve">Tool is stored in warehouse and available for inspection.
Please check the pictures below for more information.</t>
  </si>
  <si>
    <t xml:space="preserve">98283</t>
  </si>
  <si>
    <t xml:space="preserve">PARADIGME SI</t>
  </si>
  <si>
    <t xml:space="preserve">Dry Strip</t>
  </si>
  <si>
    <t xml:space="preserve">98284</t>
  </si>
  <si>
    <t xml:space="preserve">109552</t>
  </si>
  <si>
    <t xml:space="preserve">Aspen 3 ICP</t>
  </si>
  <si>
    <t xml:space="preserve">Dual Chamber Light Etcher</t>
  </si>
  <si>
    <t xml:space="preserve">De-installed, Warehoused. Can be inspected by appointment.
See attached photos for details.
CE Marked
3 X 300 MM SMIF load ports</t>
  </si>
  <si>
    <t xml:space="preserve">91641</t>
  </si>
  <si>
    <t xml:space="preserve">-De-installed, warehoused.
-The equipment was professionally de-installed, and all the quartz has been 
removed and packed separately
Parts included:-
-Rorze Robot Controller type CURT-4430-1 Date: JUL 2005
-Number of FOUP loaders: Qty 3
-AC-Rack Voltage: 400V, Frequency: 50/60 Hz, Power: 180 kVA, full load 
current: 250A, wiring configuration: 3 Phase /N/GND</t>
  </si>
  <si>
    <t xml:space="preserve">79571</t>
  </si>
  <si>
    <t xml:space="preserve">Mazzali</t>
  </si>
  <si>
    <t xml:space="preserve">Climatest C320G5</t>
  </si>
  <si>
    <t xml:space="preserve">Temperature and humidity testing chamber</t>
  </si>
  <si>
    <t xml:space="preserve">-Deinstalled, warehoused.
-In working condition
-See photos for details
-Available for immediate consignment
-Can be inspected by appointment
-For temperature and humidity testing
-Located in Avezzano 67051 Italy
-Used for testing at up to 85% humidity at up to  85 celcius
-weight 320 kg
-external dimensions: 1010 mm x 1880 mm x 1130 mm.
Technical Characteristics - Mazzali Climatest C330G5 Temperature and 
Humidity Oven
Temperature Range: -40 C to +150 C
Capacity: 300 litres
Supply Voltage: 380 Volts / 3 phase / + neutral + Earth, 50/60 Hz
Maximum Power: 2 x 2200 Watts
Maximum Current: 16A
Manuals and electrical diagrams are included with the chamber</t>
  </si>
  <si>
    <t xml:space="preserve">79572</t>
  </si>
  <si>
    <t xml:space="preserve">4007</t>
  </si>
  <si>
    <t xml:space="preserve">MDC (Materials Development Corp.)</t>
  </si>
  <si>
    <t xml:space="preserve">DUO CHUCK CSM16</t>
  </si>
  <si>
    <t xml:space="preserve">CV Measurement system</t>
  </si>
  <si>
    <t xml:space="preserve">Deinstalled, barrier bagged, warehoused
Location: Avezzano (AQ) 67051 Italy.
This item only includes the "Duo chuck" main unit, not computer and 
peripherals. See attached photos for what is included.</t>
  </si>
  <si>
    <t xml:space="preserve">108283</t>
  </si>
  <si>
    <t xml:space="preserve">Mechatronic</t>
  </si>
  <si>
    <t xml:space="preserve">mWS 300t 4-stations</t>
  </si>
  <si>
    <t xml:space="preserve">Wafer sorter with 4 load ports</t>
  </si>
  <si>
    <t xml:space="preserve">108284</t>
  </si>
  <si>
    <t xml:space="preserve">mWS200/300t</t>
  </si>
  <si>
    <t xml:space="preserve">106821</t>
  </si>
  <si>
    <t xml:space="preserve">MECS</t>
  </si>
  <si>
    <t xml:space="preserve">UTC 820Z</t>
  </si>
  <si>
    <t xml:space="preserve">atmospheric wafer handling robot( Hitachi CD-SEM)</t>
  </si>
  <si>
    <t xml:space="preserve">98474</t>
  </si>
  <si>
    <t xml:space="preserve">OF 250</t>
  </si>
  <si>
    <t xml:space="preserve">wafer pre-aligner(Hitachi CDSEM 8820/8840)</t>
  </si>
  <si>
    <t xml:space="preserve">98476</t>
  </si>
  <si>
    <t xml:space="preserve">UTC 801P</t>
  </si>
  <si>
    <t xml:space="preserve">atmospheric wafer handling robot( WJ-1000</t>
  </si>
  <si>
    <t xml:space="preserve">Excellent fully operational condition.
Deinstalled, warehoused. Can be inspected by appointment</t>
  </si>
  <si>
    <t xml:space="preserve">98477</t>
  </si>
  <si>
    <t xml:space="preserve">UTX 1100</t>
  </si>
  <si>
    <t xml:space="preserve">atmospheric wafer handling robot(ASM eagle-10)</t>
  </si>
  <si>
    <t xml:space="preserve">98478</t>
  </si>
  <si>
    <t xml:space="preserve">UTX 1200</t>
  </si>
  <si>
    <t xml:space="preserve">106822</t>
  </si>
  <si>
    <t xml:space="preserve">MECS(Asyst)</t>
  </si>
  <si>
    <t xml:space="preserve">UTW-FS5500S</t>
  </si>
  <si>
    <t xml:space="preserve">atmospheric wafer handling robot</t>
  </si>
  <si>
    <t xml:space="preserve">NA</t>
  </si>
  <si>
    <t xml:space="preserve">108765</t>
  </si>
  <si>
    <t xml:space="preserve">MEI</t>
  </si>
  <si>
    <t xml:space="preserve">VQ-20-ASA-H-SM</t>
  </si>
  <si>
    <t xml:space="preserve">Variable Throttle Valve</t>
  </si>
  <si>
    <t xml:space="preserve">80244</t>
  </si>
  <si>
    <t xml:space="preserve">MELLES GRIOT</t>
  </si>
  <si>
    <t xml:space="preserve">05-LHP-121</t>
  </si>
  <si>
    <t xml:space="preserve">HE NE Laser (Unused)</t>
  </si>
  <si>
    <t xml:space="preserve">New and Unused Melles Griot laser head, without the power supply.</t>
  </si>
  <si>
    <t xml:space="preserve">109214</t>
  </si>
  <si>
    <t xml:space="preserve">Metryx</t>
  </si>
  <si>
    <t xml:space="preserve">Mentor OC23</t>
  </si>
  <si>
    <t xml:space="preserve">Mass Measurement</t>
  </si>
  <si>
    <t xml:space="preserve">108464</t>
  </si>
  <si>
    <t xml:space="preserve">Mentor DF3</t>
  </si>
  <si>
    <t xml:space="preserve">108465</t>
  </si>
  <si>
    <t xml:space="preserve">200-300mm, currently configured for 200mm.
HDD not included</t>
  </si>
  <si>
    <t xml:space="preserve">108766</t>
  </si>
  <si>
    <t xml:space="preserve">Micro Automation</t>
  </si>
  <si>
    <t xml:space="preserve">2066</t>
  </si>
  <si>
    <t xml:space="preserve">Mask and wafer cleaner</t>
  </si>
  <si>
    <t xml:space="preserve">    * CYBERGEN EPS Static Meter Calibrator
    * Mechanical Chuck for Diced Wafer Film Frames
    * Non-Abrasive, High-Pressure Jet for Cleaning
    * Spin Module Contains Spray Head, Chuck, Control Panel and DI Water
      Filter
    * Pump Module Contains the High-Pressure Pump, Prefilter, Pressure
      Regulator, Pressure Gauge and the DI Water Reionizing Unit
    * 0 to 20 PSI N2 Blow Off
    * IR Lamp for Drying
    * Water Pressure Adjustable up to 2,500 psi with High Pressure Pump
    * 3000 RPM Spindle Speed</t>
  </si>
  <si>
    <t xml:space="preserve">108185</t>
  </si>
  <si>
    <t xml:space="preserve">Micro Vu</t>
  </si>
  <si>
    <t xml:space="preserve">Vertex 420</t>
  </si>
  <si>
    <t xml:space="preserve">Precision coordinate measurement system</t>
  </si>
  <si>
    <t xml:space="preserve">assembly</t>
  </si>
  <si>
    <t xml:space="preserve">108846</t>
  </si>
  <si>
    <t xml:space="preserve">MICROAUTOMATION</t>
  </si>
  <si>
    <t xml:space="preserve">M-1100</t>
  </si>
  <si>
    <t xml:space="preserve">Wafer Dicing Saw, for up to 6" Wafers</t>
  </si>
  <si>
    <t xml:space="preserve">71902</t>
  </si>
  <si>
    <t xml:space="preserve">Microcontrol</t>
  </si>
  <si>
    <t xml:space="preserve">MWE Plus</t>
  </si>
  <si>
    <t xml:space="preserve">UV Wafer Eraser with cassette loading</t>
  </si>
  <si>
    <t xml:space="preserve">200 mm , 150 mm, 125 mm</t>
  </si>
  <si>
    <t xml:space="preserve">With Cooling exhaust.
-Deinstalled, warehoused.
-In working condition
-See photos for details
-Available for immediate consignment
-Can be inspected by appointment
-Located in Avezzano 67051 Italy
-See attached photos for details.
-Has a CE Mark
Dimensions of pallet: 89 cm x 136 cm x 75 cm 9h) weight 70 KG</t>
  </si>
  <si>
    <t xml:space="preserve">108580</t>
  </si>
  <si>
    <t xml:space="preserve">Micromanipulator</t>
  </si>
  <si>
    <t xml:space="preserve">Probe Station 1</t>
  </si>
  <si>
    <t xml:space="preserve">Manual Prober with hot and cold chuck</t>
  </si>
  <si>
    <t xml:space="preserve">-Includes hot and cold gold chuck, 8 inch
-With TAS THC 200C temperature controller for the chuck
-See attached photos for details</t>
  </si>
  <si>
    <t xml:space="preserve">84374</t>
  </si>
  <si>
    <t xml:space="preserve">MICRON</t>
  </si>
  <si>
    <t xml:space="preserve">256 MB</t>
  </si>
  <si>
    <t xml:space="preserve">SYNCH</t>
  </si>
  <si>
    <t xml:space="preserve">MICRON  MT
PCI133U-333-542-A
WEIGHT: 30 GR.
DIMENSION: 13,5 X 0,1 CM X 3,5 (H)
</t>
  </si>
  <si>
    <t xml:space="preserve">108847</t>
  </si>
  <si>
    <t xml:space="preserve">MICRONICS JAPAN CO.</t>
  </si>
  <si>
    <t xml:space="preserve">MP-10</t>
  </si>
  <si>
    <t xml:space="preserve">Manual Probe Station with B&amp;L StereoZoom 7 Microscope &amp; 2ea Micropositioners</t>
  </si>
  <si>
    <t xml:space="preserve">84059</t>
  </si>
  <si>
    <t xml:space="preserve">MICROSPEED</t>
  </si>
  <si>
    <t xml:space="preserve">PD-250C</t>
  </si>
  <si>
    <t xml:space="preserve">PC-TRAC mouse</t>
  </si>
  <si>
    <t xml:space="preserve">FUUTB02</t>
  </si>
  <si>
    <t xml:space="preserve">M/D 9813
WEIGHT: 0,4 KG.
DIMENSION: 20 X 10 X 7 (H)
</t>
  </si>
  <si>
    <t xml:space="preserve">106496</t>
  </si>
  <si>
    <t xml:space="preserve">Milara </t>
  </si>
  <si>
    <t xml:space="preserve">Milara MTW-1</t>
  </si>
  <si>
    <t xml:space="preserve">Milara MiniTouch MTW-1 Wafer Screen Printer</t>
  </si>
  <si>
    <t xml:space="preserve">106495</t>
  </si>
  <si>
    <t xml:space="preserve">80260</t>
  </si>
  <si>
    <t xml:space="preserve">MILLIPORE</t>
  </si>
  <si>
    <t xml:space="preserve">WGGB06WR1</t>
  </si>
  <si>
    <t xml:space="preserve">WAFERGARD IN-LINE GAS FILTER</t>
  </si>
  <si>
    <t xml:space="preserve">Retention rating: Gas 0.05 UM
1/4 INCH GASKET SEAL (VCR COMPATIBLE)</t>
  </si>
  <si>
    <t xml:space="preserve">80265</t>
  </si>
  <si>
    <t xml:space="preserve">FLUOROGARD-PLUS CWFA01PLV</t>
  </si>
  <si>
    <t xml:space="preserve">filter CARTRIDGE</t>
  </si>
  <si>
    <t xml:space="preserve">80245</t>
  </si>
  <si>
    <t xml:space="preserve">MILLIPORE CORP</t>
  </si>
  <si>
    <t xml:space="preserve">WGFG01HR1</t>
  </si>
  <si>
    <t xml:space="preserve">WAFERGARD F MINI IN-LINE GAS FILTER</t>
  </si>
  <si>
    <t xml:space="preserve">I/4 Gasket Seal (VCR Compatible)</t>
  </si>
  <si>
    <t xml:space="preserve">82220</t>
  </si>
  <si>
    <t xml:space="preserve">Milton Roy</t>
  </si>
  <si>
    <t xml:space="preserve">AA761-65S</t>
  </si>
  <si>
    <t xml:space="preserve">Flow rate pump</t>
  </si>
  <si>
    <t xml:space="preserve">Milton Roy/LSI Flow metering pump
Flow-rate pump
Model AA761-65S
GHP 2.0 PSI 50
Good condition, removed from working system
sold as-is, where-is
Located in our Boerne, TX warehouse
</t>
  </si>
  <si>
    <t xml:space="preserve">108848</t>
  </si>
  <si>
    <t xml:space="preserve">MINATO</t>
  </si>
  <si>
    <t xml:space="preserve">MM-6600</t>
  </si>
  <si>
    <t xml:space="preserve">Wafer Mobility Tester with MECS UX-1000 Wafer Robot, 2ea Available</t>
  </si>
  <si>
    <t xml:space="preserve">79592</t>
  </si>
  <si>
    <t xml:space="preserve">Minato Electronics</t>
  </si>
  <si>
    <t xml:space="preserve">1940</t>
  </si>
  <si>
    <t xml:space="preserve">EPROM Programmer with additional memory</t>
  </si>
  <si>
    <t xml:space="preserve">-In our warehouse at Avezzano (AQ) 67051 Italy
-CE marked
-In operational condition
-see photos for details
Shipping Information:
Dimensions: 500 mm x 300 mm x 400 mm weight 10 KG
BOXED DIMENSIONS:
40 CM X 60 CM X 42 CM (H) 10 KG
You can see a video of this EPROM programmer passing it's self-test on 
youtube at the following location:-
&lt;https://youtu.be/RJXJ2Vujclo&gt;
</t>
  </si>
  <si>
    <t xml:space="preserve">79593</t>
  </si>
  <si>
    <t xml:space="preserve">EPROM Programmer</t>
  </si>
  <si>
    <t xml:space="preserve">-In our warehouse at Avezzano (AQ) 67051 Italy.
-CE marked
-In operational condition
-Please refer to the video at the following location, which shows the 
system powering up:-
&lt;https://youtu.be/I10EVpvRmog&gt;
Shipping Information:
UNPACKED Dimensions: 500 mm x 300 mm x 400 mm weight 9.5 KG
Dimensions in box: 58 cm x 41 cm x 41 cm, weight 9.7 KG</t>
  </si>
  <si>
    <t xml:space="preserve">83812</t>
  </si>
  <si>
    <t xml:space="preserve">MINERTIA MOTOR</t>
  </si>
  <si>
    <t xml:space="preserve">RM SERIES</t>
  </si>
  <si>
    <t xml:space="preserve">MOTOR ELECTRIC</t>
  </si>
  <si>
    <t xml:space="preserve">MOTOR ELECTRIC
UGRMEM-02SKD11
UTOPI-100SJK1
YASKAWA ELECTRIC CORPORATION
WEIGHT: 1 KG.
DIMENSION: 6 CM. X 6 CM. X 14 CM. (H)</t>
  </si>
  <si>
    <t xml:space="preserve">83890</t>
  </si>
  <si>
    <t xml:space="preserve">INDUCTION MOTOR</t>
  </si>
  <si>
    <t xml:space="preserve">WITH CABLE
UGRMEM-025KD11
P/N UTOPI-100SJK1
WEIGHT: KG.1
DIMENSION:12 CM. X 7 CM. X 17 CM. (H)
</t>
  </si>
  <si>
    <t xml:space="preserve">110337</t>
  </si>
  <si>
    <t xml:space="preserve">MISC</t>
  </si>
  <si>
    <t xml:space="preserve">BPS MATCH</t>
  </si>
  <si>
    <t xml:space="preserve">Sold Ex-Works, UK Office , Part Number:FIX MB KAI 800 BTS , Secondary 
P/N:102026212</t>
  </si>
  <si>
    <t xml:space="preserve">110338</t>
  </si>
  <si>
    <t xml:space="preserve">DC BIAS CONTROL</t>
  </si>
  <si>
    <t xml:space="preserve">110339</t>
  </si>
  <si>
    <t xml:space="preserve">110340</t>
  </si>
  <si>
    <t xml:space="preserve">Sold Ex-Works, UK Office , Part Number:3155022-001 C</t>
  </si>
  <si>
    <t xml:space="preserve">83523</t>
  </si>
  <si>
    <t xml:space="preserve">MITSUBISHI</t>
  </si>
  <si>
    <t xml:space="preserve">MR-J10A1</t>
  </si>
  <si>
    <t xml:space="preserve">AC SERVO</t>
  </si>
  <si>
    <t xml:space="preserve">POWER 100 W</t>
  </si>
  <si>
    <t xml:space="preserve">AC IMPUT 100 V-115 V
50/Hz
OUTPUT 1.1A
</t>
  </si>
  <si>
    <t xml:space="preserve">83554</t>
  </si>
  <si>
    <t xml:space="preserve">FR-Z120-0.4K</t>
  </si>
  <si>
    <t xml:space="preserve">PLC, INVERTER 200 V CLASS</t>
  </si>
  <si>
    <t xml:space="preserve">FREQROL-Z120</t>
  </si>
  <si>
    <t xml:space="preserve">TD840A566G51
POWER 0.4KW
SOURSE 200V/50Kz
200-230V/60Hz
OUTPUT 3A</t>
  </si>
  <si>
    <t xml:space="preserve">83638</t>
  </si>
  <si>
    <t xml:space="preserve">Melservo MR-C10A1-UE</t>
  </si>
  <si>
    <t xml:space="preserve">AC SERVO AMPLIFIER</t>
  </si>
  <si>
    <t xml:space="preserve">100-120 V</t>
  </si>
  <si>
    <t xml:space="preserve">1 PH
100-120 V
50/60 Hz
R54P31
AMP 100 W
100 V CE/UL
WEIGHT 0,7 KG.
DIMENSION: 17 CM. X 13 CM. X 6 CM. (H)</t>
  </si>
  <si>
    <t xml:space="preserve">108289</t>
  </si>
  <si>
    <t xml:space="preserve">Mitutoyo</t>
  </si>
  <si>
    <t xml:space="preserve">Quick Vision QVT1-X606P1L-D</t>
  </si>
  <si>
    <t xml:space="preserve">CNC coordinate measuring system</t>
  </si>
  <si>
    <t xml:space="preserve">Description Mitutoyo quick vision apex cnc vision measuring machine 
Interface USB Accessories TFM Light mounted, sending TFM data to MES</t>
  </si>
  <si>
    <t xml:space="preserve">110341</t>
  </si>
  <si>
    <t xml:space="preserve">MKS</t>
  </si>
  <si>
    <t xml:space="preserve">DCG 100E OPTIMA</t>
  </si>
  <si>
    <t xml:space="preserve">Sold Ex-Works, UK Office , Part Number:OPT-100E-12073</t>
  </si>
  <si>
    <t xml:space="preserve">110342</t>
  </si>
  <si>
    <t xml:space="preserve">MW-5060</t>
  </si>
  <si>
    <t xml:space="preserve">Sold Ex-Works, UK Office , Part Number:MW-5060-01</t>
  </si>
  <si>
    <t xml:space="preserve">110343</t>
  </si>
  <si>
    <t xml:space="preserve">110344</t>
  </si>
  <si>
    <t xml:space="preserve">110345</t>
  </si>
  <si>
    <t xml:space="preserve">110346</t>
  </si>
  <si>
    <t xml:space="preserve">MWJ-1013</t>
  </si>
  <si>
    <t xml:space="preserve">108849</t>
  </si>
  <si>
    <t xml:space="preserve">NW100</t>
  </si>
  <si>
    <t xml:space="preserve">Two Stage Heated Vacuum Valve, HPS DIV Jalapeno 45 Series Heater Cover</t>
  </si>
  <si>
    <t xml:space="preserve">87366</t>
  </si>
  <si>
    <t xml:space="preserve">653B-13064</t>
  </si>
  <si>
    <t xml:space="preserve">Baratron 1mbar</t>
  </si>
  <si>
    <t xml:space="preserve">used, good condition, 0-90deg</t>
  </si>
  <si>
    <t xml:space="preserve">77940</t>
  </si>
  <si>
    <t xml:space="preserve">627BX01MCC1B</t>
  </si>
  <si>
    <t xml:space="preserve">Baratron 1mbar (CAPACITANCE MANOMETER)</t>
  </si>
  <si>
    <t xml:space="preserve">     MKS Baratron 
+/- 15V DC
1mbar
  New in a box, sold as-is, where-is
Ships from our Boerne, TX Warehouse  </t>
  </si>
  <si>
    <t xml:space="preserve">109448</t>
  </si>
  <si>
    <t xml:space="preserve">ASTRON i</t>
  </si>
  <si>
    <t xml:space="preserve">Remote Plasma Cleaner</t>
  </si>
  <si>
    <t xml:space="preserve">Part Number: AX7670-16-R Model Number:</t>
  </si>
  <si>
    <t xml:space="preserve">109449</t>
  </si>
  <si>
    <t xml:space="preserve">ASTRONex</t>
  </si>
  <si>
    <t xml:space="preserve">Model Number: 0920-00057</t>
  </si>
  <si>
    <t xml:space="preserve">109450</t>
  </si>
  <si>
    <t xml:space="preserve">AX3060-1</t>
  </si>
  <si>
    <t xml:space="preserve">109451</t>
  </si>
  <si>
    <t xml:space="preserve">AX3063</t>
  </si>
  <si>
    <t xml:space="preserve">109452</t>
  </si>
  <si>
    <t xml:space="preserve">AX3063ULVJ</t>
  </si>
  <si>
    <t xml:space="preserve">109453</t>
  </si>
  <si>
    <t xml:space="preserve">AX3151</t>
  </si>
  <si>
    <t xml:space="preserve">109454</t>
  </si>
  <si>
    <t xml:space="preserve">AX7650</t>
  </si>
  <si>
    <t xml:space="preserve">109455</t>
  </si>
  <si>
    <t xml:space="preserve">AX7657-2</t>
  </si>
  <si>
    <t xml:space="preserve">109456</t>
  </si>
  <si>
    <t xml:space="preserve">AX7700-10</t>
  </si>
  <si>
    <t xml:space="preserve">Part Number: 0190-39484</t>
  </si>
  <si>
    <t xml:space="preserve">109457</t>
  </si>
  <si>
    <t xml:space="preserve">AX9004</t>
  </si>
  <si>
    <t xml:space="preserve">109458</t>
  </si>
  <si>
    <t xml:space="preserve">B-3013</t>
  </si>
  <si>
    <t xml:space="preserve">Part Number: SPECTRUM 3013-08</t>
  </si>
  <si>
    <t xml:space="preserve">109459</t>
  </si>
  <si>
    <t xml:space="preserve">B-5002</t>
  </si>
  <si>
    <t xml:space="preserve">Model Number: B-5002-03</t>
  </si>
  <si>
    <t xml:space="preserve">109460</t>
  </si>
  <si>
    <t xml:space="preserve">Model Number: B-5002-10</t>
  </si>
  <si>
    <t xml:space="preserve">109461</t>
  </si>
  <si>
    <t xml:space="preserve">D13449</t>
  </si>
  <si>
    <t xml:space="preserve">109462</t>
  </si>
  <si>
    <t xml:space="preserve">Part Number: 0190-07959 Model Number: DC21M-Z141300110A</t>
  </si>
  <si>
    <t xml:space="preserve">109463</t>
  </si>
  <si>
    <t xml:space="preserve">Part Number: 27-279517-00 Model Number: DCG-400ZHC-01</t>
  </si>
  <si>
    <t xml:space="preserve">109464</t>
  </si>
  <si>
    <t xml:space="preserve">Part Number: 27-279518-00 Model Number: DCG-800ZHC-01</t>
  </si>
  <si>
    <t xml:space="preserve">109465</t>
  </si>
  <si>
    <t xml:space="preserve">Part Number: 27-283277-00 Model Number: DCG-200ZHC-S01</t>
  </si>
  <si>
    <t xml:space="preserve">109466</t>
  </si>
  <si>
    <t xml:space="preserve">Part Number: 27-290008-00 Model Number: DCG-700ZHC-02</t>
  </si>
  <si>
    <t xml:space="preserve">109467</t>
  </si>
  <si>
    <t xml:space="preserve">Part Number: 27-290009-00 Model Number: DCG-350ZHC-02</t>
  </si>
  <si>
    <t xml:space="preserve">109468</t>
  </si>
  <si>
    <t xml:space="preserve">Part Number: 27-299485-00 Model Number: DCG-200ZHC-S02</t>
  </si>
  <si>
    <t xml:space="preserve">109469</t>
  </si>
  <si>
    <t xml:space="preserve">DCS80-13E</t>
  </si>
  <si>
    <t xml:space="preserve">Part Number: GHW50Z-09030</t>
  </si>
  <si>
    <t xml:space="preserve">109470</t>
  </si>
  <si>
    <t xml:space="preserve">FI20160-1</t>
  </si>
  <si>
    <t xml:space="preserve">109471</t>
  </si>
  <si>
    <t xml:space="preserve">FI20162</t>
  </si>
  <si>
    <t xml:space="preserve">109472</t>
  </si>
  <si>
    <t xml:space="preserve">109473</t>
  </si>
  <si>
    <t xml:space="preserve">FI20162-1</t>
  </si>
  <si>
    <t xml:space="preserve">109474</t>
  </si>
  <si>
    <t xml:space="preserve">FI20608</t>
  </si>
  <si>
    <t xml:space="preserve">109475</t>
  </si>
  <si>
    <t xml:space="preserve">FI20609</t>
  </si>
  <si>
    <t xml:space="preserve">109476</t>
  </si>
  <si>
    <t xml:space="preserve">FI20612</t>
  </si>
  <si>
    <t xml:space="preserve">109477</t>
  </si>
  <si>
    <t xml:space="preserve">GEW-3540</t>
  </si>
  <si>
    <t xml:space="preserve">Part Number: 2L39-000005-23 Model Number: GEW-3540-04</t>
  </si>
  <si>
    <t xml:space="preserve">109478</t>
  </si>
  <si>
    <t xml:space="preserve">GHW-12Z</t>
  </si>
  <si>
    <t xml:space="preserve">Part Number: 0190-25529</t>
  </si>
  <si>
    <t xml:space="preserve">109479</t>
  </si>
  <si>
    <t xml:space="preserve">GHW-50Z</t>
  </si>
  <si>
    <t xml:space="preserve">Part Number: 0190-33134 Model Number: GHW50Z-09030-006</t>
  </si>
  <si>
    <t xml:space="preserve">109480</t>
  </si>
  <si>
    <t xml:space="preserve">GHW-85A</t>
  </si>
  <si>
    <t xml:space="preserve">Part Number: 27-105447-00 Model Number: GHW80A-13DF2L0-001</t>
  </si>
  <si>
    <t xml:space="preserve">109481</t>
  </si>
  <si>
    <t xml:space="preserve">109482</t>
  </si>
  <si>
    <t xml:space="preserve">GL-139</t>
  </si>
  <si>
    <t xml:space="preserve">109483</t>
  </si>
  <si>
    <t xml:space="preserve">MWH-100-01M6</t>
  </si>
  <si>
    <t xml:space="preserve">Part Number: E19287640</t>
  </si>
  <si>
    <t xml:space="preserve">109484</t>
  </si>
  <si>
    <t xml:space="preserve">Part Number: MWH-100-01M6</t>
  </si>
  <si>
    <t xml:space="preserve">109485</t>
  </si>
  <si>
    <t xml:space="preserve">109486</t>
  </si>
  <si>
    <t xml:space="preserve">109487</t>
  </si>
  <si>
    <t xml:space="preserve">OEM-25-11481</t>
  </si>
  <si>
    <t xml:space="preserve">109488</t>
  </si>
  <si>
    <t xml:space="preserve">OEM-25G</t>
  </si>
  <si>
    <t xml:space="preserve">109489</t>
  </si>
  <si>
    <t xml:space="preserve">OEM-25N-01</t>
  </si>
  <si>
    <t xml:space="preserve">109490</t>
  </si>
  <si>
    <t xml:space="preserve">OEM-6A-01</t>
  </si>
  <si>
    <t xml:space="preserve">109491</t>
  </si>
  <si>
    <t xml:space="preserve">OEM-6A-11491-51</t>
  </si>
  <si>
    <t xml:space="preserve">74164</t>
  </si>
  <si>
    <t xml:space="preserve">154-0100P</t>
  </si>
  <si>
    <t xml:space="preserve">High Vacuum Valve, NEW</t>
  </si>
  <si>
    <t xml:space="preserve">New in a box, sealed Located in Boerne TX Warehouse
New in a box, still sealed in the original MFR bag.
Please ask if you have questions. Sold as-is, where-is, new.</t>
  </si>
  <si>
    <t xml:space="preserve">109492</t>
  </si>
  <si>
    <t xml:space="preserve">OEM-6AM-1B</t>
  </si>
  <si>
    <t xml:space="preserve">109493</t>
  </si>
  <si>
    <t xml:space="preserve">OEM25A-21091-51</t>
  </si>
  <si>
    <t xml:space="preserve">109494</t>
  </si>
  <si>
    <t xml:space="preserve">PC-3G</t>
  </si>
  <si>
    <t xml:space="preserve">69856</t>
  </si>
  <si>
    <t xml:space="preserve">Type 624</t>
  </si>
  <si>
    <t xml:space="preserve">Baratron pressure transducer with trip points, range 1000 Torr, CE</t>
  </si>
  <si>
    <t xml:space="preserve">range 1000 torr ce marked in working condition</t>
  </si>
  <si>
    <t xml:space="preserve">106085</t>
  </si>
  <si>
    <t xml:space="preserve">MKS ASTeX</t>
  </si>
  <si>
    <t xml:space="preserve">Astron FI80131-R </t>
  </si>
  <si>
    <t xml:space="preserve">Remote Plasma Source</t>
  </si>
  <si>
    <t xml:space="preserve">Used condition  OEM Refurbished / New Plasma Block – only operated for 
testing with inert gas. Some cosmetic  surface scratches.
AMAT P/N 0920-00057</t>
  </si>
  <si>
    <t xml:space="preserve">101024</t>
  </si>
  <si>
    <t xml:space="preserve">MKS Instruments</t>
  </si>
  <si>
    <t xml:space="preserve">162-0040K</t>
  </si>
  <si>
    <t xml:space="preserve">Inline Pneumatic Valve ISO-KF NW 40 flanges</t>
  </si>
  <si>
    <t xml:space="preserve">Available in our stock.
Please check pictures below for more information.</t>
  </si>
  <si>
    <t xml:space="preserve">84235</t>
  </si>
  <si>
    <t xml:space="preserve">Moeller</t>
  </si>
  <si>
    <t xml:space="preserve">Xpole PLSM-C10/1</t>
  </si>
  <si>
    <t xml:space="preserve">mini breaker switch</t>
  </si>
  <si>
    <t xml:space="preserve">Pack of qty 2 used breakers</t>
  </si>
  <si>
    <t xml:space="preserve">18877</t>
  </si>
  <si>
    <t xml:space="preserve">MOSAID</t>
  </si>
  <si>
    <t xml:space="preserve">1000242-01</t>
  </si>
  <si>
    <t xml:space="preserve">MS3400 test system reference manual</t>
  </si>
  <si>
    <t xml:space="preserve">108767</t>
  </si>
  <si>
    <t xml:space="preserve">MS4155</t>
  </si>
  <si>
    <t xml:space="preserve">Memory Test System</t>
  </si>
  <si>
    <t xml:space="preserve">108028</t>
  </si>
  <si>
    <t xml:space="preserve">M4205</t>
  </si>
  <si>
    <t xml:space="preserve">108768</t>
  </si>
  <si>
    <t xml:space="preserve">MPM</t>
  </si>
  <si>
    <t xml:space="preserve">SP200</t>
  </si>
  <si>
    <t xml:space="preserve">smt</t>
  </si>
  <si>
    <t xml:space="preserve">Screen Printer for parts only
    * 20” X 20” Maximum Frame Size
    * 16” X 18” Maximum Print Area
    * 16.5” X 18.5” Vacuum Workholder
    * ± 0.500” X-Y Adjustment Range
    * ± 5 Degree Rotary Adjustment Range
    * 1” to 16” Print Stroke Adjustment
    * 0 to 12” per second Squeegee Speed
    * 5 to 60 lbs Squeegee Pressure
    * 115VAC; 60 Hz; 15A</t>
  </si>
  <si>
    <t xml:space="preserve">72156</t>
  </si>
  <si>
    <t xml:space="preserve">MRL</t>
  </si>
  <si>
    <t xml:space="preserve">Black Max</t>
  </si>
  <si>
    <t xml:space="preserve">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</si>
  <si>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</si>
  <si>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 xml:space="preserve">109029</t>
  </si>
  <si>
    <t xml:space="preserve">MRSI</t>
  </si>
  <si>
    <t xml:space="preserve">505</t>
  </si>
  <si>
    <t xml:space="preserve">Die Attach/ Multichip Module</t>
  </si>
  <si>
    <t xml:space="preserve">84372</t>
  </si>
  <si>
    <t xml:space="preserve">MS PRG WO</t>
  </si>
  <si>
    <t xml:space="preserve">A9403789</t>
  </si>
  <si>
    <t xml:space="preserve">MOUSE MODEL No.240C</t>
  </si>
  <si>
    <t xml:space="preserve">MOUSE HQXAGM-240C
WEIGHT: 100 GR.
DIMENSION: 12 X 2 X 12,5 (H)
</t>
  </si>
  <si>
    <t xml:space="preserve">108029</t>
  </si>
  <si>
    <t xml:space="preserve">MSP CORP.</t>
  </si>
  <si>
    <t xml:space="preserve">2300XP1</t>
  </si>
  <si>
    <t xml:space="preserve">Particle Depositioning</t>
  </si>
  <si>
    <t xml:space="preserve">106242</t>
  </si>
  <si>
    <t xml:space="preserve">Muegge</t>
  </si>
  <si>
    <t xml:space="preserve">MX4000D-110LL</t>
  </si>
  <si>
    <t xml:space="preserve">MICROWAVE POWER SUPPLY</t>
  </si>
  <si>
    <t xml:space="preserve">MUEGGE MICROWAVE P.S.U.
PULLED FROM A WORKING MACHINE
U: 3 X 400V I: 3 X 6A F: 50/60 HZ
PACKED WEIGHT AND DIMS 53 CM X 64 CM X 17 CM (H) WEIGHT 14 KG
Uam out: 3500 V  I OUT: 1.45A
qty 8 available.</t>
  </si>
  <si>
    <t xml:space="preserve">82230</t>
  </si>
  <si>
    <t xml:space="preserve">Controller, CAN controller, L/R sync</t>
  </si>
  <si>
    <t xml:space="preserve">  Used Muegge controller, CAN
Has L/R Sync inputs
Power input, 220V AC
500 K/bits/ CAN control
Removed from working system
sold as-is, where is,. located in our Boerne, TX warehouse
   </t>
  </si>
  <si>
    <t xml:space="preserve">79968</t>
  </si>
  <si>
    <t xml:space="preserve">MW2009D-260ED</t>
  </si>
  <si>
    <t xml:space="preserve">Magnetron Head 2.45GHZ</t>
  </si>
  <si>
    <t xml:space="preserve">Used Muegge Magnetron head, removed from a working tool in 2012, and placed 
in our Boerne, TX Warehouse. Sold as-is, where-is
Power Supply available separately</t>
  </si>
  <si>
    <t xml:space="preserve">77936</t>
  </si>
  <si>
    <t xml:space="preserve">Microwave Power Supply</t>
  </si>
  <si>
    <t xml:space="preserve">  Used Muegge Magnetron power supply, removed from a working tool in 2012, 
and placed in our Boerne, TX Warehouse. Sold as-is, where-is
Bauj: 3/02
U: 3x400V | 3x6A
Uam out: 3500V f.out: 1.45A
  </t>
  </si>
  <si>
    <t xml:space="preserve">106497</t>
  </si>
  <si>
    <t xml:space="preserve">Muhlbauer</t>
  </si>
  <si>
    <t xml:space="preserve">DS 10000</t>
  </si>
  <si>
    <t xml:space="preserve">DSD HIGH SPEED TAPE AND REEL SYSTEM</t>
  </si>
  <si>
    <t xml:space="preserve">106498</t>
  </si>
  <si>
    <t xml:space="preserve">Muhlbauer DS10000</t>
  </si>
  <si>
    <t xml:space="preserve">108290</t>
  </si>
  <si>
    <t xml:space="preserve">Multitest </t>
  </si>
  <si>
    <t xml:space="preserve">MT2168</t>
  </si>
  <si>
    <t xml:space="preserve">Test handler with Lemsys tester for High Voltage and Hi Current testing</t>
  </si>
  <si>
    <t xml:space="preserve">- Excellent Condition (Basically new) - Complete (no missing parts) - No 
Damages Description: - A high current and high voltage test system and 
handler for Fully testing COOLiR2DIE - Docked to a LEMSYS testing system 
(Included) - Tester capability: 2000A/2000V for static and 2000A/1500V for 
dynamic testing - The handler choice was limited due to the package size 
and exposed die - Multitest with vertically docked pick &amp; place handlers - 
A custom manipulator was required to provide a working interface on a 
“headless” LEMSYS tester</t>
  </si>
  <si>
    <t xml:space="preserve">108964</t>
  </si>
  <si>
    <t xml:space="preserve">Multitest</t>
  </si>
  <si>
    <t xml:space="preserve">test handler with hot, ambient and cryogenic cooling options</t>
  </si>
  <si>
    <t xml:space="preserve">COHU-MULTITEST MT2168-2168XT
Status  : Practically new, in working condition, used only in laboratory.
Photos : attached
Vintage: Jun 2018
Config:PICK&amp;PLACE
TRAY IN/OUT, 155C -45C, //16
IN = TRAYSOAK = 155C,-55C,LN2
PRE-TEST = DEVICE ROTATION
TEST = PARALLEL 16, PITCH 57.15 x 63.5
POST-TEST = DEVICE CLEANING, DEVICE ROTATION, 2D
CODE
OUT = TRAY, 1 ELEVATOR, 3 BINS
DOCKING = SENSOR
ESD = CLASS 1
 </t>
  </si>
  <si>
    <t xml:space="preserve">108084</t>
  </si>
  <si>
    <t xml:space="preserve">Musashi</t>
  </si>
  <si>
    <t xml:space="preserve">FAM2200</t>
  </si>
  <si>
    <t xml:space="preserve">Dispenser</t>
  </si>
  <si>
    <t xml:space="preserve">2 heads</t>
  </si>
  <si>
    <t xml:space="preserve">108085</t>
  </si>
  <si>
    <t xml:space="preserve">Short Master 200</t>
  </si>
  <si>
    <t xml:space="preserve">Manual type</t>
  </si>
  <si>
    <t xml:space="preserve">108086</t>
  </si>
  <si>
    <t xml:space="preserve">Short Master 300</t>
  </si>
  <si>
    <t xml:space="preserve">106703</t>
  </si>
  <si>
    <t xml:space="preserve">N&amp;K</t>
  </si>
  <si>
    <t xml:space="preserve">ANALYZER 5700-CDRT</t>
  </si>
  <si>
    <t xml:space="preserve">106704</t>
  </si>
  <si>
    <t xml:space="preserve">n&amp;k Technology</t>
  </si>
  <si>
    <t xml:space="preserve">6700-CDRT</t>
  </si>
  <si>
    <t xml:space="preserve">106705</t>
  </si>
  <si>
    <t xml:space="preserve">NANO OPTICS</t>
  </si>
  <si>
    <t xml:space="preserve">HAZE 2</t>
  </si>
  <si>
    <t xml:space="preserve">Nano Optics Haze 2</t>
  </si>
  <si>
    <t xml:space="preserve">108292</t>
  </si>
  <si>
    <t xml:space="preserve">Nanofocus</t>
  </si>
  <si>
    <t xml:space="preserve">Microprint</t>
  </si>
  <si>
    <t xml:space="preserve">3-D package inspection system</t>
  </si>
  <si>
    <t xml:space="preserve">107027</t>
  </si>
  <si>
    <t xml:space="preserve">NANOMETRICS</t>
  </si>
  <si>
    <t xml:space="preserve">Caliper Mosaic</t>
  </si>
  <si>
    <t xml:space="preserve">Currently installed and operational in a demonstration facility. Can be 
inspected by appointment.
Below if an inspection report I did about the tool in 2019, prior to the 
tool being moved and re-installed at the current location.
Nanometrics Caliper Inspection Report
Date of inspection: 22nd August 2019
The tool consists of 1 Main Body and 1 EFEM unit. The equipment is 
de-installed and located in an inspection facility.
The EFEM has been separated from the main body.
The granite has immobilization supports inserted.
The stage was not locked, but did not appear to be damaged. After the 
inspection, the stage was secured with bolts and some tie-wraps and covered 
over with bubble-wrap.
The stage encoders did not appear to be scratched or damaged.
The EFEM robot was immobilized with heavy duty tape.
The FOUP ports were secured by application of some packing tape from within 
the EFEM.
The illuminator had been separated from the tool, and was bubble-wrapped 
and secured within the EFEM.
The computer / network rack was bubble wrapped and secured within the EFEM.
The 4 hard disks of the system PC have been removed.
For further details, please refer to the attached photos.
1. Manufactuer:Nanometrics
2. Model: Caliper Mosaic
3. Process: Overlay Measurement
4. Serial number: available
5. Date of manufacture: August  2010
6. Voltage: 200-240 VAC, single phase, 50 Hz, Full load current: 20A, 
Wiring Configuration: 2 Wire (L,N) + E
7. Largest load: 5 KVA
8. Wiring schematic number: 8000-9-000002
9. Short circuit rating: 10KVA
10. System part number: 7000-032629
11. CE Marked
12. Safety labels: Korean / English
13. Anti-static system: MKS AeroBar 5225
14. Software version installed on the system: Windows XP Professional
NB The 4 hard disks of the system computer have been removed, and there are 
no hard-copy manuals or software disks with the system.
15. EFEM Robot Brooks p/n: 162802R dated 2012.9.12, with dual robot blades.
16. De-installation date: March 2017
17. The deinstallation documentation with the machine consists of the 
following:-
a. Packing List.
b. Equipment de-installation proceedure.
c. Equipment de-contamination check report.
d. Missing parts list and parts removal schedule.
18. EFEM Type: Brooks JET p/n 1006CHE10810
19. Number of EFEM loadports:3
20. Loadport model: Brooks Vision Model number 162770-22R
21. Loadport RFID reader type: Brooks TLG-RS232, FCC ID: N5GTSG
22. Stage position controllers: ETEL DSCDL and DSMAX2
23. System PC Manufacturer: Single Board Systems
24. Illuminator model: XT700
Main body crate size: 145 cm x 180 cm x 263 cm (H), 1100 kg
EFEM crate size: 150 cm x 255 cm x 278 cm (H) , 1600 kg
 </t>
  </si>
  <si>
    <t xml:space="preserve">109113</t>
  </si>
  <si>
    <t xml:space="preserve">Nanometrics</t>
  </si>
  <si>
    <t xml:space="preserve">LynX 9010T</t>
  </si>
  <si>
    <t xml:space="preserve">Optical CD Measurement (Scatterometry) system</t>
  </si>
  <si>
    <t xml:space="preserve">-Fitted with dual 300 mm SMIF loaders
-The equipment consists of a Lynx front end with  dual 9010T units
-Model: 7000-029838 Rev 1</t>
  </si>
  <si>
    <t xml:space="preserve">106823</t>
  </si>
  <si>
    <t xml:space="preserve">Nanospec 9100</t>
  </si>
  <si>
    <t xml:space="preserve">Ox film thickness measurement (PC missing)</t>
  </si>
  <si>
    <t xml:space="preserve">103544</t>
  </si>
  <si>
    <t xml:space="preserve">CALIPER ELAN</t>
  </si>
  <si>
    <t xml:space="preserve">91526</t>
  </si>
  <si>
    <t xml:space="preserve">De-installed, warehoused. Can be inspected by appointment.
Composition : 2 cartoons / Main body &amp; EFEM
See attached pictures
 </t>
  </si>
  <si>
    <t xml:space="preserve">91529</t>
  </si>
  <si>
    <t xml:space="preserve">91530</t>
  </si>
  <si>
    <t xml:space="preserve">NANOMETRICS 9-7200-0195E</t>
  </si>
  <si>
    <t xml:space="preserve">Mask &amp; Wafer Inspection</t>
  </si>
  <si>
    <t xml:space="preserve">108186</t>
  </si>
  <si>
    <t xml:space="preserve">CALIPER_MOSAIC</t>
  </si>
  <si>
    <t xml:space="preserve">98480</t>
  </si>
  <si>
    <t xml:space="preserve">8000X</t>
  </si>
  <si>
    <t xml:space="preserve">film thickness measurement</t>
  </si>
  <si>
    <t xml:space="preserve">98481</t>
  </si>
  <si>
    <t xml:space="preserve">8000Xse</t>
  </si>
  <si>
    <t xml:space="preserve">98482</t>
  </si>
  <si>
    <t xml:space="preserve">Caliper Mosaic (Parts)</t>
  </si>
  <si>
    <t xml:space="preserve">EFEM Module, including a Brooks Razor robot </t>
  </si>
  <si>
    <t xml:space="preserve">Deinstalled, warehoused. Can be inspected by appointment.
This is the EFEM module from a Brooks Caliper Mosaic system: load ports not 
included
The robot type is a Brooks Razor, part number 162802-0001
T1: 112 W Upper: 114
Z: 171 W Lower: 276
T2: 110</t>
  </si>
  <si>
    <t xml:space="preserve">98483</t>
  </si>
  <si>
    <t xml:space="preserve">Lynx EFEM</t>
  </si>
  <si>
    <t xml:space="preserve">Kawasaki robot </t>
  </si>
  <si>
    <t xml:space="preserve">Deinstalled, warehoused. Can be inspected by appointment
Item
KHI Parts No.
Qty.
Robot Arm
NT Robot Arm
3NT420B-B007
1
Cap
60418-1037
4
Separate Harness
Motor Harness
50979-2997L01
1
Signal Harness
50979-2998L01
1
Controller
Controller D60
30D60F-A006
1
Accessory
Fuse Set
49094-1409
1
PANEL Connector
50978-3323
1
Item
KHI Parts No.
Qty.
EFEM
EFEM for 2W
-
1
Anchoring Bracket
Bracket, Anchor
60352-2279
4
Socket Head Screw
PSBM1030U
8
Spring Washer
PSWM10U
8
Plain Washer
60303-1346
8
Plate Set
Bulkhead plate Assy (60339-2784)
-
1
EMO Hole Cover
60387-3105
1
Harness
LP1_AD1-CN6(OMRON V700)
50973-2951
1
LP2_AD1-CN6(OMRON V700)
50973-2954
1
EMO Jumper
50973-3136
1
Light Curtain Jumper
50973-3139
1
Accessory
Accessories for operation
-
1
Name Plate, Lift Point
60819-3478
2</t>
  </si>
  <si>
    <t xml:space="preserve">108467</t>
  </si>
  <si>
    <t xml:space="preserve">Tevet Trajectory T3</t>
  </si>
  <si>
    <t xml:space="preserve">106179</t>
  </si>
  <si>
    <t xml:space="preserve">Nanospec Wafer Metrology film thickness measurement tool</t>
  </si>
  <si>
    <t xml:space="preserve">The Nanospec9000 is semi-auto measurement system for 200mm wafer only.
Refurbished to OEM specs.
Please refer to the attached photos showing the details of the equipment 
which we have for sale at this time.
Parts included:-
(1)Used working Spectroscopic Reflectometer*1;
(2)Used working Stage controller*1
(3)New Computer with XP system(Com Port*6)
a. CPU*4 core, Memory 4G;
b. PCI interface tec5 card*1
c. Video card*1
d. Dual hard disk*1(Samsung SATA SSD)
e. Dongle*1
f. Cables *7
g. N2000 V5.2
Nanometrics P/N: 7000-0560
I have uploaded a video clip showing the tool running a standard wafer 
here:-&lt;https://www.youtube.com/watch?v=TXnf3naZjRg&gt;</t>
  </si>
  <si>
    <t xml:space="preserve">106959</t>
  </si>
  <si>
    <t xml:space="preserve">9000 (Spare Parts)</t>
  </si>
  <si>
    <t xml:space="preserve">Spectroscopic Reflectometer</t>
  </si>
  <si>
    <t xml:space="preserve">Includes:-
1. Used, working Nanometrics P/N 7000-0560 Spectroscopic Reflectometer qty 
1
2. Used working nanostage qty 1</t>
  </si>
  <si>
    <t xml:space="preserve">106960</t>
  </si>
  <si>
    <t xml:space="preserve">Computer Nanometrics P/n 7200-2432</t>
  </si>
  <si>
    <t xml:space="preserve">Includes:-
Used working Computer with NT system(Com Port*1)
a. X86 FAMILY 15 Model 1,253,300KB RAM
b. ISA interface tec5 card*1
c. Video card*1
d. IDE hard disk*1
e. Dongles*1
f. No cables
g.N2000 V5.2
</t>
  </si>
  <si>
    <t xml:space="preserve">101585</t>
  </si>
  <si>
    <t xml:space="preserve">CALIPER-ULTRA</t>
  </si>
  <si>
    <t xml:space="preserve">Overlay Measurement</t>
  </si>
  <si>
    <t xml:space="preserve">106706</t>
  </si>
  <si>
    <t xml:space="preserve">CALIPER_ULTRA</t>
  </si>
  <si>
    <t xml:space="preserve">98289</t>
  </si>
  <si>
    <t xml:space="preserve">CALIPER ULTRA</t>
  </si>
  <si>
    <t xml:space="preserve">98290</t>
  </si>
  <si>
    <t xml:space="preserve">98291</t>
  </si>
  <si>
    <t xml:space="preserve">Inspection available upon request.
Please check the pictures below for more information.</t>
  </si>
  <si>
    <t xml:space="preserve">77197</t>
  </si>
  <si>
    <t xml:space="preserve">Nanyang</t>
  </si>
  <si>
    <t xml:space="preserve">Quartz wafer boat</t>
  </si>
  <si>
    <t xml:space="preserve">Shell boat 200mm quartz</t>
  </si>
  <si>
    <t xml:space="preserve">New in the box, most are still sealed
Box of 6 each, price per box, or can be sold per each for $350
200mm Quartz Shellboat, Nanyang Equipment PTE LTD
Lower Rods Pitch width 0.9mm
Upper rods of V-shape slot grooves
 </t>
  </si>
  <si>
    <t xml:space="preserve">69868</t>
  </si>
  <si>
    <t xml:space="preserve">National Instruments</t>
  </si>
  <si>
    <t xml:space="preserve">GPIB120A</t>
  </si>
  <si>
    <t xml:space="preserve">GPIB BUS EXPANDER / ISOLATOR</t>
  </si>
  <si>
    <t xml:space="preserve">LOCATED IN AVEZZANO, ITALY 67051 (NEAR ROME) PART NUMBER 181555E-01 SERIAL 
NUMBER B14DA7 CE MARKED UL CERTIFIED 115 V 50/60 HZ 235 mA Fuse 0.25A slow 
250V Made in USA</t>
  </si>
  <si>
    <t xml:space="preserve">84369</t>
  </si>
  <si>
    <t xml:space="preserve">NC NOR-CAL PRODUCTS</t>
  </si>
  <si>
    <t xml:space="preserve">0995-16528</t>
  </si>
  <si>
    <t xml:space="preserve">CHEMRAZ O-RING INSIDE OF VALVE</t>
  </si>
  <si>
    <t xml:space="preserve">CHEMRAZ O-RINGINSIDE OF VALVE
NOR-CAL PRODUCTS
KELIUM LEAK CHECKED
WEIGHT:1,5 KG.
DIMENSION: 21,5 X 12 X 13</t>
  </si>
  <si>
    <t xml:space="preserve">91143</t>
  </si>
  <si>
    <t xml:space="preserve">NEC</t>
  </si>
  <si>
    <t xml:space="preserve">NEC SL-473F </t>
  </si>
  <si>
    <t xml:space="preserve">Si Wafer Marker</t>
  </si>
  <si>
    <t xml:space="preserve">83887</t>
  </si>
  <si>
    <t xml:space="preserve">C1OT 6D TA 0100</t>
  </si>
  <si>
    <t xml:space="preserve">THERMOSTAT</t>
  </si>
  <si>
    <t xml:space="preserve">PARTS FOR CURE OVEN
THERMOSTAT
YAMATAKE
ITEM N° 96D01561-3-10
WEIGHT: 200 GR.
DIMENSION: 14 CM. X 6 CM. X 6 CM. (H)
</t>
  </si>
  <si>
    <t xml:space="preserve">83888</t>
  </si>
  <si>
    <t xml:space="preserve">MU1238B-11B</t>
  </si>
  <si>
    <t xml:space="preserve">AIRFLOW ROTATION</t>
  </si>
  <si>
    <t xml:space="preserve">AC 100V
50/60Hz
100/200V
12.5/11.5W
ORIENTAL MOTOR
WEIGHT: 500 GR.
DIMENSION: 14 CM. X 14 CM. X 6 CM. (H)</t>
  </si>
  <si>
    <t xml:space="preserve">83889</t>
  </si>
  <si>
    <t xml:space="preserve">MF300-02</t>
  </si>
  <si>
    <t xml:space="preserve">MIST FILTER</t>
  </si>
  <si>
    <t xml:space="preserve">9.5 KGF/CM
5-60°C
MF300
WEIGHT: 500 GR.
DIMENSION: 16 CM. X 7 CM. X 8 CM. (H)</t>
  </si>
  <si>
    <t xml:space="preserve">83545</t>
  </si>
  <si>
    <t xml:space="preserve">Nemic-LAMBDA</t>
  </si>
  <si>
    <t xml:space="preserve">CKD-65/65</t>
  </si>
  <si>
    <t xml:space="preserve">65V 6A DC Regulated power supply FOR Advantest T5335P</t>
  </si>
  <si>
    <t xml:space="preserve">Removed from working service from Advantest T5335P tester
 CKD-65/65  power supply
TOJ-808K83-0076-P227
 </t>
  </si>
  <si>
    <t xml:space="preserve">83546</t>
  </si>
  <si>
    <t xml:space="preserve">TKS_36-21A</t>
  </si>
  <si>
    <t xml:space="preserve">36V 21A DC Regulated power supply, Advantest T5335P</t>
  </si>
  <si>
    <t xml:space="preserve">  Removed from working service from Advantest T5335P tester
TKS-36-21A  power supply
ILC-647K52-0019-P136
 </t>
  </si>
  <si>
    <t xml:space="preserve">107009</t>
  </si>
  <si>
    <t xml:space="preserve">NESLAB</t>
  </si>
  <si>
    <t xml:space="preserve">HX+75 A/C</t>
  </si>
  <si>
    <t xml:space="preserve">Process Module Chiller</t>
  </si>
  <si>
    <t xml:space="preserve">Located in Europe. This therefore has European voltage set up and CE mark.
charge 1.3 lbs refrigerant r22
was working before removal from the fab. see attached photos for details.</t>
  </si>
  <si>
    <t xml:space="preserve">108850</t>
  </si>
  <si>
    <t xml:space="preserve">CFT-75</t>
  </si>
  <si>
    <t xml:space="preserve">Recirculating Water Chiller</t>
  </si>
  <si>
    <t xml:space="preserve">CHILLER</t>
  </si>
  <si>
    <t xml:space="preserve">108851</t>
  </si>
  <si>
    <t xml:space="preserve">RTE-221</t>
  </si>
  <si>
    <t xml:space="preserve">Refrigerated Recirculating Water Chiller with Microprocessor Controller</t>
  </si>
  <si>
    <t xml:space="preserve">94594</t>
  </si>
  <si>
    <t xml:space="preserve">Neslab</t>
  </si>
  <si>
    <t xml:space="preserve">1033-0017-001</t>
  </si>
  <si>
    <t xml:space="preserve">74168</t>
  </si>
  <si>
    <t xml:space="preserve">RTE-110</t>
  </si>
  <si>
    <t xml:space="preserve">Used Neslabs RTE-110 small chiller. in used condition Located in Texas</t>
  </si>
  <si>
    <t xml:space="preserve">108769</t>
  </si>
  <si>
    <t xml:space="preserve">HX-750</t>
  </si>
  <si>
    <t xml:space="preserve">Air Cooled Recirculating Water Chiller, Damaged Compressor</t>
  </si>
  <si>
    <t xml:space="preserve">108770</t>
  </si>
  <si>
    <t xml:space="preserve">HX-75</t>
  </si>
  <si>
    <t xml:space="preserve">Recirculating Water Chiller w/Digital Temp Ctlr, Water Cooled</t>
  </si>
  <si>
    <t xml:space="preserve">108852</t>
  </si>
  <si>
    <t xml:space="preserve">NEUTRONIX/QUINTEL</t>
  </si>
  <si>
    <t xml:space="preserve">7000</t>
  </si>
  <si>
    <t xml:space="preserve">Mask Aligner, with IR Backside Alignment, for up to 6" Wafers</t>
  </si>
  <si>
    <t xml:space="preserve">108031</t>
  </si>
  <si>
    <t xml:space="preserve">NEXTEST</t>
  </si>
  <si>
    <t xml:space="preserve">MAGNUM II EV ICP</t>
  </si>
  <si>
    <t xml:space="preserve">99381</t>
  </si>
  <si>
    <t xml:space="preserve">NexTest / Teradyne</t>
  </si>
  <si>
    <t xml:space="preserve">MAGNUM 1 EV</t>
  </si>
  <si>
    <t xml:space="preserve">-deinstalled from In working condition
-See attached photos for details. Additional high resolution photos of all 
parts are available on request.
NexTest / Teradyne Magnum 1 EV Hardware Configuration
Motherboard configuration:(See attached photos)
Parts included:
NexTest DCCVIP5 P.C.B. s/n 836129
With: PWB p/n 505193 Rev 3
      PWA p/n 505194 Rev 5
NexTest DCC V2 P5 P.C.B.
With: PWB p/n 505193 Rev 3
      PWB p/n 505195 Rev 5
Single Board PC Model IAC-H6698V1.0
With PC133 512mb/32X8 Memory
Operating system: Windows XP Embedded
Motherboard model: Nextest HSB p/n 507487 HSBx Rev 9 s/n 836470
Site Assy X 507486 Date: 6/27/13
With: NexTest LVM2  p/n 505479 PWA:505498 qty 2
      NexTest ECR36 p/n 505479 PWA:505933 qty 4
      NexTest DMB36 p/n 505479 PWA:505939 qty 2
      NexTest DPSPMU with PWB: 504582 Rev 4
                          PWA: 504583 Rev 15 qty 1
      NexTest DPSPMU with PWB: 504582 Rev 5
                          PWA: 504583 Rev 15 qty 1
      NexTest DPSPMU with PWB: 504582 Rev 5
                          PWA: 504583 Rev 15 qty 1
      NexTest DPSPMU with PWB: 504582 Rev 6
                          PWA: 504583 Rev 15 qty 1
Nextest p/n 508145 including:
HP IPC Board PWB505306 Rev 5
             PWA505305 Rev 24 s/n 916500
Chassis p/n: 508374 Rev 4
Diagnostics report:-
HSB1 SERIAL# xxxx
Loading TCal data from file: Y:\nextest\caldata\tcal_data_xxxxxx.bin
Loading VCAL Data on t_hsb1, t_pe32_1
Loading VCAL Data on t_hsb1, t_pe32_2
Loading VCAL Data on t_hsb1, t_pe32_3
Loading VCAL Data on t_hsb1, t_pe32_4
Loading VCAL Data on t_hsb1, t_dps_pmu_1
Loading VCAL Data on t_hsb1, t_dps_pmu_2
Loading VCAL Data on t_hsb1, t_dps_pmu_3
Loading VCAL Data on t_hsb1, t_dps_pmu_4
active dut = 0
The test program is loaded
TestStarted(1)...
Started: 04/29/20 09:43:30
- Site controller details -
Intel(R) Pentium(R) III CPU family      1266MHz, 509MB total physical 
memory.
Microsoft Windows XP
CSDVersion
- Revision Codes for Boards -
                                           Site 1 ( Chassis 1, Slot 1 )
  Board         Serial   PWB     PWB  PWA     PWA      LVM       DBM      
ECR1      ECR2      X     Y     D
  Name          Number   Number  Rev  Number  Rev    SDR/DDR     MBits    
MBits     MBits    bits  bits  bits
-----------------------------------------------------------------------------------------------------------
  HSBX          xxxxxx   503539  2    507487  9      2/4     (2) 72  (2)  
72  (2)   72  (2)  18*   16*   36*
  PEX_1         xxxxxxx  507466  1    507467  3
  PEX_2         xxxxxx   507466  1    507467  3
  PEX_3         xxxxxxx  507466  1    507467  3
  PEX_4         xxxxxx   507466  1    507467  3
  DP_1          xxxxxxx  504582  6    504583  15
  DP_2          xxxxxx   504582  5    504583  15
  DP_3          xxxxxx   504582  5    504583  15
  DP_4          xxxxxx   504582  4    504583  15
  IPC           xxxxxx   505306  5    505305  24    Firmware Revision : 
3.8.4
* NOTE: The ECR X, Y, D bits represent the maximum allowable configuration.
- Revision Codes for Memory Modules -
  Module               Base    PWA      PWA     LVM     DBM     ECR
  Name                 Number  Number   Rev     MVec    MBits   MBits
  -------------------------------------------------------------------
  DBM-DIMM1            505479  505939   1               36
  DBM-DIMM2            505479  505939   1               36
  ECR1-DIMM1           505479  505933   1                       36
  ECR1-DIMM2           505479  505933   1                       36
  ECR2-DIMM1           505479  505933   1                       36
  ECR2-DIMM2           505479  505933   1                       36
  LVM1-DIMM1           505479  505946   1       2
  LVM2-DIMM1           505479  505946   1       2
- Revision Codes for FPGAs -
  FPGA         SW      HW
  Name         Rev     Rev
  -------------------------
  CPUI Fpga    0x1     0x9  
  TG1 Fpga     0x1     0x18 
  TG2 Fpga     0x1     0x18 
  TG3 Fpga     0x1     0x18 
  TG4 Fpga     0x1     0x18 
  TG5 Fpga     0x1     0x18 
  TG6 Fpga     0x1     0x18 
  TG7 Fpga     0x1     0x18 
  TG8 Fpga     0x1     0x18 
  APG1 Fpga    0x1     0xf1 
  APG2 Fpga    0x1     0xb0 
  DBM1 Fpga    0x1     0xbf 
  PSLE1 Fpga   0x1     0x88 
  PSS1 Fpga    0x1     0x90 
  PSLE2 Fpga   0x1     0x88 
  PSS2 Fpga    0x1     0x90 
  PSLE3 Fpga   0x1     0x88 
  PSS3 Fpga    0x1     0x90 
  PSLE4 Fpga   0x1     0x88 
  PSS4 Fpga    0x1     0x90 
  LVM1 Fpga    0x1     0x4c 
  LVM2 Fpga    0x1     0x4b 
  ECR1 Fpga    0x1     0xc3 
  ECR2 Fpga    0x1     0xc3 
Nextest software release:  C:\nextest\h2.3.17\Bin\Ui.exe
Running on MAGNUM_X20 system# xxxxxx
Testing APG read,write registers via cpu [apg_rw_regs_tb]
  Testing Address registers and LBDATA
  Testing MAR and INTA
  Testing JAM, DMAIN, DBASE, YINDEX
  Testing Unique values
Testing APG counter RAM - short march [apg_counter_ram_short_march_tb]
Testing APG reload RAM - short march [apg_reload_ram_short_march_tb]
Testing APG XDTOPO RAM - short march [apg_xdtopo_ram_short_march_tb]
Testing APG YDTOPO RAM - short march [apg_ydtopo_ram_short_march_tb]
Testing APG uRAM - short march [apg_uram_ram_short_march_tb]
Testing APG Cycle Length RAM - short march [apg_cycle_ram_short_march_tb]
Testing APG DAC RAM - short march [apg_dac_ram_short_march_tb]
Testing APG XTOPO RAM - short march [apg_xtopo_ram_short_march_tb]
Testing APG YTOPO RAM - short march [apg_ytopo_ram_short_march_tb]
Testing APG User RAM - short march [apg_user_ram_short_march_tb]
Testing APG vRAM - short march [apg_vram_ram_short_march_tb]
    Testing VMC1 DIMM1 - Bit Independence Test
    Testing VMC1 DIMM1 - Address Independence Test
    Testing VMC2 DIMM1 - Bit Independence Test
    Testing VMC2 DIMM1 - Address Independence Test
Testing HSB 100Mhz clock frequency [hsb_clk_check_tb]
Testing APG counter functions [apg_counter_tests_tb]
    Pattern start is at 3e7
  Testing Counter loading
  Testing Counter address
  Testing Reload loading
  Testing Reload address
  Testing Reload counters from reload registers
  Testing Counter DECR
  Testing Counter INCR
  Testing Counter DECR2
Testing MAR increments, stack nesting [apg_mar_and_stack_tests_tb]
  Testing MAR increments
  Testing Stack nesting, 1st pass
  Testing Stack nesting, 2nd pass
   Stack nesting, 50nS
   Stack nesting, 20nS
Testing APG counter branching [apg_counter_branching_tb]
    Pattern start is at 523
Testing APG timer branching and accuracy [apg_timer_branching_tb]
    Pattern start is at b1
Testing APG interrupt branch logic and addressing 
[apg_interrupt_branching_tb]
    Pattern start is at 621
Testing APG address generators [apg_address_generators_tb]
    Pattern start is at 532
  Testing uDATA loads
  Testing COMP function
  Testing logic functions
  Testing add
  Testing subtract
  Testing decrement and increment
  Testing Y to X carries and borrows
  Testing X to Y carries and borrows
Testing APG data generator [apg_data_generator_tb]
    Pattern start is at 5d
  Testing uDATA loads
  Testing Count up and down with shift left, 18 bit DMAIN register
  Testing Count up and down with shift left, 18 bit DBASE register
  Testing Shift right, 18 bit DMAIN register
  Testing Shift right, 18 bit DBASE register
  Testing Rotate left, 18 bit DMAIN register
  Testing Rotate right, 18 bit DMAIN register
  Testing Rotate left, 18 bit DBASE register
  Testing Rotate right, 18 bit DBASE register
  Testing Rotate left, 36 bit DMAIN register
  Testing Rotate right, 36 bit DMAIN register
  Testing Rotate left, 36 bit DBASE register
  Testing Rotate right, 36 bit DBASE register
  Testing Shift left, 36 bit DMAIN register
  Testing Shift left, 36 bit DBASE register
  Testing Shift right, 36 bit DMAIN register
  Testing Shift right, 36 bit register
Testing APG error pipelines [apg_error_pipe_tb]
Testing APG data inversions [apg_data_inversions_tb]
    Checking bit1 functions
      Bit1 as Y Address Bits PASSED
      Bit1 as X Address Bits PASSED
    Checking bit2 functions
      Bit2 as Y Address Bits PASSED
      Bit2 as X Address Bits PASSED
    Checking bit1, bit2 logical combinations
      Bit1 AND Bit2 PASSED
      Bit1 OR  Bit2 PASSED
      Bit1 XOR Bit2 PASSED
    Check X and Y parity
        XYodd PASSED
        XYEven PASSED
        Xeven_Yodd PASSED
        Xodd_Yeven PASSED
        Xodd PASSED
        Xeven PASSED
        Yodd PASSED
        Yeven PASSED
    Check DTOPO inversions
      DTopo RAM PASSED
    Check Yindex Counter
      YIndex Counter PASSED
    Check Yindex Mask Inversions
          yindex plus Y, yindex = 0xffff
          yindex plus Y bar, yindex = 0xffff
          yindex plus Y, Y = 0xffff
          yindex plus Y bar, Y = 0x0000
      YIndex Mask Inversions PASSED
    Check XY Equality Functions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ECR X Scramble RAM - short march [ecr_xscram_short_march_tb]
Testing ECR Y Scramble RAM - short march [ecr_yscram_short_march_tb]
Testing ECR Row RAM - short march [ecr_rowram_short_march_tb]
Testing ECR Col RAM - short march [ecr_colram_short_march_tb]
Testing ECR dimm bit independence [ecr_dimm_bit_independence_tb]
Testing ECR 5N March [ecr_dimm_hw_long_march_tb]
Testing DBM DRAM - short march [dbm_dimm_short_march_tb]
Testing DBM DIMM 5N March [dbm_dimm_hw_5N_march_tb]
Testing TG Pin Scramble RAM - short march [tg_psram_short_march_tb]
Testing TG timing RAM - short march [tg_timing_ram_short_march_tb]
Testing TG SLVM RAM - short march [tg_slvm_ram_short_march_tb]
Testing TG broadcast mode [tg_broadcast_tb]
Testing TG to PE communications [tg_pe_communication_tb]
Testing PE error generation [pe_error_gen_tb]
Testing PE force drive state [pe_force_drive_state_tb]
Testing PE force drive state [pe_vz_state_tb]
Testing Pin Scramble Format RAM - short march [format_ram_short_march_tb]
Testing Pin Scramble RAM - short march [pe_psram_short_march_tb]
Testing DP ADC [adc_tb]
Testing DP PMU voltage force [pmu_vf_tb]
 Testing DP 1 PMU voltage force DACs
 Testing DP 1 PMU voltage force level accuracy
 Testing DP 2 PMU voltage force DACs
 Testing DP 2 PMU voltage force level accuracy
 Testing DP 3 PMU voltage force DACs
 Testing DP 3 PMU voltage force level accuracy
 Testing DP 4 PMU voltage force DACs
 Testing DP 4 PMU voltage force level accuracy
Testing DP PMU current force [pmu_if_tb]
 Testing DP 1 PMU current force DACs
 Testing DP 1 PMU current force level accuracy
 Testing DP 2 PMU current force DACs
 Testing DP 2 PMU current force level accuracy
 Testing DP 3 PMU current force DACs
 Testing DP 3 PMU current force level accuracy
 Testing DP 4 PMU current force DACs
 Testing DP 4 PMU current force level accuracy
Testing DPS voltage force [dps_vf_tb]
 Testing DP 1 DPSn DACs
 Testing DP 1 DPSn level accuracy
 Testing DP 1 DPSn apg level DAC select path
 Testing DP 1 DPSa DACs
 Testing DP 1 DPSa level accuracy
 Testing DP 2 DPSn DACs
 Testing DP 2 DPSn level accuracy
 Testing DP 2 DPSn apg level DAC select path
 Testing DP 2 DPSa DACs
 Testing DP 2 DPSa level accuracy
 Testing DP 3 DPSn DACs
 Testing DP 3 DPSn level accuracy
 Testing DP 3 DPSn apg level DAC select path
 Testing DP 3 DPSa DACs
 Testing DP 3 DPSa level accuracy
 Testing DP 4 DPSn DACs
 Testing DP 4 DPSn level accuracy
 Testing DP 4 DPSn apg level DAC select path
 Testing DP 4 DPSa DACs
 Testing DP 4 DPSa level accuracy
Testing DP PMU/DPS current measure [range_resistor_tb]
Testing DP PMU comparators [pmu_comp_tb]
 Testing DP 1 PMU comparator DACs
 Testing DP 1 PMU comparator accuracy
 Testing DP 2 PMU comparator DACs
 Testing DP 2 PMU comparator accuracy
 Testing DP 3 PMU comparator DACs
 Testing DP 3 PMU comparator accuracy
 Testing DP 4 PMU comparator DACs
 Testing DP 4 PMU comparator accuracy
Testing PE32 PMU leakage current [pmu_leakage_tb]
Testing PE32 VIH pin level [vih_tb]
 Testing VIH DACs
 Testing VIH level accuracy
 Testing VIH apg level DAC select path
 Testing VIH offset level accuracy
Testing PE32 VIL pin level [vil_tb]
 Testing VIL DACs
 Testing VIL level accuracy
 Testing VIL apg level DAC select path
 Testing VIL offset level accuracy
Testing PE32 VIHH pin level [vihh_tb]
 Testing VIHH DACs
 Testing VIHH level accuracy
 Testing VIHH apg level DAC select path
Testing PE32 VTT pin level [vtt_tb]
 Testing VTT DACs
 Testing VTT level accuracy
Testing PE32 VOH pin level [voh_tb]
 Testing VOH DACs
 Testing VOH level accuracy
Testing PE32 VOL pin level [vol_tb]
 Testing VOL DACs
 Testing VOL level accuracy
Testing PE32 VZ pin level [vz_tb]
 Testing VZ level accuracy
Testing PE32 PE output impedance [pe_rout_tb]
Testing DP PMU voltage clamps [pmu_vclamp_tb]
Testing DP PMU current limit [pmu_ilimit_tb]
Testing DPS switches [dps_switch_tb]
Testing DPS current share [dps_share_tb]
Testing DPS sense resistor bypass diodes [dps_diode_tb]
Testing DPS compensation capacitors [dps_cap_tb]
Testing DP DPS leakage current [dps_leakage_tb]
Testing DP PMU compensation capacitors [pmu_cap_tb]
active dut = 0
Testing DP DPS current capability [dps_imin_tb]
Testing DP HV voltage force [hv_vf_tb]
 Testing HV DACs
 Testing HV level accuracy
Testing DP HV leakage current [hv_leakage_tb]
Testing DP HV current measure [hv_imeas_tb]
Testing PE Verniers [vern_check_tb]
Testing strobe modes [pe_strobe_mode_tb]
Testing PE32 XYAddr Pin Scramble [pe_ps_xy_tb]
  Testing X Address bits
    X Address 50.0MHz Test (20 ns)
  Testing Y Address bits
    Y Address 50.0MHz Test (20 ns)
Testing PE32 Data Pin Scramble [pe_ps_data_tb]
  Testing Data bits
    Data Bits 50.0MHz Test (20 ns)
  Testing Data Strobes
    Data Strobes 20.0MHz Test (50 ns)
Testing PE32 Chip Select Pin Scramble [pe_ps_cs_tb]
  Testing Chip Selects
    Chip Selects 50.0MHz Test (20 ns)
  Testing Chip Select Strobes
    Chip Select Strobes 20.0MHz Test (50 ns)
Testing PE32 Force Pin Scramble [pe_ps_force_tb]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[pe_ps_lvm_tb]
  Testing Drive 0/1/X
    Drive 0 50.0MHz Test (20 ns)
    Drive 1 50.0MHz Test (20 ns)
    Drive X 50.0MHz Test (20 ns) (HiZ)
  Testing Strobe L/H/V/Z
    Strobe L 20.0MHz Test (50 ns)
    Strobe H 20.0MHz Test (50 ns)
    Strobe V 20.0MHz Test (50 ns)
    Strobe Z 20.0MHz Test (50 ns)
Testing PE32 XYAddr Pin Scramble [pe_ps_xy_ddr_tb]
  Testing X Address bits
    X Address 50.0MHz Test (20 ns)
  Testing Y Address bits
    Y Address 50.0MHz Test (20 ns)
Testing PE32 Data Pin Scramble [pe_ps_data_ddr_tb]
  Testing Data bits
    Data Bits 50.0MHz Test (20 ns)
  Testing Data Strobes
    Data Strobes 20.0MHz Test (50 ns)
Testing PE32 Chip Select Pin Scramble [pe_ps_cs_ddr_tb]
  Testing Chip Selects
    Chip Selects 50.0MHz Test (20 ns)
  Testing Chip Select Strobes
    Chip Select Strobes 20.0MHz Test (50 ns)
Testing PE32 Force Pin Scramble [pe_ps_force_ddr_tb]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[pe_ps_lvm_ddr_tb]
  Testing Drive 0/1/X
    Drive 0 50.0MHz Test (20 ns)
    Drive 1 50.0MHz Test (20 ns)
    Drive X 50.0MHz Test (20 ns) (HiZ)
  Testing Strobe L/H/V/Z
    Strobe L 20.0MHz Test (50 ns)
    Strobe H 20.0MHz Test (50 ns)
    Strobe V 20.0MHz Test (50 ns)
    Strobe Z 20.0MHz Test (50 ns)
Testing PE32 Timing Generators [pe_tg_format_tb]
  Testing NRZ Format 5.0MHz Test (200 ns) with Edge Strobes
  Testing NRZ Format 5.0MHz Test (200 ns) with Window Strobes
  Testing RTO Format 5.0MHz Test (200 ns) with Edge Strobes
  Testing RTO Format 5.0MHz Test (200 ns) with Window Strobes
  Testing RTZ Format 5.0MHz Test (200 ns) with Edge Strobes
  Testing RTZ Format 5.0MHz Test (200 ns) with Window Strobes
Testing PE32 Timing Generators [pe_tg_dclk_format_tb]
  Testing DCLKPOS Format 5.0MHz Test (200 ns) with Edge Strobes
  Testing DCLKPOS Format 5.0MHz Test (200 ns) with Window Strobes
  Testing DCLKNEG Format 5.0MHz Test (200 ns) with Edge Strobes
  Testing DCLKNEG Format 5.0MHz Test (200 ns) with Window Strobes
Testing PE32 Timing Generators [pe_tg_mux_mode_tb]
  Testing MUX Mode 5.0MHz Test (200 ns) with Edge Strobes
  Testing MUX Mode 5.0MHz Test (200 ns) with Window Strobes
Testing VMC FIFO Resident Loop counter branching 
[vmc_fifo_loop_branching_tb]
    Builtin Pure Logic Pattern start is at 0
    Running vmc_fifo_loop1_np_pat
    PASS: vmc_fifo_loop1_np_pat
    Running vmc_fifo_loop2_np_pat
    PASS: vmc_fifo_loop2_np_pat
    Running vmc_fifo_loop3_np_pat
    PASS: vmc_fifo_loop3_np_pat
    Running vmc_fifo_loop4_np_pat
    PASS: vmc_fifo_loop4_np_pat
    Running vmc_fifo_loop5_np_pat
    PASS: vmc_fifo_loop5_np_pat
    Running vmc_fifo_loop6_np_pat
    PASS: vmc_fifo_loop6_np_pat
Testing VMC RAM Resident Loop counter branching [vmc_ram_loop_branching_tb]
    Builtin Pure Logic Pattern start is at 0
    Running vmc_ram_loop_np_pat
    PASS: vmc_ram_loop_np_pat
Testing LVM Subroutine Branching [lvm_subroutines_tb]
Testing LVM Subroutine Branching DDR [lvm_subroutines_ddr_tb]
Testing Scan Functionality [scan_tb]
  Standard Mode SCAN Tests
  Split Mode SCAN Tests
  TG Hold SCAN Tests
Testing Scan DDR Functionality [scan_ddr_tb]
  Standard Mode SCAN Tests
  Split Mode SCAN Tests
  TG Hold SCAN Tests
Testing HSB sec. connections [apg_sec_tb].
active dut = 0
active dut = 1
Testing ECR [ecr1_tb]
Testing first 36 ECR data inputs with 18X, 0Y
 Testing ECR0 first 36 error lines
 Testing ECR1 first 36 error lines
Testing ECR [ecr2_tb]
Testing last 36 ECR data inputs with 18X, 0Y
 Testing ECR0 last 36 error lines
 Testing ECR1 last 36 error lines
Testing ECR [ecr3_tb]
Testing ECR address inputs with 18X, 3Y and full speed configuration
 Testing ECR0 addressing
  ECR0 first row
  ECR0 second row
  ECR0 third row
  ECR0 last row
  ECR0 diagonal
 Testing ECR1 addressing
  ECR1 first row
  ECR1 second row
  ECR1 third row
  ECR1 last row
  ECR1 diagonal
Testing ECR [ecr4_tb]
Testing ECR address inputs with 5X, 16Y and full speed configuration
 Testing ECR0 addressing
  ECR0 first column
  ECR0 second column
  ECR0 third column
  ECR0 last column
  ECR0 diagonal
 Testing ECR1 addressing
  ECR1 first column
  ECR1 second column
  ECR1 third column
  ECR1 last column
  ECR1 diagonal
Testing ECR [ecr5_tb]
Testing ECR clear with full speed configuration, 18X, 3Y
 Testing ECR0 clear
 Testing ECR1 clear
Testing ECR [dbm1_tb]
Testing DBM read widths with minimum speed configuration, 18X, 6Y
Testing ECR [dbm2_tb]
Testing DBM read speeds with 36 bit configuration, 18X, 3Y
Testing ECR [dbm3_tb]
Testing DBM write widths with minimum speed configuration, 18X, 6Y
Testing ECR [dbm4_tb]
Testing DBM write speeds with 36 bit configuration, 18X, 3Y
Testing ECR [dbm5_tb]
Testing DBM write to ECR capture with full speed configuration, 18X, 3Y
 Testing DBM capture to ECR0
  DBM to ECR0 first row
  DBM to ECR0 second row
  DBM to ECR0 third row
  DBM to ECR0 last row
  DBM to ECR0 diagonal
Testing ECR [ dbm6_tb ]
Testing DBM read widths with sequential configuration, 18X, 6Y
Testing CPUI in multiple sites per controller [multisite_cpui_tb]
multisite_cpui_tb PASSED.
Testing APG in multiple sites per controller [multisite_apg_tb]
multisite_apg_tb PASSED.
PE_Temperature_Display [pe_temperature_display_tb]
09:50:27   Cyc= 0.00ns   Vih=4.00v/4.00v/4.00v/4.00v   
Vil=0.00v/0.00v/0.00v/0.00v
 HSB2              temp[low/hi]            temp[low/hi]
  HSB LVM  local = 29 [  0/ 70]   remote = 32 [  0/ 70]
  HSB ECR  local = 31 [  0/ 70]   remote = 35 [  0/ 70]
 Temperatures on PEmodule1
  U14= 35.0   U22= 38.5   U18= 42.1    U4= 43.0
  U17= 33.8    U3= 41.1   U20= 41.5    U6= 41.7
  U16= 33.6    U2= 37.4   U21= 41.7    U7= 45.4
  U19= 36.4    U5= 41.3   U15= 42.8    U1= 48.7
  PE 1 thermal sensor = 43 (low limit = 81, high limit = 86)
 Temperatures on PEmodule2
  U14= 36.4   U22= 40.9   U18= 44.8    U4= 46.4
  U17= 37.0    U3= 39.5   U20= 45.6    U6= 49.1
  U16= 38.5    U2= 39.7   U21= 44.2    U7= 48.9
  U19= 37.2    U5= 39.3   U15= 43.0    U1= 47.5
  PE 2 thermal sensor = 46 (low limit = 81, high limit = 86)
 Temperatures on PEmodule3
  U14=-231.0   U22= 44.4   U18=-222.4    U4= 47.3
  U17=-220.0    U3= 41.7   U20=-219.6    U6= 49.9
  U16=-220.6    U2= 44.8   U21=-219.2    U7= 48.9
  U19=-221.2    U5= 41.1   U15=-219.0    U1= 50.7
  PE 3 thermal sensor = 45 (low limit = 81, high limit = 86)
 Temperatures on PEmodule4
  U14= 36.8   U22= 38.7   U18= 39.9    U4= 43.0
  U17= 39.1    U3= 40.3   U20= 41.1    U6= 43.8
  U16= 38.7    U2= 42.6   U21= 41.3    U7= 45.0
  U19= 36.6    U5= 39.9   U15= 43.0    U1= 44.8
  PE 4 thermal sensor = 41 (low limit = 81, high limit = 86)
SystemDiag summary [diag_summary_tb]
    Pass number : 1
    Time for this pass : 00:06:59
    Total time : 00:07:08
Final Bin: pass_bin
Done: 04/29/20 09:50:29
TestDone...bin = pass_bin,pass_bin</t>
  </si>
  <si>
    <t xml:space="preserve">99382</t>
  </si>
  <si>
    <t xml:space="preserve">MAVERICK PT II</t>
  </si>
  <si>
    <t xml:space="preserve">-Has been de-installed, and is now warehoused. The equipment was in working 
condition before removal.
-see attached photo for details
-diagnostic report:
The test program is loaded
TestStarted(1)...
Started: 05/18/20 09:30:58
                                       Site 1
  Board      Serial    PWB    PWB   PWA    PWA   LVM    DBM    Scan   ECR   
 X     Y     D
  Name       Number   Number  Rev  Number  Rev  Kbits  Mbits  Mbits  Mbits  
bits  bits  bits
---------------------------------------------------------------------------------------------
   PTI       x   500000    3  500001    7                                   
   PE1       x   501683    4  501873   10   2048                            
   PE2       x   501683    4  501873   10   2048                            
   APG       x   501682    3  501872   32   2048     36      8              
   ECR       x   500732    9  501255   16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0x100000 - 0x400 X, 0x400 Y
Testing APG VAR Counter RAM [apg_vector_ram_march_tb]
Testing APG vRAM - short march [apg_vram_ram_short_march_tb]
    LVM Memory depth is 0x200000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Counter loading
    Counter address
    VAR Counter DECR
Testing APG VAR increments, stack nesting [apg_var_and_stack_tests_tb]
   VAR increments
   Stack nesting, 1st pass
   Stack nesting, 2nd pass
   Stack nesting, 50nS
   Stack nesting, 30nS
Testing APG VAR counter branching [apg_var_counter_branching_tb]
    var/mar counter branching
Testing APG RAM read only paths [apg_ram_current_outputs_tb]
Testing PE TG count RAM [pe_tg_count_march_tb]
 Testing PE1
 Testing PE2
Testing PE TG format RAM [pe_tg_format_march_tb]
 Testing PE1
 Testing PE2
Testing PE VIHH RAM [pe_vihh_march_tb]
 Testing PE1
 Testing PE2
Testing PE Pin Scramble RAM [pe_psram_march_tb]
 Testing PE1
 Testing PE2
Testing PE LVM RAM [pe_lvm_march_tb]
 Testing PE1
 Testing PE2
Testing PE Broadcast mode [pe_broadcast_tb]
 Testing PE1
 Testing PE2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 strobe modes [pe_strobe_mode_tb]
 Testing PE1
 Testing PE2
Testing PE tg formats [pe_tg_format_tb]
 Testing PE1
 Testing PE2
Testing PE tg dclk formats [pe_tg_dclk_format_tb]
 Testing PE1
 Testing PE2
Testing PE tg io formats [pe_tg_io_format_tb]
 Testing PE1
 Testing PE2
Testing PE tg counters [pe_tg_counter_tb]
 Testing PE1
 Testing PE2
Testing PE vihh maps [pe_vihh_map_tb]
 Testing PE1
 Testing PE2
Testing PE pin scramble [pe_ps_ad_tb]
 Testing PE1
 Testing PE2
Testing PE pin scramble [pe_ps_cs_tb]
 Testing PE1 active low
 Testing PE2 active low
 Testing PE1 active high
 Testing PE2 active high
Testing PE pin scramble [pe_ps_lvm_tb]
 Testing PE1
 Testing PE2
Testing PE pin scramble [pe_ps_scan_tb]
 Testing PE1
 Testing PE2
Testing PE mux mode [pe_mux_mode_tb]
 Testing PE1
 Testing PE2
Testing PE first error counter [pe_first_error_tb]
 Counter start test, tgmode 0
  Testing PE1
  Testing PE2
 Counter start test, tgmode 1
  Testing PE1
  Testing PE2
 Counter bit test, tgmode 0
  Testing PE1
  Testing PE2
 Counter bit test, tgmode 1
  Testing PE1
  Testing PE2
Testing PE error [pe_error_flag_tb]
 Testing PE1
 Testing PE2
Testing PE abort [pe_abort_tb]
 Testing PE1
 Testing PE2
Testing PE VAR Path (pe_var_path_tb)
 Testing PE1
 Testing PE2
Testing PE Real Time Error Catch Counter [pe_rtec_counter_tb]
  Testing PE1
  Testing PE2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0x20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00:01:31
    Total time : 00:01:33
Final Bin: pass_bin
Done: 05/18/20 09:32:29
TestDone...bin = pass_bin
 </t>
  </si>
  <si>
    <t xml:space="preserve">99383</t>
  </si>
  <si>
    <t xml:space="preserve">-deinstalled from IN WORKING CONDITION
-SEE ATTACHED PHOTO FOR DETAILS
-Diagnostic report:-
The test program is loaded
TestStarted(1)...
Started: 05/18/20 14:51:25
                                       Site 1
  Board      Serial    PWB    PWB   PWA    PWA   LVM    DBM    Scan   ECR   
 X     Y     D
  Name       Number   Number  Rev  Number  Rev  Kbits  Mbits  Mbits  Mbits  
bits  bits  bits
---------------------------------------------------------------------------------------------
   PTI       x   500000    3  500001    7                                   
   PE1       x   501683    3  501873    9      0                            
   PE2       x   501863    3  501873    9      0                            
   PE3       x   501683    4  501873   10      0                            
   APG       x   501682    3  501872   36      0     36      0              
   ECR       x   500732    9  501255   17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1, 1
Testing APG Buffer Memory - short march [apg_buf_ram_short_march_tb]
    Buffer Memory depth is 0x100000 - 0x400 X, 0x400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00:02:08
    Total time : 00:02:10
Final Bin: pass_bin
Done: 05/18/20 14:53:33
TestDone...bin = pass_bin
</t>
  </si>
  <si>
    <t xml:space="preserve">109045</t>
  </si>
  <si>
    <t xml:space="preserve">Maverick-II PT</t>
  </si>
  <si>
    <t xml:space="preserve">Bitmap Tester</t>
  </si>
  <si>
    <t xml:space="preserve">De-installed and warehoused. Can be inspected by appointment. In Asia 
region.</t>
  </si>
  <si>
    <t xml:space="preserve">109046</t>
  </si>
  <si>
    <t xml:space="preserve">De-installed and warehoused. Can be inspected by appointment</t>
  </si>
  <si>
    <t xml:space="preserve">108032</t>
  </si>
  <si>
    <t xml:space="preserve">Nextest Systems Corporation</t>
  </si>
  <si>
    <t xml:space="preserve">MAGNUM II ICP 1280</t>
  </si>
  <si>
    <t xml:space="preserve">De-installed, warehoused. Can be inspected by appointment.
See attached photos for the details of it.
 </t>
  </si>
  <si>
    <t xml:space="preserve">108030</t>
  </si>
  <si>
    <t xml:space="preserve">MAGNUM ICP 1280</t>
  </si>
  <si>
    <t xml:space="preserve">-Deisntalled and warehoused
-in excellent condition
-see attached photos for details
-Electrical rating: 208V 3 phase 28 A 50/60 Hz
-Ce marked
HS256A BASE BOARD 1-1
HS256A BASE BOARD 1-2
HS256A BASE BOARD 1-3
HS256A BASE BOARD 1-4
DPS128A BASE BOARD 1-5
HS256A BASE BOARD 2-1
HS256A BASE BOARD 2-2
HS256A BASE BOARD 2-3
HS256A BASE BOARD 2-4
DPS128A BASE BOARD 2-5</t>
  </si>
  <si>
    <t xml:space="preserve">93103</t>
  </si>
  <si>
    <t xml:space="preserve">NGR</t>
  </si>
  <si>
    <t xml:space="preserve">NGR2150</t>
  </si>
  <si>
    <t xml:space="preserve">E-beam wafer inspection</t>
  </si>
  <si>
    <t xml:space="preserve">108853</t>
  </si>
  <si>
    <t xml:space="preserve">NICOLET</t>
  </si>
  <si>
    <t xml:space="preserve">Avatar 370 DTGS</t>
  </si>
  <si>
    <t xml:space="preserve">108187</t>
  </si>
  <si>
    <t xml:space="preserve">Magna 410 ft-ir</t>
  </si>
  <si>
    <t xml:space="preserve">FTIR Spectrophotometer</t>
  </si>
  <si>
    <t xml:space="preserve">108188</t>
  </si>
  <si>
    <t xml:space="preserve">Magna 560 ft-ir</t>
  </si>
  <si>
    <t xml:space="preserve">108771</t>
  </si>
  <si>
    <t xml:space="preserve">Magna 550</t>
  </si>
  <si>
    <t xml:space="preserve">FT-IR Spectrophotometer</t>
  </si>
  <si>
    <t xml:space="preserve">    * Capable of up to 0.125 cm-1 Resolution
    * Auto-Tune System Alignment and Continuous Dynamic Alignment
    * Digital Signal Processing (DSP) Provides Exact Scan Reproducibility
      and Collection of Minute Signals
    * Helium Neon (Hehe) 632.8 nm Laser</t>
  </si>
  <si>
    <t xml:space="preserve">108189</t>
  </si>
  <si>
    <t xml:space="preserve">NIDEC</t>
  </si>
  <si>
    <t xml:space="preserve">Im15</t>
  </si>
  <si>
    <t xml:space="preserve">Wafer inspection</t>
  </si>
  <si>
    <t xml:space="preserve">108190</t>
  </si>
  <si>
    <t xml:space="preserve">Im800</t>
  </si>
  <si>
    <t xml:space="preserve">109057</t>
  </si>
  <si>
    <t xml:space="preserve">Nikon</t>
  </si>
  <si>
    <t xml:space="preserve">NSR-S307E</t>
  </si>
  <si>
    <t xml:space="preserve">106503</t>
  </si>
  <si>
    <t xml:space="preserve">Auto Wafer Loader for Microscope Inspection</t>
  </si>
  <si>
    <t xml:space="preserve">WAFER INSPECTION MICROSCOPE</t>
  </si>
  <si>
    <t xml:space="preserve">109072</t>
  </si>
  <si>
    <t xml:space="preserve">NSR-S208D</t>
  </si>
  <si>
    <t xml:space="preserve">-Still installed and operational
-Software Version
MCSW ver.180-P12/OCSW ver.180-P10
-See attached photos of system parts
-See below for system data.
Generic Performance Specifications:-
Resolution ≦ 110 nm
NA 0.82
Exposure light source KrF excimer laser (248 nm wavelength)
Reduction ratio 1:4
Exposure field 26 × 33 mm
Alignment accuracy ≦ 10 nm
Throughput ≧ 147 wafers/hour (300 mm wafer, 76 shots)
Specific System performance data:-
Parameter 	  	Specification and Units 	Measurement
Reticle Blind 	  	  	 
XM Outside 	  	400 ~ 800 um 	650
XP Inside 	  	400 ~ 800 um 	650
YM Outside 	  	400 ~ 800 um 	610
YP Inside 	  	400 ~ 800 um 	620
Lens performance Data 	  	  	 
Illumination Check 	  	  	 
ID1 	Uniformity 	≤0.8% 	0.0056
  	Power 	&gt; 3000 mw/cm2 	3177
ID13 	Uniformity 	≤0.8% 	0.00346
  	Power 	&gt; 3000 mw/cm2 	2533
ID15 	Uniformity 	≤0.8% 	0.00433
  	Power 	&gt; 3000 mw/cm2 	2544
ID17 	Uniformity 	≤0.8% 	0.00592
  	Power 	&gt; 3000 mw/cm2 	2568
ID21 	Uniformity 	≤0.8% 	0.00508
  	Power 	&gt; 3000 mw/cm2 	3129
Wafer Stage Mirror Bow 	  	  	 
Upper 	Sub value X 	≤ 8 nm 	1.695
  	Sub value Y 	≤ 8 nm 	1.053
Lower 	Sub value X 	≤ 8 nm 	1.133
  	Sub value Y 	≤ 8 nm 	0.919
Twist 	Sub value X 	≤ 8 nm 	5.337
  	sub value Y 	≤ 8 nm 	4.39
Projection Lens Image Plane 	Angle X 	0 ± 1 urad 	-0.051
  	Angle Y 	0 ± 3 urad 	0.511
Field Inclination TFD 	max - min 	≤ 0.080 um 	0.0675
  	All reading have? 	Yes / No 	YES
Flare check(Please inform EE when E0&lt;=240mj) 	E0 	&gt;=240 mj 	360
Best Focus 	  	0 ± 0.015 um 	0.004
Wafer Loader Repeatability (Front) 	  	  	 
Y 3Sigma 	  	≤ 15 um 	3.955
Rot 3Sigma 	  	≤ 200 um 	112.742
X 3Sigma 	  	≤ 15 um 	7.137
Rot mean 	  	0 ± 200 um 	141.461
Y mean 	  	0 ± 10 um 	1.758
X mean 	  	0 ± 10 um 	1.906
FIA Overlay Matching 	  	  	 
Residual X 3Sigma 	  	&lt; 20nm 	15.6
Residual Y 3Sigma 	  	&lt; 20nm 	12.8
Plus/Minus Difference X 	  	&lt; 10nm 	1.4
Plus/Minus Difference Y 	  	&lt; 10nm 	4.5
  	  	  	 </t>
  </si>
  <si>
    <t xml:space="preserve">110610</t>
  </si>
  <si>
    <t xml:space="preserve">NIKON</t>
  </si>
  <si>
    <t xml:space="preserve">OptiStation 3</t>
  </si>
  <si>
    <t xml:space="preserve">In working condition.
Currently de-installed and warehoused. Inspection is available by 
appointment.</t>
  </si>
  <si>
    <t xml:space="preserve">110618</t>
  </si>
  <si>
    <t xml:space="preserve">Optistation 3</t>
  </si>
  <si>
    <t xml:space="preserve">103456</t>
  </si>
  <si>
    <t xml:space="preserve">NWL860-TBM</t>
  </si>
  <si>
    <t xml:space="preserve">Wafer Auto Loader</t>
  </si>
  <si>
    <t xml:space="preserve">Deinstalled, warehoused. Can be inspected by appointment.
This autoloader can load both 6 inch and 8 inch wafers.</t>
  </si>
  <si>
    <t xml:space="preserve">108854</t>
  </si>
  <si>
    <t xml:space="preserve">NWL-860</t>
  </si>
  <si>
    <t xml:space="preserve">Automatic Microscope Wafer Loader for up to 200mm Wafers</t>
  </si>
  <si>
    <t xml:space="preserve">108087</t>
  </si>
  <si>
    <t xml:space="preserve">4S061-690-1</t>
  </si>
  <si>
    <t xml:space="preserve">Linear Motor Controller</t>
  </si>
  <si>
    <t xml:space="preserve">As-is</t>
  </si>
  <si>
    <t xml:space="preserve">108855</t>
  </si>
  <si>
    <t xml:space="preserve">Optiphot 200</t>
  </si>
  <si>
    <t xml:space="preserve">Wafer Inspection Microscope, B/Dfield &amp; DIC Microscopy, Motorized Turret with 5ea Objectives, Prior ProScan Programmable Stage, 200mm X 200mm XY Travel, Color CCD Camera &amp; More</t>
  </si>
  <si>
    <t xml:space="preserve">108088</t>
  </si>
  <si>
    <t xml:space="preserve">4S586-580</t>
  </si>
  <si>
    <t xml:space="preserve">NEST</t>
  </si>
  <si>
    <t xml:space="preserve">Working</t>
  </si>
  <si>
    <t xml:space="preserve">108089</t>
  </si>
  <si>
    <t xml:space="preserve">Irradiance Meter</t>
  </si>
  <si>
    <t xml:space="preserve">included G-line sensor</t>
  </si>
  <si>
    <t xml:space="preserve">108090</t>
  </si>
  <si>
    <t xml:space="preserve">included i-line sensor</t>
  </si>
  <si>
    <t xml:space="preserve">This Irradiance meter has been tested and is in working condition. See 
attached photos for details.</t>
  </si>
  <si>
    <t xml:space="preserve">108092</t>
  </si>
  <si>
    <t xml:space="preserve">OPTIPHOT-200</t>
  </si>
  <si>
    <t xml:space="preserve">Wafer inspection microscope</t>
  </si>
  <si>
    <t xml:space="preserve">108093</t>
  </si>
  <si>
    <t xml:space="preserve">OPTIPHOT-300</t>
  </si>
  <si>
    <t xml:space="preserve">108094</t>
  </si>
  <si>
    <t xml:space="preserve">OPTIPHOT-88-AC IN</t>
  </si>
  <si>
    <t xml:space="preserve">108095</t>
  </si>
  <si>
    <t xml:space="preserve">R1505A</t>
  </si>
  <si>
    <t xml:space="preserve">test reticle</t>
  </si>
  <si>
    <t xml:space="preserve">- 2 ea available
- Version 6.01 / Version 6.30Q</t>
  </si>
  <si>
    <t xml:space="preserve">108096</t>
  </si>
  <si>
    <t xml:space="preserve">R2005MF(VER3.09N), R2005HMF(VER5.09)</t>
  </si>
  <si>
    <t xml:space="preserve">108097</t>
  </si>
  <si>
    <t xml:space="preserve">R2205HA, HB, HDIS, HMF</t>
  </si>
  <si>
    <t xml:space="preserve">108098</t>
  </si>
  <si>
    <t xml:space="preserve">VT286</t>
  </si>
  <si>
    <t xml:space="preserve">Digital</t>
  </si>
  <si>
    <t xml:space="preserve">99396</t>
  </si>
  <si>
    <t xml:space="preserve">EpiPhot 200</t>
  </si>
  <si>
    <t xml:space="preserve">Inspection Microscope</t>
  </si>
  <si>
    <t xml:space="preserve">In working condition. Manual, coarse and fine X-Y movements. There are 5 
objectives.
Includes light source.
Currently de-installed and warehoused. Inspection is available by 
appointment.
The Nikon Epiphot 200 Inverted Metallurgical Microscope is a compact and 
highly upgradeable package. This unit is ideal for observation and 
projecting results onto a TV monitor.
The Epiphot 200 features the CF infinity corrected optical system, which 
combines Nikon's CF optics with Infinity Corrected design for greater 
system flexibility. It also features a lowered stage design and ergonomic 
controls. The built-in interlocking aperture diaphragm which automatically 
adjusts during darkfield / brightfield changeover, and the universal joint 
stage handle which allows quick movement of the stage by hand from a fixed 
position.</t>
  </si>
  <si>
    <t xml:space="preserve">103238</t>
  </si>
  <si>
    <t xml:space="preserve">NSR-S620D</t>
  </si>
  <si>
    <t xml:space="preserve">193 NM immersion scanner (EXCIMER LASER NOT INCLUDED)</t>
  </si>
  <si>
    <t xml:space="preserve">Equipment crated and stored in warehouse.
Resolution ≦ 38 nm
NA 1.35
Reduction ratio 1:4
Maximum exposure field 26 × 33 mm
Overlay ≦ 3 nm
Throughput ≧ 180 wafers/hour (300 mm wafer, 125 shots)
This tool was removed from service in early 2020.
During the removal, the attached photos were taken.
EXCIMER LASER: NOT INCLUDED</t>
  </si>
  <si>
    <t xml:space="preserve">110663</t>
  </si>
  <si>
    <t xml:space="preserve">NSR-SF140</t>
  </si>
  <si>
    <t xml:space="preserve">I-LINE SCANNER</t>
  </si>
  <si>
    <t xml:space="preserve">110664</t>
  </si>
  <si>
    <t xml:space="preserve">NSR-S204B</t>
  </si>
  <si>
    <t xml:space="preserve">108643</t>
  </si>
  <si>
    <t xml:space="preserve">Eclipse L200</t>
  </si>
  <si>
    <t xml:space="preserve">Price includes packing / crating for export
DEINSTALLED, WAREHOUSED
- New CCD camera
- 5x, 10x, 20x, 50x &amp; 100x Objectives
- Computer
- Keyboard &amp; Mouse</t>
  </si>
  <si>
    <t xml:space="preserve">108904</t>
  </si>
  <si>
    <t xml:space="preserve">NSR-S609B</t>
  </si>
  <si>
    <t xml:space="preserve">ArF 193 nm scanner (Scanner)</t>
  </si>
  <si>
    <t xml:space="preserve">De-installed by Nikon in 2015, warehoused. Can be inspected by appointment. 
Photos and more technical information is available on request. The tool has 
been stored in a temperature and humidity controlled warehouse since 
removal.
Resolution ≦ 55 nm
NA 1.07
Exposure light source ArF excimer laser (193 nm wavelength)
Reduction ratio 1:4
Exposure field 26 × 33 mm
Alignment accuracy ≦ 7 nm
Throughput ≧ 130 wafers/hour (300 mm wafer, 76 shots)</t>
  </si>
  <si>
    <t xml:space="preserve">108923</t>
  </si>
  <si>
    <t xml:space="preserve">NES1-H04</t>
  </si>
  <si>
    <t xml:space="preserve">Mini stepper</t>
  </si>
  <si>
    <t xml:space="preserve">109215</t>
  </si>
  <si>
    <t xml:space="preserve">NSR-S308F</t>
  </si>
  <si>
    <t xml:space="preserve">193nm (ArF) Scanner</t>
  </si>
  <si>
    <t xml:space="preserve">108965</t>
  </si>
  <si>
    <t xml:space="preserve">A1R</t>
  </si>
  <si>
    <t xml:space="preserve">Confocal Laser Scanning Microscope with Prior Proscan III automated stage</t>
  </si>
  <si>
    <t xml:space="preserve">-Designed for use in life-science applications with a very high resolution 
over wide field of view
-Includes a high accuracy Prior Proscan III microscope automation and stage 
system
-Still installed and operational
-Can be inspected by appointment
-Please refer to the attached photos for details about the system</t>
  </si>
  <si>
    <t xml:space="preserve">18867</t>
  </si>
  <si>
    <t xml:space="preserve">204402</t>
  </si>
  <si>
    <t xml:space="preserve">Operations manual NSR-1755I7A</t>
  </si>
  <si>
    <t xml:space="preserve">ORIGINAL MANUALS AVAILABLE. PRICED 1000 EURO EACH NSR MAINTENANCE TRAINING 
TEXTBOOK MI COURSE NEST 2 SOFTWARE MANUAL NSR R1755A V6 NSR MCSII SERIES 
APS TRAINING MANUAL SERVICE MANUAL LEVEL 2 NSR/MCS II SERIES V3 APRIL 1991 
NSR 1755I7A SYSTEM MANUAL PART 1 NSR MCSII DIAGNOSE COMMAND INSTRUCTION 
MANUAL NSR/MCSII VER 1.5 NSR/MCS II OPERATION MANUAL PART 3</t>
  </si>
  <si>
    <t xml:space="preserve">98484</t>
  </si>
  <si>
    <t xml:space="preserve">ECLIPSE L150</t>
  </si>
  <si>
    <t xml:space="preserve">100/150mm</t>
  </si>
  <si>
    <t xml:space="preserve">98485</t>
  </si>
  <si>
    <t xml:space="preserve">Optiphot 150</t>
  </si>
  <si>
    <t xml:space="preserve">Microscope Inspection Station</t>
  </si>
  <si>
    <t xml:space="preserve">Optical information of the microscopes:
1. Objective lens : 
Leica NPL 100X/0.90, NPL Fluotar 50X/0.85, NPL 20/0.40, NPL10X/0.20 and NPL 
5X/0.09 for Microscope No. 1
Plan Fluor 100X/0.90 EPi, Plan Fluor 50X/0.80 Epi,  Plan Fluor XLWD 
20X/0.40 Epi IK, Plan Fluor LWD 10X/0.20 Epi, and Plan Fluor LWD 5X/0.10 
Epi for Microscope No. 2 and No. 3.
2. other optical part.
eyepieces : CFWN 10X/20 for Microscope No. 1, 2 and 3.
Camera : No camera included.
Deinstalled, warehoused. Can be inspected by appointment</t>
  </si>
  <si>
    <t xml:space="preserve">106956</t>
  </si>
  <si>
    <t xml:space="preserve">4S061-688-5</t>
  </si>
  <si>
    <t xml:space="preserve">X Linear Motor Stage Amp</t>
  </si>
  <si>
    <t xml:space="preserve">32206</t>
  </si>
  <si>
    <t xml:space="preserve">RETICLE BOX 5 INCH</t>
  </si>
  <si>
    <t xml:space="preserve">5 INCH RETICLE BOX</t>
  </si>
  <si>
    <t xml:space="preserve">5 INCH</t>
  </si>
  <si>
    <t xml:space="preserve">SEALED IN DOUBLE PLASTIC BAGS AND CLEANED.IN ITALY</t>
  </si>
  <si>
    <t xml:space="preserve">106707</t>
  </si>
  <si>
    <t xml:space="preserve">AMI-3300</t>
  </si>
  <si>
    <t xml:space="preserve">106708</t>
  </si>
  <si>
    <t xml:space="preserve">106709</t>
  </si>
  <si>
    <t xml:space="preserve">AMI-3500</t>
  </si>
  <si>
    <t xml:space="preserve">109278</t>
  </si>
  <si>
    <t xml:space="preserve">NSR2205 i14E</t>
  </si>
  <si>
    <t xml:space="preserve">see photos for details</t>
  </si>
  <si>
    <t xml:space="preserve">109536</t>
  </si>
  <si>
    <t xml:space="preserve">NSR-SF100</t>
  </si>
  <si>
    <t xml:space="preserve">i-line scan-field Stepper</t>
  </si>
  <si>
    <t xml:space="preserve">Reticle size: 6 inch
Wafer track interface on Right side.
The system has been refurbished, using all Nikon original OEM parts.
Current equipment condition: Installed and operational, and can be 
demonstrated running wafers by appointment.
Please refer to the attached data for details regarding the current system 
performance.
Technical Overview
The SF100 is an i-line scan-field Stepper, designed to allow high accuracy 
Mix-and-Match with other scanners, whilst delivering High Throughput
In order to take advantage of the high mix-and-match performance potential 
with KrF excimer scanners such as NSR-S204B and NSR-S203B , Nikon has 
developed the NSR-SF100 i-line stepper for non-critical layers. The 
NSR-SF100 has a large 25 x 33mm exposure area and a reticle reduction ratio 
of 1:4, the same as for the NSR-S204B and S203B.
The SF100 at the same time offers high resolution, high precision and high 
throughput, hence allowing significant improvements in productivity, while 
also reducing total production line investment costs.
Main Features
• Wide Exposure Field, High Resolution and High Throughput
The NSR-SF100 features the same wide exposure area (25 x 33mm) as the 
scanners, at an impressive resolution of
0.4 μm. It also features very high throughput rates of 120 or more 200mm 
wafers per hour, or 80 or more 300mm wafers per hour.
• Optimized for Mix-and-Match
In addition to full operational compatibility with the KrF excimer laser 
scanners NSR-S203B and NSR-S204B, the
NSR-SF100 also features reticle compatibility with the i- line scanner 
NSR-S103B.
• 300mm Wafer Compatibility
The NSR-SF100 can be upgraded as required from 200 mm wafer size to 300mm 
wafers, which is useful in the case that a 200 mm line is upgraded to 300 
mm wafer size.
Main Specifications
Resolution: 0.4μm or better
N.A.: 0.5
Exposure Wavelength: i-line (365nm)
Reduction ratio: 1:4
Exposure area: 25 mm x 33 mm
Alignment accuracy:45nm or better
(EGA, |x| + 3σ)
Throughput: 200mm wafers: 120/hour or more
300mm wafers: 80/hour or more</t>
  </si>
  <si>
    <t xml:space="preserve">108772</t>
  </si>
  <si>
    <t xml:space="preserve">The configuration is available upon request.</t>
  </si>
  <si>
    <t xml:space="preserve">91376</t>
  </si>
  <si>
    <t xml:space="preserve">NSR-204B</t>
  </si>
  <si>
    <t xml:space="preserve">Scanner DUV (GIGAPHOTON G20K2 KRF laser)</t>
  </si>
  <si>
    <t xml:space="preserve">108784</t>
  </si>
  <si>
    <t xml:space="preserve">Optistation 3A</t>
  </si>
  <si>
    <t xml:space="preserve">Automatic Wafer Inspection Station</t>
  </si>
  <si>
    <t xml:space="preserve">    * Cassette to Cassette Handling of 200mm Wafers
    * Non-Contact Wafer Pre-Alignment
    * Trinocular Head with Motorized Nosepiece and Motorized Auto Focus
    * NIKON BD Plan Objectives: 5X, 20X &amp; 40X
    * NIKON BD Plan APO Objective: 100X
    * NIKON 10X Widefield Eyepieces
    * EPI Illuminator (Brightfield/Darkfield) with 50 Watt Halogen Lamp
    * 8” (dia.) Wafer Stage with 8" x 8" XY Programmable Motion &amp; Joystick
      Manual Override
    * Observing Points – 150 Channels with Max. 50 Point Memory per Channel
    * 2ea X Axis Wafer Transfer Shuttles
    * 2ea Y Axis Wafer Transfer Shuttles
    * 2ea Send/Receive Cassette Elevators</t>
  </si>
  <si>
    <t xml:space="preserve">91377</t>
  </si>
  <si>
    <t xml:space="preserve">De-installed, in a clean inspection facility.
See attached photos showing the tool during the powering up process.
Wafer size    200mm SNNF
Inline Feed Direction    Left
Lens Type    4EN2GK
Chamber Temp    23 Degrees
Reticle Size    6inch X 6inch
Field Size    25 x 33mm
Reticle Case    Nikon Standard
Reticle slot    24
Reticle Libraries    2
Wafer Loader type    Type 3
Chuck Type    Low Contact Pin Chuck
Laser Type    Komatsu Gigaphoton- G20K2
Original Altitude normal pressure:    755mmHg       
Rack type:            Right Type
Wafer Carrier Table:    Left       
Reticle Library:    Center       
Main  unit  with  0.68  NA  (Auto    Sigma 0.75    Variable , SHRINC 
Conventional)           
Pellicle reticle loader (PRL)    YES       
System for 6” reticle    6 Inch (NON-SMIF)           
LSA system            YES
FIA l//system            YES
Illumination model:    (Conventional, Annular,)       
8” wafer loader (WL   Type-3),FLAT Type 8Inch
8”ceramic  holder,  Flat  ZONE:  In  6 O'clock           
Pellicle reticle detector    YES       
BMU Type            Standard
Pre-alignment        Non Contact pre-alignment
Chip leveling            YES
NEMA Box            YES
Tool software            MCSV : 3.44
Chamber Type    Asahi N5Z1102 (2000.02)   
 </t>
  </si>
  <si>
    <t xml:space="preserve">108785</t>
  </si>
  <si>
    <t xml:space="preserve">Optiphot 200 (For spares use)</t>
  </si>
  <si>
    <t xml:space="preserve">Wafer Inspection Microscope (Parts Tool Only)</t>
  </si>
  <si>
    <t xml:space="preserve">Parts included:-
NIKON Optiphot 200 Wafer Inspection Stand, Including
    * Focus Mechanism
    * Interference Contrast Polarizer/Analyzer</t>
  </si>
  <si>
    <t xml:space="preserve">108789</t>
  </si>
  <si>
    <t xml:space="preserve">NIKON Optiphot 200 Wafer Inspection Microscope  
•5 Position Turret with Motorized Rotation
•CF Plan 2.5X Bright/Darkfield Objective Lens
•CF Plan 5X, 10X, 20X, &amp; 50X Bright/Darkfield/DIC Objective Lenses  
•Motorized Polarizer and DIC filter
•Brinocular Viewing Head with 10X Widefield Eyepieces
•Green and Blue Florescent Filter Cubes
•Fiber Optic Illuminator with Metal Halide Lamp Power Supply
•Brightfield &amp; Darkfield Channels
•Aperture Diaphragm Iris and Pin Hole Aperture 
•NIKON NMH-1 Metal Halide Lamphouse with 80V/150W Lamp
Pictures show a 6 Inch stage but it was replaced with a NIKON 8” X 8” XY 
Stage with Glass Plate
Trinocular head and 200mm wafer holding insert are available as options if 
required.
Please check the pictures below for more information.
 </t>
  </si>
  <si>
    <t xml:space="preserve">108790</t>
  </si>
  <si>
    <t xml:space="preserve">Optiphot 88</t>
  </si>
  <si>
    <t xml:space="preserve">NIKON Optiphot-88 Wafer Inspection Microscope  
    * 5 Position Turret with Motorized Rotation
    * BDPlan 5X, 10X, 20X, 40X &amp; 100X Bright/Darkfield Objective Lenses
    * Trinocular Viewing Head with 10X Widefield Eyepieces
    * C-Mount with Television Lens Included
    * Vertical Illuminator with 12V/50W Halogen Lamp Housing
    * Brightfield &amp; Darkfield Channels
    * Dual Iris Apertures
Specimen Stage with 200mm X 200mm XY Travel</t>
  </si>
  <si>
    <t xml:space="preserve">109049</t>
  </si>
  <si>
    <t xml:space="preserve">Generic System Performance Specifications:-
Resolution ≦ 150 nm
NA 0.68
Exposure light source KrF excimer laser (248 nm wavelength)
Reduction ratio 1:4
Exposure field 25 × 33 mm
Alignment accuracy
(EGA, |M| + 3σ) ≦ 35 nm
Main Parts included:-
-Control rack
-PCB Control rack
-Cymer 248 nm Laser Model ELS 6400
-Main Body
Deatiled Configuration:-
-DMCC (Digital) workstation ETM25-SA
-Dual HardDisk (DKA100 and DKA0) 9.1GB image
-LCD monitor
-Interferometer VME unit
-Lens Controller (LC) unit
-Alignment Controller (ALG) unit
-Operation Desk (OPD) unit
-Stage Controller (STG) unit
-SCSI (S/G) unit
-Reticle Loader (RL) unit
-Wafer loader (WL) unit
-LSA laserhead 3225H-PCN
-Reticle Stage Interferometer laser 5517D C07 / 5517DL
-Wafer Stage Interferometer laser 5517D C06
-Reticle indexer (2 units) SMIF Type Indexer R150
-Fitted with wafer loader type 3
-Wafer size: 200 mm
Software Versions:
MCSV S3.42G
OCSV S3.43
Maint_V S3.70-XX3260
Base-kit BASEXX301-0008T,
Wafer loader WLDRX3062-V340A
Reticle loader RLDR8SF12-V280A
Please refer to the recent lens data attached.
Missing/Damaged parts:- Environmental chamber and wafer stage frame have 
surface stains.</t>
  </si>
  <si>
    <t xml:space="preserve">109051</t>
  </si>
  <si>
    <t xml:space="preserve">NSR-S203B</t>
  </si>
  <si>
    <t xml:space="preserve">Software Version OSCV 3.43
CIM SECS
Handler System WL Type 3
Factory Interface Open Cassette
Cymer ELS 5410
Stage Laser Nikon PN 4B991-116AN is believed to be faulty. This equipment 
is being sold "as is, where is", ex fab.</t>
  </si>
  <si>
    <t xml:space="preserve">109052</t>
  </si>
  <si>
    <t xml:space="preserve">Software Version OSCV 3.43
CIM SECS
Handler System WL Type 3
Factory Interface Open Cassette
Cymer ELS 5410
This equipment is being sold "as is, where is", ex fab.</t>
  </si>
  <si>
    <t xml:space="preserve">105867</t>
  </si>
  <si>
    <t xml:space="preserve">Nisshin</t>
  </si>
  <si>
    <t xml:space="preserve">7 kgf/cm2</t>
  </si>
  <si>
    <t xml:space="preserve">pressure gauge</t>
  </si>
  <si>
    <t xml:space="preserve">105868</t>
  </si>
  <si>
    <t xml:space="preserve">4 kgf/cm2</t>
  </si>
  <si>
    <t xml:space="preserve">105869</t>
  </si>
  <si>
    <t xml:space="preserve">0-76 cmHg</t>
  </si>
  <si>
    <t xml:space="preserve">vacuum gauge</t>
  </si>
  <si>
    <t xml:space="preserve">105870</t>
  </si>
  <si>
    <t xml:space="preserve">0-1 kgf/cm2</t>
  </si>
  <si>
    <t xml:space="preserve">108911</t>
  </si>
  <si>
    <t xml:space="preserve">Nissin</t>
  </si>
  <si>
    <t xml:space="preserve">Exceed 3000AH</t>
  </si>
  <si>
    <t xml:space="preserve">The EQUIPMENT IS DE-INSTALLED AND WAREHOUSED. Further DETAILS ARE AVAILABLE 
ON REQUEST.
Please check the pictures below for more information.
Parts included:
-Loadport TDK qty 4
-Cryogenic pumps type: CTI Cryogenics Onboard 10F
-Mechanical pumps type: Edwards
-Computer Hard Disk Drive: Removed and not included
-Missing parts assessment: The tool condition looks overall good, with only 
a few minor parts missing.
-The Nissin Exceed 3000AH platform is capable of processing thin and 
ultra-thin wafers.</t>
  </si>
  <si>
    <t xml:space="preserve">93833</t>
  </si>
  <si>
    <t xml:space="preserve">Exceed 2000</t>
  </si>
  <si>
    <t xml:space="preserve">3, 4 and 5 inch</t>
  </si>
  <si>
    <t xml:space="preserve">1. System Summary
Manufacturer 	NISSIN 	Vintage 	May-97
Model 	EXCEED2000 	Serial Number 	 
Process 	Medium Current Imp. 	Inspection Date 	2018/8/10
Inspector 	 
System Demotions 	3000W X 6325D X 2500H cm
2. General Information SYSTEM SHUTDOWN, CONDITION VERY GOOD &amp; CLEAN
2.1 	Wafer Size 	3inch(76mm) / 4inch(100mm) 	 
2.2 	Process # 	E95-3005 	 
2.3 	Energy Range 	10-200KV 	 
2.4 	Cassette Stages 	4 	 
2.5 	Loadlock 	2 LEFT and RIGHT 	 
2.6 	Orienters 	2 (Auto-Flat/Notch Find) 	 
2.7 	Software 	Main:OS Dos / Process: Windows XP Japanese 	 
2.8 	Log-In Password 	- 	 
3. System Vacuum
3.1 	Ion Source Chamber 	N/A 	 
3.2 	Beamline Chamber 	N/A 	 
3.3 	End Station Chamber 	N/A 	 
3.4 	  	  	 
  	3.4.2 SYSTEM 	Drypumps, Turbo pumps, and Cryo pumps, 	 
  	Class 	Maker 	Model 	  	 
3.5 	DRY PUMPS 	  	  	  	 
Load /Lock (DP-4) 	Alcatel 	Drytel 34C 	450L/Sec 	 
Target Chamber(DP-3) 	Alcatel 	Drytel 31 	450L/Sec 	 
F.E.M (DP-2) 	Kashiyama 	SD 90V III 	1500L/Sec 	 
S.A.M/Ion Source(DP-1 	Kashiyama 	SD 90V III 	1500L/Sec 	 
TURBO PUMPS 	  	  	  	 
Load/lock (TP 4 &amp; 5) 	Shimadzu 	TMP51G 	55L/Sec 	 
F.E.M (TP-3) 	Shimadzu 	TMP1002 	800L/Sec 	 
S.A.M (TP-1 &amp; 2) 	Shimadzu 	TMP1002 	800L/Sec 	 
CRYO PUMPS 	  	  	  	 
  	Target Chamber (CP-2 	Cryotec-12L 	V208SC612GN 	4000L/Sec 	 
Collimator (CP-1) 	Cryotec-12L 	V208SC612GN 	4000L/Sec 	 
Compressor 	Daikin 	U110CW 	  	 
4. Utilities
4.1 	Power 	208VAC, 3phase, 3wires, 65KVA 	 
4.2 	Air 	100 ~ 150PSI 	 
4.3 	N2 	40 ~ 150PSI 	 
4.4 	Cooling Water 	60 ~ 150PSI, Temp:4~21℃ 	 
5. Process Gas
5.1 	SIF4 (0.35L) 	200Kev SI+ 200uA-20uA SI++ 20uA-5uA 5E12 	 
5.2 	Ar (0.35L) 	200Kev 1000uA 5E12 	 
5.3 	  	  	 
5.4 	  	  	 
6. High Voltage Range
6.1 	Extraction Power Supply 	0 keV ~ 70keV 	 
6.2 	Acceleration Power Supply 	0 keV ~ 180keV 	 
7. Power Supplies (Assembly)_Power check
7.1 	Arc 	YES 	  	 
7.2 	Filament 	YES 	  	 
7.3 	SAM 	YES 	  	 
7.4 	ACC 	YES 	  	 
7.5 	DEC 	YES 	  	 
7.6 	FOCUS 	YES 	  	 
7.7 	TRIM- Q 	YES 	  	 
7.8 	FEM 	YES 	  	 
7.9 	COLUMN 	YES 	  	 
7.10 	BSM DC/AMP 	YES 	  	 
7.11 	FARADAY SUPPRESSION 	YES 	  	 
7.12 	ISO TX 160KV 	YES 	  	 
7.13 	HV Stack 160KV 	YES 	  	 
8.1 	BSM Controllers 	YES 	 
8.2 	FEM Controllers 	YES 	 
8.3 	P/C Controllers 	YES 	 
8.4 	SAM Controllers 	YES 	 
8.5 	W/C,WFC Controllers 	YES 	 
8.6 	V/C Controllers 	YES 	 
8.7 	I/C Controllers 	YES 	 
8.8 	O/F Controllers 	YES 	 
8.9 	TQ Controllers 	YES 	 
8.10 	T/C Controllers 	YES 	 
8.11 	I/G Controllers 	YES 	 
8.12 	T/P Controllers 	YES 	 
 </t>
  </si>
  <si>
    <t xml:space="preserve">83906</t>
  </si>
  <si>
    <t xml:space="preserve">NITROGEN</t>
  </si>
  <si>
    <t xml:space="preserve">PRESSURE VALVE</t>
  </si>
  <si>
    <t xml:space="preserve">VACUUM
WEIGHT: GR.800
DIMENSION: 10 CM. X 12 CM. X  6 CM. (H)</t>
  </si>
  <si>
    <t xml:space="preserve">83628</t>
  </si>
  <si>
    <t xml:space="preserve">NITSUKO</t>
  </si>
  <si>
    <t xml:space="preserve">BCR 2600/BCV 5050</t>
  </si>
  <si>
    <t xml:space="preserve">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</si>
  <si>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 xml:space="preserve">108099</t>
  </si>
  <si>
    <t xml:space="preserve">Nitto</t>
  </si>
  <si>
    <t xml:space="preserve">N286M</t>
  </si>
  <si>
    <t xml:space="preserve">Wafer Mounter</t>
  </si>
  <si>
    <t xml:space="preserve">Semi auto</t>
  </si>
  <si>
    <t xml:space="preserve">83597</t>
  </si>
  <si>
    <t xml:space="preserve">TT1R2-1</t>
  </si>
  <si>
    <t xml:space="preserve">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</si>
  <si>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</si>
  <si>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 xml:space="preserve">98486</t>
  </si>
  <si>
    <t xml:space="preserve">MA 3000 II</t>
  </si>
  <si>
    <t xml:space="preserve">Wafer tape mounter and demounter</t>
  </si>
  <si>
    <t xml:space="preserve">Deinstalled, warehoused. Can be inspected by appointment.
technical characteristics:-
-200mm and 300mm wafer capability
-UV Irradiation and Tape Peeling Unit
-OCR/BCR Reader
-SECS/GEM Software with HSMS Interface
-208V 60 HZ 7 A 1 PHASE 2 WIRE GROUND.
See attached photos for details.</t>
  </si>
  <si>
    <t xml:space="preserve">32210</t>
  </si>
  <si>
    <t xml:space="preserve">HR8500-2</t>
  </si>
  <si>
    <t xml:space="preserve">INSTRUCTION MANUAL</t>
  </si>
  <si>
    <t xml:space="preserve">INSTRUCTIO MANUAL FOR HR-8500-2</t>
  </si>
  <si>
    <t xml:space="preserve">32212</t>
  </si>
  <si>
    <t xml:space="preserve">DR8500-2</t>
  </si>
  <si>
    <t xml:space="preserve">INSTRUCTION MANUAL </t>
  </si>
  <si>
    <t xml:space="preserve">INSTRUCTION MANUAL FOR DR8500-2</t>
  </si>
  <si>
    <t xml:space="preserve">32214</t>
  </si>
  <si>
    <t xml:space="preserve">44941001</t>
  </si>
  <si>
    <t xml:space="preserve">TAPE SPOOL</t>
  </si>
  <si>
    <t xml:space="preserve">32216</t>
  </si>
  <si>
    <t xml:space="preserve">1603502</t>
  </si>
  <si>
    <t xml:space="preserve">70301</t>
  </si>
  <si>
    <t xml:space="preserve">NK</t>
  </si>
  <si>
    <t xml:space="preserve">RM 120</t>
  </si>
  <si>
    <t xml:space="preserve">REAL TIME  MONITOR</t>
  </si>
  <si>
    <t xml:space="preserve">FOR EBARA FREX 200. IN WORKING CONDITION. SEE PHOTOS FOR DETAILS.
LOCATED IN AVEZZANO 67051 ITALY.</t>
  </si>
  <si>
    <t xml:space="preserve">110347</t>
  </si>
  <si>
    <t xml:space="preserve">Nordson</t>
  </si>
  <si>
    <t xml:space="preserve">Matchbox</t>
  </si>
  <si>
    <t xml:space="preserve">110348</t>
  </si>
  <si>
    <t xml:space="preserve">110349</t>
  </si>
  <si>
    <t xml:space="preserve">110350</t>
  </si>
  <si>
    <t xml:space="preserve">110351</t>
  </si>
  <si>
    <t xml:space="preserve">110352</t>
  </si>
  <si>
    <t xml:space="preserve">110353</t>
  </si>
  <si>
    <t xml:space="preserve">110354</t>
  </si>
  <si>
    <t xml:space="preserve">110355</t>
  </si>
  <si>
    <t xml:space="preserve">110356</t>
  </si>
  <si>
    <t xml:space="preserve">110357</t>
  </si>
  <si>
    <t xml:space="preserve">109495</t>
  </si>
  <si>
    <t xml:space="preserve">NORDSON</t>
  </si>
  <si>
    <t xml:space="preserve">CW2</t>
  </si>
  <si>
    <t xml:space="preserve">Part Number: 1098493A</t>
  </si>
  <si>
    <t xml:space="preserve">109496</t>
  </si>
  <si>
    <t xml:space="preserve">DSS CW2 V2</t>
  </si>
  <si>
    <t xml:space="preserve">Part Number: 1094987A</t>
  </si>
  <si>
    <t xml:space="preserve">83937</t>
  </si>
  <si>
    <t xml:space="preserve">Norgren</t>
  </si>
  <si>
    <t xml:space="preserve">M/50/EAN/5V</t>
  </si>
  <si>
    <t xml:space="preserve">electronic switch</t>
  </si>
  <si>
    <t xml:space="preserve">Norgren switch, new in package
sold as-is
</t>
  </si>
  <si>
    <t xml:space="preserve">108033</t>
  </si>
  <si>
    <t xml:space="preserve">NOVA</t>
  </si>
  <si>
    <t xml:space="preserve">NOVASCAN 3090 P/N 390-10000-11</t>
  </si>
  <si>
    <t xml:space="preserve">CMP metrology system</t>
  </si>
  <si>
    <t xml:space="preserve">-De-installed, warehoused. Can be inspected by appointment.
-Please refer to the attached photos , showing the items current condition
-Has CE mark
-Includes interface head, computer
The Novascan 3090 system is an advanced CMP metrology platform for all 
process steps such as Poly, STI, Tungsten (W) plugs and Copper 
interconnect. That includes, among other, oxide residue and Step-height for 
STI, profiling for Tungsten plugs, and residue detection, erosion and MLT 
(Metal Line Thickness) for copper interconnect process.
The NovaScan 3090 is based on Nova's earlier field proven technology 
platform, the NovaScan 3060 system. NovaScan 3090 is integrated in the 
exact same configuration as the NovaScan 3060 system, thus offering 
customers an easy upgrade path. Equipped with a single polarized channel, 
from Deep-UV to Near-IR, the NovaScan 3090 supports the measurement of 
solid areas, 2D structures and enables 3D shape characterization. The 
system provides real-time measurement of thickness and shape of dielectric 
materials and for a variety of Low-K materials.
The NovaScan 3090 delivers the measurement capability needed to control 
high-end 65nm and 45nm CMP applications. The unmatched MAM time of NovaScan 
3090, the dynamic precision and tool-to-tool matching, along with built-in 
high reliability, all offer our customers a production worthy tool covering 
a wide range of metrology solutions, enabling Wafer-to-Wafer process 
control, without affecting the process tool's overall throughput.</t>
  </si>
  <si>
    <t xml:space="preserve">109216</t>
  </si>
  <si>
    <t xml:space="preserve">Nova</t>
  </si>
  <si>
    <t xml:space="preserve">NovaScan 3090 Next SA</t>
  </si>
  <si>
    <t xml:space="preserve">Optical CD Measurement</t>
  </si>
  <si>
    <t xml:space="preserve">109217</t>
  </si>
  <si>
    <t xml:space="preserve">109218</t>
  </si>
  <si>
    <t xml:space="preserve">109219</t>
  </si>
  <si>
    <t xml:space="preserve">109220</t>
  </si>
  <si>
    <t xml:space="preserve">V2600</t>
  </si>
  <si>
    <t xml:space="preserve">Integrated CMP Endpoint / Film Measurement</t>
  </si>
  <si>
    <t xml:space="preserve">108967</t>
  </si>
  <si>
    <t xml:space="preserve">T600 MMSR</t>
  </si>
  <si>
    <t xml:space="preserve">Ellipsometer for CD and thin film measurements</t>
  </si>
  <si>
    <t xml:space="preserve">Nova Instruments T600 Multi-Measurement Spectral Reflectometry system for 
immediate sale.
-Still installed in the fab as shown in the photos.
-Can be inspected by appointment.
-The tool has a CE mark certificate.
-Fitted with qty 3 x 300 mm FOUPs.
-Electricity supply: 208V 3 phase 4 wire, 50-60 Hz, 20 A, 15KVA
-Largest load: 32A SCCR 10KA
-Weight: 2000 KG
-Designed for use at 1Xnm tech node.
-multi-channel configuration features normal and oblique incidence 
spectroscopic reflectometry.
-Optimized for best sensitivity on small features and measurement of 
high-aspect-ratio structures.
-NovaMARS modeling software.
-Does critical dimensions (CD) and thin films measurements
-provides wide spectral information for best metrology performance
-Optimized automatic Channel selection – For enhanced performance, 
productivity and time-to-solution
-Reliable, proven system architecture
-Low variability and good tool-to-tool matching
-For measuring on complex layer stacks and 3D structures.</t>
  </si>
  <si>
    <t xml:space="preserve">109283</t>
  </si>
  <si>
    <t xml:space="preserve">NOVA MEASURING</t>
  </si>
  <si>
    <t xml:space="preserve">Novascan</t>
  </si>
  <si>
    <t xml:space="preserve">Novascan CMP Endpoint measurement unit</t>
  </si>
  <si>
    <t xml:space="preserve">-200 mm
-Deinstalled, warehoused.
-Please refer to the attached photos for details.
-Parts included:-
P/N 710-131000-00</t>
  </si>
  <si>
    <t xml:space="preserve">109284</t>
  </si>
  <si>
    <t xml:space="preserve">-200 mm
-Deinstalled, warehoused.
-Please refer to the attached photos for details.
-Parts included:-
P/N 310-22000-00</t>
  </si>
  <si>
    <t xml:space="preserve">70300</t>
  </si>
  <si>
    <t xml:space="preserve">945-00666-00</t>
  </si>
  <si>
    <t xml:space="preserve">HALOGEN LAMP</t>
  </si>
  <si>
    <t xml:space="preserve">90146</t>
  </si>
  <si>
    <t xml:space="preserve">NOVELLUS</t>
  </si>
  <si>
    <t xml:space="preserve">GAMMA 2100</t>
  </si>
  <si>
    <t xml:space="preserve">asher / PR STRIP</t>
  </si>
  <si>
    <t xml:space="preserve">DEINSTALLED, WAREHOUSED
The Novellus GAMMA 2100 is a six chamber photoresist removal system with an 
Interlaced Inductively Coupled Plasma (I2CP) source. The system has single 
wafer process control for six stations within the same chamber allowing 
multi-step sequential processing.</t>
  </si>
  <si>
    <t xml:space="preserve">108581</t>
  </si>
  <si>
    <t xml:space="preserve">MB2</t>
  </si>
  <si>
    <t xml:space="preserve">Metal PVD System</t>
  </si>
  <si>
    <t xml:space="preserve">108582</t>
  </si>
  <si>
    <t xml:space="preserve">108583</t>
  </si>
  <si>
    <t xml:space="preserve">91218</t>
  </si>
  <si>
    <t xml:space="preserve">CONCEPT 3 GAMMA 2130</t>
  </si>
  <si>
    <t xml:space="preserve">91219</t>
  </si>
  <si>
    <t xml:space="preserve">91220</t>
  </si>
  <si>
    <t xml:space="preserve">CONCEPT 3 SPEED </t>
  </si>
  <si>
    <t xml:space="preserve">NEXT</t>
  </si>
  <si>
    <t xml:space="preserve">91221</t>
  </si>
  <si>
    <t xml:space="preserve">91223</t>
  </si>
  <si>
    <t xml:space="preserve">103545</t>
  </si>
  <si>
    <t xml:space="preserve">CONCEPT 3 INOVA</t>
  </si>
  <si>
    <t xml:space="preserve">103546</t>
  </si>
  <si>
    <t xml:space="preserve">VECTOR</t>
  </si>
  <si>
    <t xml:space="preserve">PECVD Nitride</t>
  </si>
  <si>
    <t xml:space="preserve">108191</t>
  </si>
  <si>
    <t xml:space="preserve">676</t>
  </si>
  <si>
    <t xml:space="preserve">CMP System Polisher </t>
  </si>
  <si>
    <t xml:space="preserve">109221</t>
  </si>
  <si>
    <t xml:space="preserve">Novellus</t>
  </si>
  <si>
    <t xml:space="preserve">Concept Three Altus</t>
  </si>
  <si>
    <t xml:space="preserve">WCVD (Chemical Vapor Deposition)</t>
  </si>
  <si>
    <t xml:space="preserve">109222</t>
  </si>
  <si>
    <t xml:space="preserve">109223</t>
  </si>
  <si>
    <t xml:space="preserve">109224</t>
  </si>
  <si>
    <t xml:space="preserve">VECTOR SOLA UV Cure</t>
  </si>
  <si>
    <t xml:space="preserve">108472</t>
  </si>
  <si>
    <t xml:space="preserve">Concept Three Speed</t>
  </si>
  <si>
    <t xml:space="preserve">HDP CVD (Chemical Vapor Deposition)</t>
  </si>
  <si>
    <t xml:space="preserve">109497</t>
  </si>
  <si>
    <t xml:space="preserve">TOP MATCH</t>
  </si>
  <si>
    <t xml:space="preserve">Part Number: 27-281428-00</t>
  </si>
  <si>
    <t xml:space="preserve">108475</t>
  </si>
  <si>
    <t xml:space="preserve">SABRE 3D</t>
  </si>
  <si>
    <t xml:space="preserve">ECD (Electro Chemical Deposition)</t>
  </si>
  <si>
    <t xml:space="preserve">108477</t>
  </si>
  <si>
    <t xml:space="preserve">106710</t>
  </si>
  <si>
    <t xml:space="preserve">TEOS CVD SYSTEM</t>
  </si>
  <si>
    <t xml:space="preserve">106711</t>
  </si>
  <si>
    <t xml:space="preserve">106712</t>
  </si>
  <si>
    <t xml:space="preserve">106713</t>
  </si>
  <si>
    <t xml:space="preserve">106714</t>
  </si>
  <si>
    <t xml:space="preserve">109288</t>
  </si>
  <si>
    <t xml:space="preserve">C3 Vector UV Cure</t>
  </si>
  <si>
    <t xml:space="preserve">UV Cure</t>
  </si>
  <si>
    <t xml:space="preserve">Deinstalled. Crated and stored.
See attached photos for details.</t>
  </si>
  <si>
    <t xml:space="preserve">109498</t>
  </si>
  <si>
    <t xml:space="preserve">NPP</t>
  </si>
  <si>
    <t xml:space="preserve">NPG-15KM</t>
  </si>
  <si>
    <t xml:space="preserve">109499</t>
  </si>
  <si>
    <t xml:space="preserve">NPG-3KG</t>
  </si>
  <si>
    <t xml:space="preserve">109500</t>
  </si>
  <si>
    <t xml:space="preserve">NPG-8000H</t>
  </si>
  <si>
    <t xml:space="preserve">109501</t>
  </si>
  <si>
    <t xml:space="preserve">NPG-8000H(VER 04)</t>
  </si>
  <si>
    <t xml:space="preserve">109502</t>
  </si>
  <si>
    <t xml:space="preserve">NPG-8000H(VER 05)</t>
  </si>
  <si>
    <t xml:space="preserve">109503</t>
  </si>
  <si>
    <t xml:space="preserve">NPG-8000H(VER 06)</t>
  </si>
  <si>
    <t xml:space="preserve">109504</t>
  </si>
  <si>
    <t xml:space="preserve">NPG-8000H(VER 08)</t>
  </si>
  <si>
    <t xml:space="preserve">109505</t>
  </si>
  <si>
    <t xml:space="preserve">NPM-10KCSM</t>
  </si>
  <si>
    <t xml:space="preserve">109506</t>
  </si>
  <si>
    <t xml:space="preserve">NPM-10KCSMD</t>
  </si>
  <si>
    <t xml:space="preserve">109507</t>
  </si>
  <si>
    <t xml:space="preserve">NPM-1250M</t>
  </si>
  <si>
    <t xml:space="preserve">109508</t>
  </si>
  <si>
    <t xml:space="preserve">NPM-1250X</t>
  </si>
  <si>
    <t xml:space="preserve">109509</t>
  </si>
  <si>
    <t xml:space="preserve">NPM-2KEM</t>
  </si>
  <si>
    <t xml:space="preserve">109510</t>
  </si>
  <si>
    <t xml:space="preserve">NPM-3KCAT</t>
  </si>
  <si>
    <t xml:space="preserve">109511</t>
  </si>
  <si>
    <t xml:space="preserve">NPR-804L</t>
  </si>
  <si>
    <t xml:space="preserve">109512</t>
  </si>
  <si>
    <t xml:space="preserve">NPR-804LJ</t>
  </si>
  <si>
    <t xml:space="preserve">109513</t>
  </si>
  <si>
    <t xml:space="preserve">NPRLC-400</t>
  </si>
  <si>
    <t xml:space="preserve">83552</t>
  </si>
  <si>
    <t xml:space="preserve">NSK GLOBAL LTD</t>
  </si>
  <si>
    <t xml:space="preserve">MAEBASHI PLANT</t>
  </si>
  <si>
    <t xml:space="preserve">BALL SCREW</t>
  </si>
  <si>
    <t xml:space="preserve">W1201-112P</t>
  </si>
  <si>
    <t xml:space="preserve">200 FOR ALL 4 PIECES</t>
  </si>
  <si>
    <t xml:space="preserve">103384</t>
  </si>
  <si>
    <t xml:space="preserve">Nuclear Elettronica</t>
  </si>
  <si>
    <t xml:space="preserve">314E 5/12 - 6/2 rev A</t>
  </si>
  <si>
    <t xml:space="preserve">Power Supply, 5V/12A - 6V/2A</t>
  </si>
  <si>
    <t xml:space="preserve">Input 230 VAC +/- 10% Irms 1A
Va 5V /12A
Vb 6V / 2A
In stock and ready to ship from our Avezzano (AQ) 67051 Italy warehouse</t>
  </si>
  <si>
    <t xml:space="preserve">103385</t>
  </si>
  <si>
    <t xml:space="preserve">314E.100 REV A</t>
  </si>
  <si>
    <t xml:space="preserve">Power Supply, 5V/20A</t>
  </si>
  <si>
    <t xml:space="preserve">Input 230 VAC +/- 10% Irms 1A
Output 4.5 - 5.5 V
In stock and ready to ship from our Avezzano (AQ) 67051 Italy warehouse</t>
  </si>
  <si>
    <t xml:space="preserve">103387</t>
  </si>
  <si>
    <t xml:space="preserve">312E.44L REV A</t>
  </si>
  <si>
    <t xml:space="preserve">Dual Power Supply, +/- 15V / 1A</t>
  </si>
  <si>
    <t xml:space="preserve">Input 230 VAC +/- 10% Irms 1A
Output A 15V / 1A
Output B 15V / 1A
In stock and ready to ship from our Avezzano (AQ) 67051 Italy warehouse</t>
  </si>
  <si>
    <t xml:space="preserve">83567</t>
  </si>
  <si>
    <t xml:space="preserve">Numatics</t>
  </si>
  <si>
    <t xml:space="preserve">225-272B</t>
  </si>
  <si>
    <t xml:space="preserve">Solenoid Valve</t>
  </si>
  <si>
    <t xml:space="preserve">   </t>
  </si>
  <si>
    <t xml:space="preserve">74178</t>
  </si>
  <si>
    <t xml:space="preserve">12DSA4 OA00030</t>
  </si>
  <si>
    <t xml:space="preserve">Solenoid Valve 120V</t>
  </si>
  <si>
    <t xml:space="preserve">Numatics 12DSA4 OA00030 Solenoid Valve 120V 12DSA400OA00030 150 PSI 120 V 
50/60hz .16 amp Replacement part 12DSA400OA00030 New in sealed plastic, 
located at Boerne warehouse.</t>
  </si>
  <si>
    <t xml:space="preserve">74179</t>
  </si>
  <si>
    <t xml:space="preserve">227-833B</t>
  </si>
  <si>
    <t xml:space="preserve">valve</t>
  </si>
  <si>
    <t xml:space="preserve">NUMATICS VALVE 227-833B 11SAD400C MAX PRESS. 150 PSIG 110-115/50 110-120/60 
.15 AMPS</t>
  </si>
  <si>
    <t xml:space="preserve">74180</t>
  </si>
  <si>
    <t xml:space="preserve">L22L-03</t>
  </si>
  <si>
    <t xml:space="preserve">FILTER PNEUMATIC</t>
  </si>
  <si>
    <t xml:space="preserve">Product SpecificationsBrand: Numatics Condition: New with Factory Packaging 
Model: L22L-03 Max Pressure: 200 PSI Fitting Size: 3/8 IN Weight: 1 lbs 
Dimensions: 8 x 3 x 3 in SKU: B210878 (KFP) Category: Pneumatics � 
Pneumatic Lubricators Additional Notes: FILTER PNEUMATIC</t>
  </si>
  <si>
    <t xml:space="preserve">83905</t>
  </si>
  <si>
    <t xml:space="preserve">NUPRO</t>
  </si>
  <si>
    <t xml:space="preserve">SS-4BK-V51</t>
  </si>
  <si>
    <t xml:space="preserve">REGULATOR PRESSURE</t>
  </si>
  <si>
    <t xml:space="preserve">IPE 4
WEIGHT: GR.300
DIMENSION: 7 CM. X 3 CM. X 10 CM. (H)</t>
  </si>
  <si>
    <t xml:space="preserve">83914</t>
  </si>
  <si>
    <t xml:space="preserve">SS-4R3A1-</t>
  </si>
  <si>
    <t xml:space="preserve">TUBE FITTINGS &amp; VALVE</t>
  </si>
  <si>
    <t xml:space="preserve">WEIGHT GR.250
DIMENSION: 9 CM. X 2,3 CM. X 5 CM. (H)</t>
  </si>
  <si>
    <t xml:space="preserve">83916</t>
  </si>
  <si>
    <t xml:space="preserve">7 MICRON</t>
  </si>
  <si>
    <t xml:space="preserve">WEIGHT:GR. 125
DIMENSION: CM. 8 X CM. 2 X CM. 2</t>
  </si>
  <si>
    <t xml:space="preserve">83917</t>
  </si>
  <si>
    <t xml:space="preserve">107</t>
  </si>
  <si>
    <t xml:space="preserve">WEIGHT:GR. 125
DIMENSION: CM. 12 X CM. 2 X CM. 2</t>
  </si>
  <si>
    <t xml:space="preserve">108856</t>
  </si>
  <si>
    <t xml:space="preserve">OAI</t>
  </si>
  <si>
    <t xml:space="preserve">Hybralign 400</t>
  </si>
  <si>
    <t xml:space="preserve">Mask Aligner, for up ro 200mm Wafers</t>
  </si>
  <si>
    <t xml:space="preserve">103439</t>
  </si>
  <si>
    <t xml:space="preserve">Oerlikon</t>
  </si>
  <si>
    <t xml:space="preserve">Clusterline 200</t>
  </si>
  <si>
    <t xml:space="preserve">PVD cluster tool with 6 chambers (Used for Al, Ti, NiV and AG)</t>
  </si>
  <si>
    <t xml:space="preserve">-Professionally De-installed, warehoused. Can be inspected by appointment.
Configuration:-
Tool model: CLN200-1
Transport module: Brooks MX800 with Magnatran 7 Robot
Chambers
-Fitted with  6 process chambers
-PM2 chamber - Etch chamber
-PM1, PM3, PM4, PM5 and PM6 - PVD chambers
-One PVD chamber has a heated chuck (not currently working)
-Substances sputtered: Al, Ti, NiV and Ag
-Magnet Types:-
PM1 MB300DL
PM3 MB300DG
PM4 MN300DK
PM5 MB300DL
PM6 MB300DF</t>
  </si>
  <si>
    <t xml:space="preserve">109058</t>
  </si>
  <si>
    <t xml:space="preserve">Olympus</t>
  </si>
  <si>
    <t xml:space="preserve">AL110N-LMB6</t>
  </si>
  <si>
    <t xml:space="preserve">Microscope autoloader only (Not including the microscope)</t>
  </si>
  <si>
    <t xml:space="preserve">100 MM AND 150 mm</t>
  </si>
  <si>
    <t xml:space="preserve">-Deinstalled to warehouse
-In good working condition
-Please refer to the attached photos for details.
-ATTACHED ALSO IS A VIDEO SHOWING THE AUTOLOADER WORKING TO MOVE AND ALIGN 
WAFERS.
-I uploaded the video of the autoloader in operation to youtube., and here 
is a link to the video:
&lt;https://youtu.be/qD4uhhGF20s&gt;
-Has CE safety marking.
-Made in Japan
-Electricity supply rating: 220V-240V, 0.55A/0.90A, 50 / 60 Hz
-Set up for both 4 inch and 6 inch wafer loading at the same time.
-only the autoloader, and not including the  Olympus MX50 microscope</t>
  </si>
  <si>
    <t xml:space="preserve">108857</t>
  </si>
  <si>
    <t xml:space="preserve">OLYMPUS</t>
  </si>
  <si>
    <t xml:space="preserve">AL100-L8</t>
  </si>
  <si>
    <t xml:space="preserve">Wafer Loader, 200mm, Parts Tool</t>
  </si>
  <si>
    <t xml:space="preserve">106825</t>
  </si>
  <si>
    <t xml:space="preserve">AL110-LMB6 with MX51</t>
  </si>
  <si>
    <t xml:space="preserve">wafer loader with Microscope</t>
  </si>
  <si>
    <t xml:space="preserve">83835</t>
  </si>
  <si>
    <t xml:space="preserve">WHK 10X/20L-H</t>
  </si>
  <si>
    <t xml:space="preserve">EYEPIECES FOR TRINOCULAR MICROSCOPE</t>
  </si>
  <si>
    <t xml:space="preserve">TWO LENS
1: WHK 10X/20 L-H
2: WHK 10X20 L </t>
  </si>
  <si>
    <t xml:space="preserve">80254</t>
  </si>
  <si>
    <t xml:space="preserve">DBAP-FA-Z</t>
  </si>
  <si>
    <t xml:space="preserve">SERVO DRIVER</t>
  </si>
  <si>
    <t xml:space="preserve">30W 500 PPR</t>
  </si>
  <si>
    <t xml:space="preserve">65934</t>
  </si>
  <si>
    <t xml:space="preserve">BH2-UMA</t>
  </si>
  <si>
    <t xml:space="preserve">BRIGHTFIELD / DARKFIELD REFLECTED LIGHT ILLUMINATOR FOR THE BH SERIES MICROSCOPES</t>
  </si>
  <si>
    <t xml:space="preserve">Good condition
please ask if you have questions
Universal Vertical illuminator
OLYMPUS BH2-UMA BRIGHTFIELD / DARKFIELD REFLECTED LIGHT ILLUMINATOR FOR THE 
BH SERIES MICROSCOPES</t>
  </si>
  <si>
    <t xml:space="preserve">106190</t>
  </si>
  <si>
    <t xml:space="preserve">LH50A</t>
  </si>
  <si>
    <t xml:space="preserve">Microscope illuminator, 50W 12 V</t>
  </si>
  <si>
    <t xml:space="preserve">-In excellent condition
-removed from a working KLA 7700M inspection system
-see attached photos for details</t>
  </si>
  <si>
    <t xml:space="preserve">106201</t>
  </si>
  <si>
    <t xml:space="preserve">BH3 (Parts)</t>
  </si>
  <si>
    <t xml:space="preserve">Camera adapter and illuminator for Microscope</t>
  </si>
  <si>
    <t xml:space="preserve">-The camera mount fits a Sony FC711 CCD Camera
-Includes illuminator
-SEE PHOTOS FOR DETAILS
PACKED DIMENSIONS: 22 CM X 18 CM X 24 CM (H)
PACKED WEIGHT: 1 KG</t>
  </si>
  <si>
    <t xml:space="preserve">109035</t>
  </si>
  <si>
    <t xml:space="preserve">Wafer Inspection Microscope with autoloader</t>
  </si>
  <si>
    <t xml:space="preserve">-Deinstalled to warehouse
-In good working condition
-Please refer to the attached photos for details.
-ATTACHED ALSO IS A VIDEO SHOWING THE AUTOLOADER WORKING TO MOVE AND ALIGN 
WAFERS.
-I uploaded the video of the autoloader in operation to youtube., and here 
is a link to the video:
&lt;https://youtu.be/qD4uhhGF20s&gt;
-Has CE safety marking.
-Made in Japan
-Electricity supply rating: 220V-240V, 0.55A/0.90A, 50 / 60 Hz
-Set up for both 4 inch and 6 inch wafer loading at the same time.
-including Olympus MX50 microscope with illuminator, trinocular microscope 
head, CCD camera mount XC30 with FOV 450 and U-TV1 X.
-Objective lenses included:
1. Olympus UM Plan 5x/0.15 BD
2. Olympus UM Plan 5x/0.15 BD
3. Olympus M Plan 10x/0.25 BD
4. Olympus LM PlanFI 20x/0.40 BD infinity/0
5. Olympus LM PlanFI 50x/0.50 BD infinity/0</t>
  </si>
  <si>
    <t xml:space="preserve">102638</t>
  </si>
  <si>
    <t xml:space="preserve">BA124L001</t>
  </si>
  <si>
    <t xml:space="preserve">DC MOTOR W/ D500 GEAR HEAD</t>
  </si>
  <si>
    <t xml:space="preserve">In Avezzano, Italy. See attached photos for details of condition.</t>
  </si>
  <si>
    <t xml:space="preserve">102639</t>
  </si>
  <si>
    <t xml:space="preserve">108786</t>
  </si>
  <si>
    <t xml:space="preserve">BH-BHM</t>
  </si>
  <si>
    <t xml:space="preserve">Wafer Inspection Microscope </t>
  </si>
  <si>
    <t xml:space="preserve">Manufacturer  	Olympus
Model  	BH-BHM
Microscope Type  	Upright
Microscope Configuration  	Brightfield
Illumination Type  	Reflected Light
Eyepieces  	
  Model  	Olympus WF
  Magnification  	10 X
Trinocular/Phototube Provided  	YES
Multiple Objectives Models  	Olympus M5
Olympus MPlan 10
Olympus M40
Olympus M40Plan
Illumination Power  	    Watts: 100
Power Supply Included  	YES
Camera  	 
  Type  	35mm
  Model  	Pentax MV1
Other Information  	Brightfield Only
Olympus TH 100W Power Supply
Mechanical Stage for up to 6" Wafers
 </t>
  </si>
  <si>
    <t xml:space="preserve">80247</t>
  </si>
  <si>
    <t xml:space="preserve">Olympus Optical</t>
  </si>
  <si>
    <t xml:space="preserve">DBAP-FA-Z GA</t>
  </si>
  <si>
    <t xml:space="preserve">Servo Driver</t>
  </si>
  <si>
    <t xml:space="preserve">Used Olympus Optical servo driver board, sold as-is, good condition, 
located in our Avezzano, Italy warehouse.</t>
  </si>
  <si>
    <t xml:space="preserve">106896</t>
  </si>
  <si>
    <t xml:space="preserve">Omniguard</t>
  </si>
  <si>
    <t xml:space="preserve">860UV-IR</t>
  </si>
  <si>
    <t xml:space="preserve">UV-IR Fire detector, w/ mount</t>
  </si>
  <si>
    <t xml:space="preserve">Omniguard UV-IR Fire detector, qty 2 immediately available, like new.
CE Marked
Omniguard part number 860-10100
NEMA 4 RAINTIGHT
SUITABLE FOR CL. 1 GROUP B.C.D
CL. II GROUP E,F,G
I/P VOLTAGE: 20-32 VDC
STDBY 90 mA
ALARM: 110 mA
TEST: 250 mA
Contact Rating: 2A AT 30 VDC RESISTIVE
0-20mA CURRENT LOOP OUTPUT
TEMP RANGE: MINUS 40 C TO PLUS 85 C
FM APPROVED
MEGGITT AVIONICS INC, MANCHESTER N.H. USA
MFR 58880 3981105-05 REV C
Ships from Avezzano, 67051, Italy warehouse  
DIMENSIONS OF QTY 2 IN CARDBOARD  BOX: 55 CM X 37 CM X 28 CM H
WEIGHT 8KG</t>
  </si>
  <si>
    <t xml:space="preserve">13195</t>
  </si>
  <si>
    <t xml:space="preserve">OMRON</t>
  </si>
  <si>
    <t xml:space="preserve">r88d-ua02ha</t>
  </si>
  <si>
    <t xml:space="preserve">servo driver</t>
  </si>
  <si>
    <t xml:space="preserve">NEW IN BOX
AC SERVO DRIVER 220V 30W</t>
  </si>
  <si>
    <t xml:space="preserve">84386</t>
  </si>
  <si>
    <t xml:space="preserve">E3C-DM2R 2 M</t>
  </si>
  <si>
    <t xml:space="preserve">PHOTOELECTRIC SWITCH</t>
  </si>
  <si>
    <t xml:space="preserve">2 m</t>
  </si>
  <si>
    <t xml:space="preserve">LOT No.0345G
LOT No.0345G
LOT No.2964G
VOLTS C6 A247
WEIGHT: 120 GR.
DIMENSION: 15 X 6 X 3,5 (H) FOR EACH</t>
  </si>
  <si>
    <t xml:space="preserve">84395</t>
  </si>
  <si>
    <t xml:space="preserve">E3C-C</t>
  </si>
  <si>
    <t xml:space="preserve">PHOTOELECTRICS SWITCH
AMPLIFIER UNIT
VOLTS 100-240 VAC
WEIGHT: 350 GR.
DIMENSION: 14,5 X 6 X 6 (H)</t>
  </si>
  <si>
    <t xml:space="preserve">84396</t>
  </si>
  <si>
    <t xml:space="preserve">E5CJ</t>
  </si>
  <si>
    <t xml:space="preserve">TEMPERATURE CONTROLLER</t>
  </si>
  <si>
    <t xml:space="preserve">MULTI RANGE</t>
  </si>
  <si>
    <t xml:space="preserve">Q2-G
VOLTS 100 TO 240 V AC
FREQ. 50/60 Hz
WEIGHT: 200 GR.
DIMENSION: 13 X 6 X 6 (H)</t>
  </si>
  <si>
    <t xml:space="preserve">84397</t>
  </si>
  <si>
    <t xml:space="preserve">E3S-X3CE4</t>
  </si>
  <si>
    <t xml:space="preserve">
WEIGHT: 200 GR.
DIMENSION: 13 X 5 X  (H) FOR EACH</t>
  </si>
  <si>
    <t xml:space="preserve">83886</t>
  </si>
  <si>
    <t xml:space="preserve">TL-W5WC2</t>
  </si>
  <si>
    <t xml:space="preserve">PROXIMITY SWITCH</t>
  </si>
  <si>
    <t xml:space="preserve">TL-W5MC2
753C
PROXIMITY SENSOR
VOLTS:12 TO 24 VDC
LOT No. 0785C
2 METRE
WEIGHT: 50 GR.
DIMENSION BOX: 9 CM. X 9 CM. X 6 CM. (H)
</t>
  </si>
  <si>
    <t xml:space="preserve">84398</t>
  </si>
  <si>
    <t xml:space="preserve">E3XR-CE4</t>
  </si>
  <si>
    <t xml:space="preserve">AMPLIFIER UNIT
E3XR-CE4
VOLTS 12 TO 24 VDC
WEIGHT: 120 GR.
DIMENSION: 13 X 5 X  (H) FOR EACH</t>
  </si>
  <si>
    <t xml:space="preserve">84399</t>
  </si>
  <si>
    <t xml:space="preserve">E2E-C1C1</t>
  </si>
  <si>
    <t xml:space="preserve">PROXIMITY SWITCH
E2E-C1C1
VOLTS 12 TO 24 VDC
WEIGHT: 150 GR.
DIMENSION: 9 X 5 X 6  (H) </t>
  </si>
  <si>
    <t xml:space="preserve">84400</t>
  </si>
  <si>
    <t xml:space="preserve">E3S-XE1</t>
  </si>
  <si>
    <t xml:space="preserve">PHOTO ELECTRIC SWITCH</t>
  </si>
  <si>
    <t xml:space="preserve">PHOTO ELECTRIC SWITCH
E3S-XE1
WEIGHT: 150 GR.
DIMENSION: 13 X 5 X 5  (H) </t>
  </si>
  <si>
    <t xml:space="preserve">84401</t>
  </si>
  <si>
    <t xml:space="preserve">E3C-JC4P</t>
  </si>
  <si>
    <t xml:space="preserve">PHOTO ELECTRIC SWITCH
VOLTS 12 TO 24 VDC
2 M
WEIGHT: 120 GR.
DIMENSION: 13 X 5 X 5  (H) </t>
  </si>
  <si>
    <t xml:space="preserve">84402</t>
  </si>
  <si>
    <t xml:space="preserve">E3X-A11</t>
  </si>
  <si>
    <t xml:space="preserve">PHOTO ELECTRIC SWITCH
VOLTS 10 TO 30 VDC
2 M
WEIGHT: 120 GR.
DIMENSION: 13 X 5 X 5  (H) </t>
  </si>
  <si>
    <t xml:space="preserve">84403</t>
  </si>
  <si>
    <t xml:space="preserve">E3HT--DS3E2</t>
  </si>
  <si>
    <t xml:space="preserve">PHOTO ELECTRIC SENSOR</t>
  </si>
  <si>
    <t xml:space="preserve">84404</t>
  </si>
  <si>
    <t xml:space="preserve">E3C--JC4</t>
  </si>
  <si>
    <t xml:space="preserve">AMPLIFIER UNIT</t>
  </si>
  <si>
    <t xml:space="preserve">AMPLIFIER UNIT
VOLTS 12 TO 24 VDC
WEIGHT: 120 GR.
DIMENSION: 13 X 5 X 5  (H) </t>
  </si>
  <si>
    <t xml:space="preserve">84405</t>
  </si>
  <si>
    <t xml:space="preserve">EE-SPW321</t>
  </si>
  <si>
    <t xml:space="preserve">PHOTO MICROSENSOR</t>
  </si>
  <si>
    <t xml:space="preserve">PHOTO MICROSENSOR
VOLTS 12 TO 24 VDC
WEIGHT: 120 GR.
DIMENSION: 11 X 11 X 2,5  (H) </t>
  </si>
  <si>
    <t xml:space="preserve">84406</t>
  </si>
  <si>
    <t xml:space="preserve">E32-TC200A</t>
  </si>
  <si>
    <t xml:space="preserve">PHOTO ELECTRIC SWITCH
VOLTS 12 TO 24 VDC
WEIGHT: 100 GR.
DIMENSION: 11 X 11 X 2  (H) </t>
  </si>
  <si>
    <t xml:space="preserve">108858</t>
  </si>
  <si>
    <t xml:space="preserve">ON SITE GAS SYSTEMS</t>
  </si>
  <si>
    <t xml:space="preserve">N-20</t>
  </si>
  <si>
    <t xml:space="preserve">N2 Generator with 100 Gallon Storage Tank</t>
  </si>
  <si>
    <t xml:space="preserve">21666</t>
  </si>
  <si>
    <t xml:space="preserve">ONE AC CORP</t>
  </si>
  <si>
    <t xml:space="preserve">FMV 321S</t>
  </si>
  <si>
    <t xml:space="preserve">TRANSFORMER FOR KLA 7700 SERIES PSU</t>
  </si>
  <si>
    <t xml:space="preserve">I/P 100-120-200-220-240 V OP 120V AC 12 A 30 day return warranty</t>
  </si>
  <si>
    <t xml:space="preserve">103547</t>
  </si>
  <si>
    <t xml:space="preserve">ONTO</t>
  </si>
  <si>
    <t xml:space="preserve">WV320</t>
  </si>
  <si>
    <t xml:space="preserve">MACRO INSPECTING</t>
  </si>
  <si>
    <t xml:space="preserve">109229</t>
  </si>
  <si>
    <t xml:space="preserve">AutoEL III</t>
  </si>
  <si>
    <t xml:space="preserve">109230</t>
  </si>
  <si>
    <t xml:space="preserve">Axi 935</t>
  </si>
  <si>
    <t xml:space="preserve">109231</t>
  </si>
  <si>
    <t xml:space="preserve">MetaPULSE 300</t>
  </si>
  <si>
    <t xml:space="preserve">109232</t>
  </si>
  <si>
    <t xml:space="preserve">109233</t>
  </si>
  <si>
    <t xml:space="preserve">NSX 105</t>
  </si>
  <si>
    <t xml:space="preserve">108294</t>
  </si>
  <si>
    <t xml:space="preserve">Orbotech</t>
  </si>
  <si>
    <t xml:space="preserve">Ultra Discovery VM</t>
  </si>
  <si>
    <t xml:space="preserve">IC inspection system for FC-BGA, PBGA, CSP and COF</t>
  </si>
  <si>
    <t xml:space="preserve">Simple, Intelligent, Powerful Ultra Discovery VM delivers Simple, 
Intelligent and Powerful AOI performance with 10µm line/space inspection 
capabilities for FC-BGA, PBGA, CSP and COF production. Delivering super 
clear images essential for capturing the finest defects, the system 
achieves outstanding AOI results with minimal effort or training, even on 
complicated panels. Most of manufacturers valuable time on the system is 
spent inspecting panels. Logic false calls are virtually eliminated and 
overall false calls are minimized saving precious verification time. 
Benefits High throughput and superior detection with minimal number of 
false calls Especially designed for inspection of the finest lines down to 
10μm Quick set-up even for the most complicated jobs for higher 
productivity Automation ready Very high uptime SIP TechnologyTM 
Push-to-Scan�: A no set-up process Top AOI results with minimal effort or 
training The easiest, user-friendly interface (GUI) Full Step and Repeat 
functions Visual Intelligence: Using SIP Technology, Ultra Discovery VM 
introduces Orbotech detection paradigm to the world of fine-line FC-BGA, 
PBGA/CSP and COF production. With the Visual Intelligence Detection Engine 
now dedicated for IC substrate applications - manufacturers no longer have 
to choose between detection and false calls or waste time on non-critical 
defects. For the first time in AOI, detect all you want, and only what you 
want. Ultra Discovery VM is equipped with a super-fast optical head, which 
together with its dedicated IC substrate panel understanding, delivers 
exceptionally high throughput, superior detection and low false call rates. 
The optical head is specially designed for inspection of the finest lines 
down to 10�m. The customized professional lens, featuring unique wide angle 
illumination, delivers very clear images essential for capturing the finest 
defects. Visual Intelligence: Full panel understanding, context-based 
detection engine Equipped with ultra-fast sensors and powerful data 
processing for maximum inspection speed</t>
  </si>
  <si>
    <t xml:space="preserve">21123</t>
  </si>
  <si>
    <t xml:space="preserve">ORIEL</t>
  </si>
  <si>
    <t xml:space="preserve">68805</t>
  </si>
  <si>
    <t xml:space="preserve">POWER SUPPLY 40-200 WATTS  FOR MERCURY ARC LAMP</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</si>
  <si>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</si>
  <si>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</si>
  <si>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</si>
  <si>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</si>
  <si>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13066</t>
  </si>
  <si>
    <t xml:space="preserve">ORIENTAL MOTOR</t>
  </si>
  <si>
    <t xml:space="preserve">SEE COMMENTS</t>
  </si>
  <si>
    <t xml:space="preserve">GEAR HEADS</t>
  </si>
  <si>
    <t xml:space="preserve">4GK75K 3GK3K x3 3GN3.6K x2 4GK15K 4GK3K 2GK9K x2 2GN36K 4GN12.5K 4GK12.5K 
2GB360K 5GK3K 5GK50K x2 5GN120K 3GN3.6K x2 3GK3K x2 4GK5K 4GN18K
120 $ FOR EACH</t>
  </si>
  <si>
    <t xml:space="preserve">15900</t>
  </si>
  <si>
    <t xml:space="preserve">21K6GK-A2</t>
  </si>
  <si>
    <t xml:space="preserve">6W 100V 50/60HZ 0.25A 2.5A 2.5UF 1200/1450RPM
WEIGHT 750GR.
DIMENSION:6 CM. X 6 CM. X 10 CM. (H)</t>
  </si>
  <si>
    <t xml:space="preserve">83805</t>
  </si>
  <si>
    <t xml:space="preserve">21K6GN-A</t>
  </si>
  <si>
    <t xml:space="preserve">TW9 50602</t>
  </si>
  <si>
    <t xml:space="preserve">6W 100V
50/60 Hz
0.25 A
2.5uF
12001450r/MIN
TW9 50602
WEIGHT: 1 KG.
DIMENSION: 21 CM. X 9 CM. X 8 CM. (H)
</t>
  </si>
  <si>
    <t xml:space="preserve">83806</t>
  </si>
  <si>
    <t xml:space="preserve">51K40GN-AT</t>
  </si>
  <si>
    <t xml:space="preserve">MOTOR,ELECRIC
40 V
50/60 Hz
0.8 A
10 uF
1300/1550 rpm
TW9 50602
WEIGHT: 2,5 KG.
DIMENSION: 13 CM. X 9 CM. X 14 CM. (H)
</t>
  </si>
  <si>
    <t xml:space="preserve">83807</t>
  </si>
  <si>
    <t xml:space="preserve">PB204-101</t>
  </si>
  <si>
    <t xml:space="preserve">MOTOR,ELECRIC
4W
100 V
50/60 Hz
30 MIN.
WEIGHT: 0,7 KG.
DIMENSION: 6 CM. X 6 CM. X 10 CM. (H)  FOR EACH
</t>
  </si>
  <si>
    <t xml:space="preserve">83808</t>
  </si>
  <si>
    <t xml:space="preserve">5rk40gk-a2</t>
  </si>
  <si>
    <t xml:space="preserve">REVERSIBLE MOTOR
MOTOR,ELECRIC
40 W
100 V
50/60 Hz
1A
1300/1550 rpm
30 MIN.
WEIGHT: 2,5 KG.
DIMENSION: 9 CM. X 9 CM. X 14 CM. (H)  FOR EACH
</t>
  </si>
  <si>
    <t xml:space="preserve">83809</t>
  </si>
  <si>
    <t xml:space="preserve">2IK6GK-A</t>
  </si>
  <si>
    <t xml:space="preserve">INDICTION MOTOR
MOTOR,ELECRIC
6 W
100 V
50/60 Hz
0.25 A
1200/1450 rpm
30 MIN.
WEIGHT: 0,8 KG.
DIMENSION: 6 CM. X 6 CM. X 10 CM. (H)
</t>
  </si>
  <si>
    <t xml:space="preserve">83811</t>
  </si>
  <si>
    <t xml:space="preserve">XU9</t>
  </si>
  <si>
    <t xml:space="preserve">MOTOR ELECTRIC FO FR CARRIER MOTOR</t>
  </si>
  <si>
    <t xml:space="preserve">REVERSIBLE MOTOR
MAX OUTPUT 25 W
100 V
50/60 Hz
0.8 A
4 P
10uF 3 0 MIN.
WEIGHT: 1,5 KG.
DIMENSION: 8 CM. X 8 CM. X 12 CM. (H)
</t>
  </si>
  <si>
    <t xml:space="preserve">83823</t>
  </si>
  <si>
    <t xml:space="preserve">4GK15K</t>
  </si>
  <si>
    <t xml:space="preserve">REVERSIBLE MOTOR
WU813 800
4RK25GK-A2M
25W
100V
50/60 Hz
1250/1500rpm
30min
WEIGHT: 2,7 KG.
DIMENSION: 10 CM. X 10 CM. X 20 CM. (H)</t>
  </si>
  <si>
    <t xml:space="preserve">83825</t>
  </si>
  <si>
    <t xml:space="preserve">MBM425-411</t>
  </si>
  <si>
    <t xml:space="preserve">SPEED CONTROL MOTOR</t>
  </si>
  <si>
    <t xml:space="preserve">AC MAGNETIC BRAKE
MAX OUTPUT 25 W
100V
50/60 Hz
0.95A 10F
90-1400/90-1700rpm 30min.
WEIGHT: 2,2 KG.
DIMENSION: 8 CM. X 8 CM. X 16 CM. (H)</t>
  </si>
  <si>
    <t xml:space="preserve">83834</t>
  </si>
  <si>
    <t xml:space="preserve">PH596-A</t>
  </si>
  <si>
    <t xml:space="preserve">STEPPING MOTOR</t>
  </si>
  <si>
    <t xml:space="preserve">VEXTA STEPPING MOTOR
5-PHASE
0.72DEG/STEP
DC: 1.25A
2.1 OMEGA
WEIGHT : KG.1,5
DIMENDION: 9 CM. X 9 CM. X 11 CM. (H)</t>
  </si>
  <si>
    <t xml:space="preserve">84370</t>
  </si>
  <si>
    <t xml:space="preserve">PH265-02</t>
  </si>
  <si>
    <t xml:space="preserve">2-PHASE STEPPING MOTOR</t>
  </si>
  <si>
    <t xml:space="preserve">1.8/STEP</t>
  </si>
  <si>
    <t xml:space="preserve">VEXTA STEPPING MOTOR
2-PHASE 1.8'/STEP
DC 12 V 0,42A
RR 03781
WEIGHT: 3 KG.
DIMENSION: 12 X 14 X 24</t>
  </si>
  <si>
    <t xml:space="preserve">13206</t>
  </si>
  <si>
    <t xml:space="preserve">4LF45N-2</t>
  </si>
  <si>
    <t xml:space="preserve">LINEAR HEAD</t>
  </si>
  <si>
    <t xml:space="preserve">NEW IN THE BOX</t>
  </si>
  <si>
    <t xml:space="preserve">83875</t>
  </si>
  <si>
    <t xml:space="preserve">UPH564-A</t>
  </si>
  <si>
    <t xml:space="preserve">5 PHASE STEPPING MOTOR</t>
  </si>
  <si>
    <t xml:space="preserve">VEXTA STEPPING MOTOR
5-PHASE
0.72"/STEP
DC 0.75A 5 OMEGA
TW8 04827
WEIGTH: 500 GR.
DIMENSION: 13 CM.X 10 CM. X 9 CM. (H)</t>
  </si>
  <si>
    <t xml:space="preserve">83629</t>
  </si>
  <si>
    <t xml:space="preserve">4RK25RGK-AM</t>
  </si>
  <si>
    <t xml:space="preserve">REVERSIBLE MOTOR</t>
  </si>
  <si>
    <t xml:space="preserve">MAX OUTPUT 25W
100 V
50/60 Hz
10 F
4 P
WEIGHT: 2,5 KG.
DIMENSION: 24 CM. X 14 CM. X 136 CM.(H)</t>
  </si>
  <si>
    <t xml:space="preserve">83893</t>
  </si>
  <si>
    <t xml:space="preserve">4GN30K</t>
  </si>
  <si>
    <t xml:space="preserve">GEAR HEAD</t>
  </si>
  <si>
    <t xml:space="preserve">4GN30K
OM GEAR HEAD
QQ8 02581
WEIGHT: GR.600
DIMENSION: 8 CM. X 8 CM. X 8 CM. (H)</t>
  </si>
  <si>
    <t xml:space="preserve">13014</t>
  </si>
  <si>
    <t xml:space="preserve">Oriental Motor</t>
  </si>
  <si>
    <t xml:space="preserve">5RK40RGK-AM</t>
  </si>
  <si>
    <t xml:space="preserve">REVERSIBLE MOTOR,  40W 100V 50/60 HZ</t>
  </si>
  <si>
    <t xml:space="preserve">NEW IN BOX
MAX OUTPUT 40W     100V
50/60Hz 15 uF   4 P
30 Min
WEIGHT 3.2 KG DIMS 28 CM X 16 CM X 14 CM</t>
  </si>
  <si>
    <t xml:space="preserve">108859</t>
  </si>
  <si>
    <t xml:space="preserve">ORTHODYNE</t>
  </si>
  <si>
    <t xml:space="preserve">20B</t>
  </si>
  <si>
    <t xml:space="preserve">Heavy Wire Bonder</t>
  </si>
  <si>
    <t xml:space="preserve">109595</t>
  </si>
  <si>
    <t xml:space="preserve">Oxford</t>
  </si>
  <si>
    <t xml:space="preserve">NGP 1000</t>
  </si>
  <si>
    <t xml:space="preserve">109097</t>
  </si>
  <si>
    <t xml:space="preserve">Plasmalab System 100</t>
  </si>
  <si>
    <t xml:space="preserve">PECVD TEOS with Load Lock</t>
  </si>
  <si>
    <t xml:space="preserve">Oxford Instruments
Plasmalab System 100
PECVD TEOS with Load Lock
Wafer Size: 200 mm
Process     PECVD &amp; TEOS
Loadlock Pump Alcatel APT 80 Turbo, ACT 200T Controller
Number of Gas Inputs     Ten Gas
Advanced Energy LF-5--RF Generator
Advanced Energy RFX 600A--RF Generator
Process Gases
  CF4 80%, O2 20%--500 SCCM---MKS 1179A
  Ar 90%, PH3 10%--50 SCCM---MKS 1479A
  Ar 90%, GeH4 10%--50 SCCM---MKS 1479A
  Ar 90%, BeH6 10%--50 SCCM---MKS 1479A
  N2 95%, SiH4 5%--1 SLM---MKS 1479A
  NH3 100%--100 SCCM---MKS 1479A
  N2O 100%--3 SLM---MKS 1179A
  N2O 100%--200 SCCM  MKS 1179A
  N2 100%--2 SLM MKS 1179A
  O2 100%--500 SCCM MKS 1179A
Includes:
-Cleaning and recalibration of MFCs
-Chamber Inplace wet cleaning.
-System will be fully functional and source inspection to be performed at 
our facility with inert gases
Power setup: 208 V 25.6 A 50/60 Hz 3 Phase
CE Marked</t>
  </si>
  <si>
    <t xml:space="preserve">99398</t>
  </si>
  <si>
    <t xml:space="preserve">Micro-etch 300</t>
  </si>
  <si>
    <t xml:space="preserve">Dry Etcher</t>
  </si>
  <si>
    <t xml:space="preserve">99399</t>
  </si>
  <si>
    <t xml:space="preserve">Micro-dep 300</t>
  </si>
  <si>
    <t xml:space="preserve">PE CVD system (For spares use)</t>
  </si>
  <si>
    <t xml:space="preserve">For spares use. Currently de-installed and warehoused. Inspection is 
available by appointment.</t>
  </si>
  <si>
    <t xml:space="preserve">91329</t>
  </si>
  <si>
    <t xml:space="preserve">OXFORD</t>
  </si>
  <si>
    <t xml:space="preserve">800+</t>
  </si>
  <si>
    <t xml:space="preserve">RIE (Reactive Ion Etcher)</t>
  </si>
  <si>
    <t xml:space="preserve">De-installed, warehoused. Can be inspected by appointment.
Please refer to the attached photos for details.
Parallel Plate - Reactor
Plasma Enhanced Chemical Vapour Deposition (PECVD) system is lightly used.
 13 MHz supply with automatic matching
 Frequency mixing 50 - 460 KHz for stress control
 automatic pressure control
 400 °C Aluminium substrate electrode with PID control, 460 mm
 PC Control
 Mass Flow controlled gas lines in a sealable and purgable gas pod
 Roots/ rotary pump
Process: The OPT application lab supports the user of our equipment 
throughout the lifetime of the system with advise and with new processes if 
needed. Typically our systems are capable running a variety of processes 
without the need of hardware changes. New processes are permanently under 
development/ characterisation, so that they can be run on our existing 
equipment.
Quality: OPT is qualified according ISO 9001 since 1995. In 1993 a TQM 
programs was started and the position of a dedicated quality manager was 
created.
Safety: The soft- and hardware is designed to ensure a safe system 
operation even with untrained personal.
Software: All the OPT Systems have dedicated programmable logic controllers 
to ensure a safe operation. The user interface is via a standard PC. OPT 
writes the software in house in close contact with our process engineers to 
ensure maximum flexibility. The software operates under Windows to allow 
easy communication with other software (for evaluation the datalog files or 
network integration etc) and to give the users a familiar environment.</t>
  </si>
  <si>
    <t xml:space="preserve">110358</t>
  </si>
  <si>
    <t xml:space="preserve">Oxford Instruments</t>
  </si>
  <si>
    <t xml:space="preserve">OPT AMU</t>
  </si>
  <si>
    <t xml:space="preserve">Sold Ex-Works, UK Office , Part Number:MA00A30535 , Secondary P/N:547192</t>
  </si>
  <si>
    <t xml:space="preserve">108192</t>
  </si>
  <si>
    <t xml:space="preserve">PAC TECH</t>
  </si>
  <si>
    <t xml:space="preserve">SB2-SM</t>
  </si>
  <si>
    <t xml:space="preserve">SOLDER BALL BUMPER</t>
  </si>
  <si>
    <t xml:space="preserve">80259</t>
  </si>
  <si>
    <t xml:space="preserve">PALL</t>
  </si>
  <si>
    <t xml:space="preserve">GLF6101VF4</t>
  </si>
  <si>
    <t xml:space="preserve">GASKLEEN GAS FILTER</t>
  </si>
  <si>
    <t xml:space="preserve">83908</t>
  </si>
  <si>
    <t xml:space="preserve">GAS FILTER</t>
  </si>
  <si>
    <t xml:space="preserve">0.01 MICRON
P/N GLF6101VF4
PRESS750 PSI
TEMP:100°F
WEIGHT: GR.250
DIMENSION: 5 CM. X 5 CM. X 15 CM. (H)</t>
  </si>
  <si>
    <t xml:space="preserve">103819</t>
  </si>
  <si>
    <t xml:space="preserve">Palomar</t>
  </si>
  <si>
    <t xml:space="preserve">3500-III</t>
  </si>
  <si>
    <t xml:space="preserve">-Located in USA.
-In excellent , working condition</t>
  </si>
  <si>
    <t xml:space="preserve">83824</t>
  </si>
  <si>
    <t xml:space="preserve">PANASONIC</t>
  </si>
  <si>
    <t xml:space="preserve">MF A 020LATNP</t>
  </si>
  <si>
    <t xml:space="preserve">AC SERVO MOTOR</t>
  </si>
  <si>
    <t xml:space="preserve">MF A020LATNP
200W
RATED REV. 3000
CONT.TORQUE 0.64 NM
INERTIA 0.4X 10 KG-M2
WEIGHT: 3 KG.
DIMENSION: 13 CM. X 8 CM. X 21 CM. (H)
</t>
  </si>
  <si>
    <t xml:space="preserve">77202</t>
  </si>
  <si>
    <t xml:space="preserve">Panasonic</t>
  </si>
  <si>
    <t xml:space="preserve">M91C90GD4W1</t>
  </si>
  <si>
    <t xml:space="preserve">AC Geared Motor (G Series)</t>
  </si>
  <si>
    <t xml:space="preserve">4P 90W Cont. 5uf
220V 50Hz, 0.78a
220V 60Hz, 0.75a
New in a box, Ships from AVEZZANO 67051 ITALY
</t>
  </si>
  <si>
    <t xml:space="preserve">83838</t>
  </si>
  <si>
    <t xml:space="preserve">PARKER</t>
  </si>
  <si>
    <t xml:space="preserve">60 SERIES</t>
  </si>
  <si>
    <t xml:space="preserve">QUICK COUPLING FEMALE COUPLER 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</si>
  <si>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</si>
  <si>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 xml:space="preserve">84058</t>
  </si>
  <si>
    <t xml:space="preserve">PATLITE</t>
  </si>
  <si>
    <t xml:space="preserve">SEFW-A</t>
  </si>
  <si>
    <t xml:space="preserve">SIGNAL TOWER</t>
  </si>
  <si>
    <t xml:space="preserve">VOLT 24 V AC/DC
WATT 2W/1STACK
WEIGHT:0,5 KG.
DIMENSION: 6  X 6 X 34 (H)</t>
  </si>
  <si>
    <t xml:space="preserve">109514</t>
  </si>
  <si>
    <t xml:space="preserve">PEARL</t>
  </si>
  <si>
    <t xml:space="preserve">GEN 80-19</t>
  </si>
  <si>
    <t xml:space="preserve">Part Number: 00507233</t>
  </si>
  <si>
    <t xml:space="preserve">109515</t>
  </si>
  <si>
    <t xml:space="preserve">M-30A2S-V</t>
  </si>
  <si>
    <t xml:space="preserve">Part Number: 0190-31983</t>
  </si>
  <si>
    <t xml:space="preserve">109516</t>
  </si>
  <si>
    <t xml:space="preserve">RP-3000-100MK-PS</t>
  </si>
  <si>
    <t xml:space="preserve">109517</t>
  </si>
  <si>
    <t xml:space="preserve">RP-8000-2M</t>
  </si>
  <si>
    <t xml:space="preserve">109518</t>
  </si>
  <si>
    <t xml:space="preserve">ZDK-926-100M</t>
  </si>
  <si>
    <t xml:space="preserve">108861</t>
  </si>
  <si>
    <t xml:space="preserve">PEARL KOGYO</t>
  </si>
  <si>
    <t xml:space="preserve">ZDK-916L2X</t>
  </si>
  <si>
    <t xml:space="preserve">Automatch Controller, Brand New, 4ea Available</t>
  </si>
  <si>
    <t xml:space="preserve">84232</t>
  </si>
  <si>
    <t xml:space="preserve">Pepperl Fuchs</t>
  </si>
  <si>
    <t xml:space="preserve">OBE5000-18GM70-SE5</t>
  </si>
  <si>
    <t xml:space="preserve">proximity sensor</t>
  </si>
  <si>
    <t xml:space="preserve">Pack of 2 used units</t>
  </si>
  <si>
    <t xml:space="preserve">84234</t>
  </si>
  <si>
    <t xml:space="preserve">pepperl&amp;fuchs</t>
  </si>
  <si>
    <t xml:space="preserve">OBE5000-18GM70-E5-V1</t>
  </si>
  <si>
    <t xml:space="preserve">Proximity sensor</t>
  </si>
  <si>
    <t xml:space="preserve">one used sensor</t>
  </si>
  <si>
    <t xml:space="preserve">108862</t>
  </si>
  <si>
    <t xml:space="preserve">PERKIN-ELMER</t>
  </si>
  <si>
    <t xml:space="preserve">2400</t>
  </si>
  <si>
    <t xml:space="preserve">Sputtering System</t>
  </si>
  <si>
    <t xml:space="preserve">108636</t>
  </si>
  <si>
    <t xml:space="preserve">PFEIFFER</t>
  </si>
  <si>
    <t xml:space="preserve">ADS602P TOP</t>
  </si>
  <si>
    <t xml:space="preserve">108637</t>
  </si>
  <si>
    <t xml:space="preserve">ADS602P</t>
  </si>
  <si>
    <t xml:space="preserve">108638</t>
  </si>
  <si>
    <t xml:space="preserve">ADS602H</t>
  </si>
  <si>
    <t xml:space="preserve">108639</t>
  </si>
  <si>
    <t xml:space="preserve">131</t>
  </si>
  <si>
    <t xml:space="preserve">84073</t>
  </si>
  <si>
    <t xml:space="preserve">Pfeiffer</t>
  </si>
  <si>
    <t xml:space="preserve">PTR26761A</t>
  </si>
  <si>
    <t xml:space="preserve">Pirani Gauge, D-35614 TPR265</t>
  </si>
  <si>
    <t xml:space="preserve">Pfeiffer vacuum, D-35614
typ: TPR265
NO: PTR26761A
14-30V, 1.5W
qty 2 available</t>
  </si>
  <si>
    <t xml:space="preserve">109559</t>
  </si>
  <si>
    <t xml:space="preserve">Philips</t>
  </si>
  <si>
    <t xml:space="preserve">PHI 680</t>
  </si>
  <si>
    <t xml:space="preserve">Auger Nanoprobe</t>
  </si>
  <si>
    <t xml:space="preserve">De-installed and warehoused. Can be inspected by appointment. In Asia 
region.
The PHI 680 system is made up of a field-emission scanning electron 
microscope with a Schottky emission cathode, a secondary electron detector, 
and an axial cylindrical mirror analyzer with a multi-channel detector to 
collect Auger electrons produced during electron imaging. Very small spot 
sizes can be realized with this instrument, down to 7 nm. This is useful 
for high-resolution imaging and for Auger data acquisition using low beam 
currents. Inert gas sputtering is used to clean surface contamination from 
samples and to remove material from a small area on the surface for depth 
profiling. Several modes of operation are available to the user, including 
survey, line, profile, and elemental mapping.</t>
  </si>
  <si>
    <t xml:space="preserve">109077</t>
  </si>
  <si>
    <t xml:space="preserve">Picosun</t>
  </si>
  <si>
    <t xml:space="preserve">P1000</t>
  </si>
  <si>
    <t xml:space="preserve">High Volume ALD system for batch coating of parts</t>
  </si>
  <si>
    <t xml:space="preserve">Up to 300 mm</t>
  </si>
  <si>
    <t xml:space="preserve">General Specifications:
The PICOSUN® P-1000 ALD system is designed for batch coating of various 3D 
items such as mechanical machinery parts, glass or metal sheets, coins, 
watch parts and jewelry, lenses, optics, and medical devices and implants.
Atomic Layer Deposition (ALD) is the most advanced thin film coating and
surface processing technology of today. ALD creates ultra-thin films of
various materials - oxides, nitrides, sulphides, carbides, fluorides, 
metals,
even polymers - on practically all kinds of surfaces with digitally precise
and repeatable control over film thickness, uniformity, composition, and
conformality. ALD films are pinhole-, crack-, and defect-free by nature. 
The
ALD process takes place in vacuum at relatively low temperatures, allow-
ing its application also to sensitive surfaces.
ALD has a central, well-established role in modern semiconductor indus-
tries. Functional material layers manufactured with ALD enable constantly
miniaturizing integrated circuit (IC) components for faster and more reli-
able computing, mobile communications, and data transfer and storage.
Some materials which have been deposited include the following:-
Al2O3 SiO2 TiO2 HfO2 ZnO Ta2O3 TiN CeO2 Pt
Typical substrate size and type
    All kinds of 3-dimensional items such as mechanical machinery parts, 
glass or metal sheets, coins, watch parts and jewelry, lenses, optics, and 
medical equipment, surgical implants and implantable devices
Processing temperature and capacity
    50 – 400°C
Typical processes
    Al2O3, ZnO, TiO2
Substrate loading
    Manual loading with loading accessory (e.g. forklift cart)
Precursors
    Liquid, solid, gas, ozone
    Level sensors, cleaning and refill service
    Up to 10 sources with 6 separate inlets
    Up to 10 sources with 6 separate inlets
The PICOSUN® P-1000 ALD system is designed for batch processing of various 
3-dimensional items such as mechanical machinery parts, coins, watch parts 
and jewelry, lenses, optics, and medical equipment, surgical implants and 
implantable devices in a production environment. The main applications 
include various passivation and barrier layers to significantly improve the 
performance and lifetime of the coated items. The PICOSUN® P-1000 ALD 
system offers innovative and agile design to enable the highest quality ALD 
depositions with excellent uniformity, maximum yields, minimum system 
downtime and low cost-of-ownership with production-proven processes.
Technical features
Substrate size and type 156 mm x 156 mm solar Si wafers in batches of 
50/100 pcs (both sides/back-to-back)
Up to 300 mm x 300 mm glass sheets in batches of 10-20 pcs
Large batches of 3D objects (e.g. watch parts, jewelry, coins, medical 
implants, machined parts)
Powder and particle substrates
Roll-to-roll, max. 300 mm width substrate
Porous, through-porous, and HAR samples
Process temperature 50 - 500 °C
Substrate loading options Manual loading with a pneumatic lift
Semi-automatic loading with a linear inline loader
Fully automatic loading with an industrial robot
Precursors Liquid, solid, gas, ozone
Level sensors, cleaning and refill service
Up to 6 sources with 4 separate inlets
Weight 400 + 300 kg
Dimensions (W x H x D) 149 cm x 191 cm x 111 cm</t>
  </si>
  <si>
    <t xml:space="preserve">110598</t>
  </si>
  <si>
    <t xml:space="preserve">Pink</t>
  </si>
  <si>
    <t xml:space="preserve">V8-G-AUTO</t>
  </si>
  <si>
    <t xml:space="preserve">Low pressure Plasma Cleaning System</t>
  </si>
  <si>
    <t xml:space="preserve">-Plasma low pressure cleaning system PiNK type V8-G-AUTO, Vintage 06/2013, 
excellent condition, little used</t>
  </si>
  <si>
    <t xml:space="preserve">83587</t>
  </si>
  <si>
    <t xml:space="preserve">Pittman</t>
  </si>
  <si>
    <t xml:space="preserve">GM9213E081</t>
  </si>
  <si>
    <t xml:space="preserve">GEAR motor 19.1 vdc 65.5:1 RATIO</t>
  </si>
  <si>
    <t xml:space="preserve">Used Motor, Pittman, with wires    
Will  Ship from our AVEZZANO 67051 ITALY Warehouse  </t>
  </si>
  <si>
    <t xml:space="preserve">91330</t>
  </si>
  <si>
    <t xml:space="preserve">Plasma Therm</t>
  </si>
  <si>
    <t xml:space="preserve">Wafer/ Batch 740</t>
  </si>
  <si>
    <t xml:space="preserve">DUAL PLASMA ETCH AND RIE</t>
  </si>
  <si>
    <t xml:space="preserve">4"</t>
  </si>
  <si>
    <t xml:space="preserve">91331</t>
  </si>
  <si>
    <t xml:space="preserve">108863</t>
  </si>
  <si>
    <t xml:space="preserve">PLASMA-THERM</t>
  </si>
  <si>
    <t xml:space="preserve">790</t>
  </si>
  <si>
    <t xml:space="preserve">Reactive Ion Etcher, Refurbished - Call for Details</t>
  </si>
  <si>
    <t xml:space="preserve">108864</t>
  </si>
  <si>
    <t xml:space="preserve">SLR770</t>
  </si>
  <si>
    <t xml:space="preserve">Inductively Coupled Etcher with Load-Lock, Refurbished - Call for Details</t>
  </si>
  <si>
    <t xml:space="preserve">109519</t>
  </si>
  <si>
    <t xml:space="preserve">PLASMART</t>
  </si>
  <si>
    <t xml:space="preserve">PF05100-3B36S</t>
  </si>
  <si>
    <t xml:space="preserve">Model Number: PF05100-3B36S</t>
  </si>
  <si>
    <t xml:space="preserve">109520</t>
  </si>
  <si>
    <t xml:space="preserve">Model Number: PF05100-3B36S-1</t>
  </si>
  <si>
    <t xml:space="preserve">109521</t>
  </si>
  <si>
    <t xml:space="preserve">PFDUAL-6B36A</t>
  </si>
  <si>
    <t xml:space="preserve">Model Number: PFDUAL-6B36A</t>
  </si>
  <si>
    <t xml:space="preserve">106759</t>
  </si>
  <si>
    <t xml:space="preserve">Plasmatherm</t>
  </si>
  <si>
    <t xml:space="preserve">SLR 770</t>
  </si>
  <si>
    <t xml:space="preserve">Dual Chamber R.I.E.</t>
  </si>
  <si>
    <t xml:space="preserve">includes:
-LH and RH chambers are RIE with adjustable top electrode gap. (similar to 
old ECR config.)
Both chambers can work also as PE (Plasma Etch-Top power). RIE or PE is 
switched by software.
Both Chambers are Low pressure feature with TMP turbo pumps. Each chamber 
has 8 gas lines and MFC's. Software and manuals along with Neslab HX-75 
chiller are included.
The load lock arm needs some work.</t>
  </si>
  <si>
    <t xml:space="preserve">109586</t>
  </si>
  <si>
    <t xml:space="preserve">SLR 720</t>
  </si>
  <si>
    <t xml:space="preserve">RIE Etcher</t>
  </si>
  <si>
    <t xml:space="preserve">110613</t>
  </si>
  <si>
    <t xml:space="preserve">PlasmaTherm</t>
  </si>
  <si>
    <t xml:space="preserve">SLR 740</t>
  </si>
  <si>
    <t xml:space="preserve">Dual Chamber RIE / Plasma etch</t>
  </si>
  <si>
    <t xml:space="preserve">The LH Chamber is Standard, the RH chamber is also RIE  , but with 
adjustable top electrode gap. (similar to old ECR config.)
Both chambers can work also as PE (Plasma Etch-Top power). RIE or PE is 
switched by software.
One Chamber has a Low pressure feature with TMP .the other one has no 
TMP,i.e just working med. Vacuum process using the rough pump (but has an 
option for adding TMP).
Each chamber has 8 Gas Channels (with 8 MFCs each).see attached XLS file.
  System is configured for European power rating, i.e 3 phase 400v.
   The system is currently  up and running  so is in fair condition. (see 
photos)
The equipment will include : 1 Chiller, 1 Process Rough Pump ,1 LoadLock 
pump (oil).
MFC CONFIGURATION:-
CHAMBER LEFT 	  	GAS NAME 	MFC FULL SCALE 	UNITS 	MFC TYPE 	  	CHAMBER 
RIGHT 	  	GAS NAME 	MFC FULL SCALE 	UNITS 	MFC TYPE
  	  	AR 	100 	SCCM 	MKS 1479A 	  	  	  	CF-41 	100 	SCCM 	MKS 1479A
  	  	CHF3 	100 	SCCM 	MKS 1479A 	  	  	  	SF6 	50 	SCCM 	MKS 1479A
  	  	C2F6 	100 	SCCM 	MKS 1479A 	  	  	  	HE 	100 	SCCM 	MKS 1479A
  	  	CF41 	100 	SCCM 	MKS 1479A 	  	  	  	CHF3 	100 	SCCM 	MKS 1479A
  	  	SF6 	50 	SCCM 	MKS 1479A 	  	  	  	C2F6 	100 	SCCM 	MKS 1479A
  	  	HE 	100 	SCCM 	MKS 1479A 	  	  	  	O2 	10 	SCCM 	MKS 1479A
  	  	O2 	10 	SCCM 	MKS 1479A 	  	  	  	O2 	100 	SCCM 	MKS 1479A
  	  	O2 	100 	SCCM 	MKS 1479A 	  	  	  	AR 	100 	SCCM 	MKS 1479A
 </t>
  </si>
  <si>
    <t xml:space="preserve">109599</t>
  </si>
  <si>
    <t xml:space="preserve">Reactive Ion Etcher</t>
  </si>
  <si>
    <t xml:space="preserve">106953</t>
  </si>
  <si>
    <t xml:space="preserve">PLASMATHERM</t>
  </si>
  <si>
    <t xml:space="preserve">LAPECVD</t>
  </si>
  <si>
    <t xml:space="preserve">Large Area PECVD system, used for SiO and SiN process depositions</t>
  </si>
  <si>
    <t xml:space="preserve">For immediate sale: Plasmatherm LAPECVD system
2x Loadlock ports,
2x Process chambers
and DMC/OCR reader
Set up for 150 mm wafer, but can do 100 mm and 200 mm with reconfiguration
Has CE Mark
Currently installed in the cleanroom and running wafers.
Can be inspected by appointment.
See photos for details of the current system condition.
The tool was used for silicon nitride as well as for silicon oxide 
depositions, the latter being basically an oxide with some fluor in it.
The size of the MFCs is to be found in the table below. Some of the 
controllers can easily be reprogrammed to a smaller range or configured for 
use of different gases if needed.
Both chambers of the tool were used for the same depositions. They are 
esentially identical, except the gas boxes, where PM3 has one MFC less than 
PM2.
  	Gas 	SiH4 	NH3 	He 	N2O 	SF6 	SiF4 	N2 	Ar
PM2 	MFC physical range (sccm) 	500 	200 	5000 	5000 	1000 	1000 	5000 	
5000
  	MFC calibration gas 	N2 	NH3 	N2 	N2O 	SF6 	N2 	N2 	N2
  	Gas configured at tool 	SiH4 	NH3 	He 	N2O 	SF6 	SiF4 	N2 	Ar
  	MFC configured gas range (sccm) 	300 	200 	6950 	5000 	1000 	350 	5000 	
6950
PM3 	MFC physical range (sccm) 	500 	200 	5000 	5000 	1000 	500 	5000 	
empty
  	MFC calibration gas 	N2 	NH3 	N2 	N2O 	SF6 	N2 	N2 	 
  	Gas configured at tool 	SiH4 	NH3 	He 	N2O 	SF6 	SiF4 	N2 	 
  	MFC configured gas range (sccm) 	300 	200 	6950 	5000 	1000 	175 	5000 	
0
    Gas    SiH4    NH3    He    N2O    SF6    SiF4    N2    Ar
PM2    MFC physical range (sccm)    500    200    5000    5000    1000    
1000    5000    5000
    MFC calibration gas    N2    NH3    N2    N2O    SF6    N2    N2    N2
    Gas configured at tool    SiH4    NH3    He    N2O    SF6    SiF4    N2 
   Ar
    MFC configured gas range (sccm)    300    200    6950    5000    1000   
 350    5000    6950
PM3    MFC physical range (sccm)    500    200    5000    5000    1000    
500    5000    empty
    MFC calibration gas    N2    NH3    N2    N2O    SF6    N2    N2   
    Gas configured at tool    SiH4    NH3    He    N2O    SF6    SiF4    N2 
    MFC configured gas range (sccm)    300    200    6950    5000    1000   
 175    5000    0
Manufacturing dates of the chambers:-
September 2014
July 2014
May 2016
October 2016
Available for immediate purchase and removal.
Generic system description:
LAPECVD™
Plasma-Therm’s LAPECVD™ (Large Area Plasma Enhanced Chemical Vapor 
Deposition) uses a cassette-to-cassette configuration to allow for 
high-volume production in a wide range of applications.
The LAPECVD™ platform can be used to deposit a variety of thin-film 
materials with its parallel-plate plasma deposition system.
Hardware
    Cassette-to-Cassette Handling
         - Multi-substrate batch processing
    Dual cassettes
    Platen heating up to 350°C
    Upper electrode RF power at 13.56 MHz with optional MFD
    Up to 8 gas channels with digital MFCs
    Thermally managed reactor design—up to 175°C for internal walls and 
shower head
Endpoint
    Integrated multifunctional endpoint capability with EndpointWorks.
    Unique OEI application for real-time film thickness and rate 
monitoring.
    OES for optimized chamber clean.
Software
    User friendly software
    Comprehensive data logging
    Automated cleaning program
    Real-time process data display
    Fully integrated endpoint system
    Factory automation compatible (SECS/GEM)
    Edit recipes during runs
    Multiple user access levels
    Alarm history
Process
    Stress control
    High uniformity
    Low damage
    Low particulates
    Tunable index
    Increased productivity with batch loading capability
    Low temperature</t>
  </si>
  <si>
    <t xml:space="preserve">83933</t>
  </si>
  <si>
    <t xml:space="preserve">PM500 09 P</t>
  </si>
  <si>
    <t xml:space="preserve">MASK</t>
  </si>
  <si>
    <t xml:space="preserve">RETICLE SEAL SHIPPING STORAGE
WEIGHT 150 GR.
DIMENSION: CM. 13,5 X CM.14,5 X CM.2 (H)
</t>
  </si>
  <si>
    <t xml:space="preserve">31246</t>
  </si>
  <si>
    <t xml:space="preserve">PMS</t>
  </si>
  <si>
    <t xml:space="preserve">Liquitrack 776200</t>
  </si>
  <si>
    <t xml:space="preserve">Non volatile residual Monitor for water-quality checking</t>
  </si>
  <si>
    <t xml:space="preserve">Detects non-volatile residue in ultrapure water. Allows continuous 
monitoring in real time. Main features:- -measures impurity levels in PPD 
or PPM depending on the model -this model, 7762, measures impurities in the 
range 10 PPT to 10 PPB Located At Avezzano, Italy. CE Marked serial number 
70. Object of measurement: detection of nonvolatile impurity concentration 
in ultrapure water Method: Water droplet atomization and subsequent drying 
to recover non-volatile residue Model 7762 Detection range: 10 ppt to 10 
ppb Calibration Method: Calibration checked by AAS analysis of pure KCl in 
water sample flow rate: 0.875 mL/min max external water inlet pressure: 483 
kPa (80 psi). TOTAL FLOWRATE: BETWEEN 50-80 Ml/MIN AT 138-207 Kpa (20-30 
PSI) WATER TEMP: 20-50 C ambient temp: 15-35 C Humidity: should be less 
than 85% Response time: within 3.25 minutes from the time the sample 
reaches water inlet to 95% of final stabilized reading Internal feedwater 
pressure: 138-207 kPa Accuracy: +/-10% of KCl in water by AAS analysis 
Residue drying temp: 120 C (optional settings 95, 70 and 45 C). Output: RS 
232, serail, BNC analog (0-10V, 4-20mA) Can drive a load of 450 ohms 
sampling time: 1 sec on NRM display, 20 sec on computer display Power 
switchable 115/230/240V +/- 10%, 50/60 Hz 1.5 amp Material in contact with 
water: PFA Teflon, 316 stainless, sapphire Dimensions: 51.4 x 43,2 x 23.2 
cm weight: 25 KG Environmental conditions: -Indoor use -up to 2000 m 
-temperature 4-20 C -humidity 0-90% -overvoltage cat. 2 -Pollution degree 
cat. 2 Injection valve options *********************** Stator: PEEK Flat 
stator face: polished alumina ceramic Single-point pressure adjusting screw 
located at the shaft end of the valve Standard rotor seal tolerance: Entire 
pH from 0-14 Max temperature: 50C Pressure rating: 34 MPa (5000 psi) Max 
operating torque: 17 kg/cm; 10 kg/cm is typical -CE Marked -Includes 
operatons and service manuals Includes: service manual p/n 1977701
Location: Avezzano (AQ) 67051 Italy</t>
  </si>
  <si>
    <t xml:space="preserve">83615</t>
  </si>
  <si>
    <t xml:space="preserve">MICRO LPC-210</t>
  </si>
  <si>
    <t xml:space="preserve">MICROLASER PARTICLE COUNTER</t>
  </si>
  <si>
    <t xml:space="preserve">MALVERN WR 13 LN</t>
  </si>
  <si>
    <t xml:space="preserve">MICROLASER PARTICLE COUNTER
MICRO LPC-210
MALVERN WR 13 LN
LPC-210
PARTICLE MEASURING SYSTEM INC.
CAL. IDENT. No. 1PNS05
TEST DATE: JEN 03
NEXT TEST DUE :JEN 04
CAST.01698 291 330
SPT 6340Ù
WEIGHT : 26 KG.
DIMENSION: 67 CM.X 40 CM. X 20 CM. (H)</t>
  </si>
  <si>
    <t xml:space="preserve">54210</t>
  </si>
  <si>
    <t xml:space="preserve">Poly Design Inc.</t>
  </si>
  <si>
    <t xml:space="preserve">Heated Quartz Boat storage / drying system</t>
  </si>
  <si>
    <t xml:space="preserve">Heated storage chamber for quartz boats from vertical furnaces. Overall 
dimensions 375 cm (l) x 75 cm (w) x 187 cm (h) Chamber size (4 chambers) 
386 cm x 54 cm x 30 cm (h) Door size 141 cm x 30 cm (h) -Includes 
thermocouple controlled heater -Includes HEPA fan-filter forced air flow 
-Controls: WATLOW -Made by Poly Design Inc, Garland, TX
Location: Avezzano 67051 (AQ) Italy.</t>
  </si>
  <si>
    <t xml:space="preserve">108714</t>
  </si>
  <si>
    <t xml:space="preserve">PolyFlow</t>
  </si>
  <si>
    <t xml:space="preserve">Triple Tower II</t>
  </si>
  <si>
    <t xml:space="preserve">Quartz Cleaner</t>
  </si>
  <si>
    <t xml:space="preserve">Deinstalled from a wafer fab following OEM proceedures. The equipment was 
in working condition before it was removed. The equipment is currently 
Warehoused. It can be inspected by appointment.
This PolyFlow System can also be offered fully refurbished incl. a new PLC 
System controller (Siemens S7) at extra cost.</t>
  </si>
  <si>
    <t xml:space="preserve">83565</t>
  </si>
  <si>
    <t xml:space="preserve">Power Launch (?)</t>
  </si>
  <si>
    <t xml:space="preserve">FU100F</t>
  </si>
  <si>
    <t xml:space="preserve">Valve tube electron tube</t>
  </si>
  <si>
    <t xml:space="preserve">  Ued pulled from working condition, in box, one new one in a box
  FU100F, from China/Taiwan
 </t>
  </si>
  <si>
    <t xml:space="preserve">69870</t>
  </si>
  <si>
    <t xml:space="preserve">Power One</t>
  </si>
  <si>
    <t xml:space="preserve">HPM5A2A2KS234</t>
  </si>
  <si>
    <t xml:space="preserve">5V Switching Power Supply</t>
  </si>
  <si>
    <t xml:space="preserve">POWER ONE INTERNATIONAL SERIES SWITCHING POWER SUPPLY. TUV CERTIFIED RU 
CERTIFIED E131905 CSA COMPONENT TYPE CUSTOM RECTIFIER LR38879 LEVEL 6 INPUT 
50-60 HZ 230 V 23A MAX OUTPUT 2KW OUTPUT 5V 150 A LOCATED IN AVEZZANO, 
ITALY 67051 (NEAR ROME)</t>
  </si>
  <si>
    <t xml:space="preserve">69872</t>
  </si>
  <si>
    <t xml:space="preserve">HPM5C1C1E1E1H1S240</t>
  </si>
  <si>
    <t xml:space="preserve">Switching Power Supply</t>
  </si>
  <si>
    <t xml:space="preserve">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</si>
  <si>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 xml:space="preserve">69873</t>
  </si>
  <si>
    <t xml:space="preserve">HPM5F2F2KS233</t>
  </si>
  <si>
    <t xml:space="preserve">2V Switching Power Supply</t>
  </si>
  <si>
    <t xml:space="preserve">POWER ONE INTERNATIONAL SERIES SWITCHING POWER SUPPLY. TUV CERTIFIED RU 
CERTIFIED E131905 CSA COMPONENT TYPE CUSTOM RECTIFIER LR38879 LEVEL 6 INPUT 
50-60 HZ 230 V 23A MAX OUTPUT 2KW OUTPUT 2V 150 A LOCATED IN AVEZZANO, 
ITALY 67051 (NEAR ROME)</t>
  </si>
  <si>
    <t xml:space="preserve">69874</t>
  </si>
  <si>
    <t xml:space="preserve">HPM5E2E2KS228</t>
  </si>
  <si>
    <t xml:space="preserve">28 V Switching Power Supply</t>
  </si>
  <si>
    <t xml:space="preserve">POWER ONE INTERNATIONAL SERIES SWITCHING POWER SUPPLY. TUV CERTIFIED RU 
CERTIFIED E131905 CSA COMPONENT TYPE CUSTOM RECTIFIER LR38879 LEVEL 6 INPUT 
50-60 HZ 230 V 23A MAX OUTPUT 2KW OUTPUT 28V 27A LOCATED IN AVEZZANO, ITALY 
67051 (NEAR ROME)</t>
  </si>
  <si>
    <t xml:space="preserve">69875</t>
  </si>
  <si>
    <t xml:space="preserve">SPM2E1E1S304</t>
  </si>
  <si>
    <t xml:space="preserve">POWER ONE INTERNATIONAL SERIES SWITCHING POWER SUPPLY. TUV CERTIFIED RU 
CERTIFIED E131905 CSA COMPONENT TYPE CUSTOM RECTIFIER LR38879 LEVEL 6 INPUT 
50-60 HZ 230 V 23A MAX OUTPUT 500 watts OUTPUT 28V 8.6A LOCATED IN 
AVEZZANO, ITALY 67051 (NEAR ROME)</t>
  </si>
  <si>
    <t xml:space="preserve">83506</t>
  </si>
  <si>
    <t xml:space="preserve">POWERTEC</t>
  </si>
  <si>
    <t xml:space="preserve">9J5-360-371</t>
  </si>
  <si>
    <t xml:space="preserve">SUPER SWITCHER TM SERIES POWER SUPPLY</t>
  </si>
  <si>
    <t xml:space="preserve">220 VOLTS</t>
  </si>
  <si>
    <t xml:space="preserve">AC INPUT: 115V-/230V;40A/20A
50/60 HZ
MAX TOTAL OUTPUT POWER 1800W</t>
  </si>
  <si>
    <t xml:space="preserve">83507</t>
  </si>
  <si>
    <t xml:space="preserve">POWERTEC ASTEC</t>
  </si>
  <si>
    <t xml:space="preserve">9J8-200-371</t>
  </si>
  <si>
    <t xml:space="preserve">83508</t>
  </si>
  <si>
    <t xml:space="preserve">AC INPUT: 115V-/230V;20A/15A
50/60 HZ
MAX TOTAL OUTPUT POWER 1100 W</t>
  </si>
  <si>
    <t xml:space="preserve">83509</t>
  </si>
  <si>
    <t xml:space="preserve">9J12-130-371</t>
  </si>
  <si>
    <t xml:space="preserve">AC INPUT: 115V-/230V;24A/20A
50/60 HZ
MAX TOTAL OUTPUT POWER 1800 W</t>
  </si>
  <si>
    <t xml:space="preserve">83510</t>
  </si>
  <si>
    <t xml:space="preserve">6C32-EE-371</t>
  </si>
  <si>
    <t xml:space="preserve">AC INPUT: 115V-/230V;20A/10A
50/60 HZ
MAX TOTAL OUTPUT POWER 800 W</t>
  </si>
  <si>
    <t xml:space="preserve">91356</t>
  </si>
  <si>
    <t xml:space="preserve">PSC</t>
  </si>
  <si>
    <t xml:space="preserve">DES-220-456AVL</t>
  </si>
  <si>
    <t xml:space="preserve">ASHER</t>
  </si>
  <si>
    <t xml:space="preserve">De-installed, warehoused. Can be inspected by appointment.
See attached photos for details.
Dual chamber resist stripper
Transfer chamber
Generator Upper Chamber : ENI(OEM-2000)
Generator Lower Chamber : ENI(OEM-2000)
O2/N2 chemistry
AC Power box
Communication Interface SECS
Facility Requirements :
CDA : 5-7 Kg/ cm2
DIW : 75 PsiG/min
Vacuum : Φ150mm 4M / min
Gas : 2 – 4 Kg/ cm2
Power : 208V 60Hz 304W 150A</t>
  </si>
  <si>
    <t xml:space="preserve">94477</t>
  </si>
  <si>
    <t xml:space="preserve">PSK</t>
  </si>
  <si>
    <t xml:space="preserve">TERA21</t>
  </si>
  <si>
    <t xml:space="preserve">Asher </t>
  </si>
  <si>
    <t xml:space="preserve">98833</t>
  </si>
  <si>
    <t xml:space="preserve">SUPRA3</t>
  </si>
  <si>
    <t xml:space="preserve">Asher Dry Strip</t>
  </si>
  <si>
    <t xml:space="preserve">108584</t>
  </si>
  <si>
    <t xml:space="preserve">108586</t>
  </si>
  <si>
    <t xml:space="preserve">DAS 2000</t>
  </si>
  <si>
    <t xml:space="preserve">100927</t>
  </si>
  <si>
    <t xml:space="preserve">103548</t>
  </si>
  <si>
    <t xml:space="preserve">103549</t>
  </si>
  <si>
    <t xml:space="preserve">PR Ashing </t>
  </si>
  <si>
    <t xml:space="preserve">103550</t>
  </si>
  <si>
    <t xml:space="preserve">103551</t>
  </si>
  <si>
    <t xml:space="preserve">108193</t>
  </si>
  <si>
    <t xml:space="preserve">109225</t>
  </si>
  <si>
    <t xml:space="preserve">Supra IV</t>
  </si>
  <si>
    <t xml:space="preserve">Stripper/Asher</t>
  </si>
  <si>
    <t xml:space="preserve">109226</t>
  </si>
  <si>
    <t xml:space="preserve">109227</t>
  </si>
  <si>
    <t xml:space="preserve">109228</t>
  </si>
  <si>
    <t xml:space="preserve">109564</t>
  </si>
  <si>
    <t xml:space="preserve">SUPRA III</t>
  </si>
  <si>
    <t xml:space="preserve">PHOTORESIST STRIP</t>
  </si>
  <si>
    <t xml:space="preserve">83928</t>
  </si>
  <si>
    <t xml:space="preserve">PULNIX</t>
  </si>
  <si>
    <t xml:space="preserve">TM-7EX</t>
  </si>
  <si>
    <t xml:space="preserve">VIDEO CAMERA WITH FUJI NF35A-2 LENS</t>
  </si>
  <si>
    <t xml:space="preserve">GAMMA 1.0
0.45 MGC
FLD
FRM
TM-ZEX
WEIGHT:GR.250
DIMENSION:13 CM. X 5 CM. X 5 CM.(H)
</t>
  </si>
  <si>
    <t xml:space="preserve">74251</t>
  </si>
  <si>
    <t xml:space="preserve">Qualiflow</t>
  </si>
  <si>
    <t xml:space="preserve">AFC 50D</t>
  </si>
  <si>
    <t xml:space="preserve">Mass Flow Controller;Meter,Spectrometer,Gas Mix, control </t>
  </si>
  <si>
    <t xml:space="preserve">Qualiflow AFC 50D Mass Flow Controller;Meter,Spectrometer,Gas Mix, control 
Last Calbrated 11/19/2009 N2</t>
  </si>
  <si>
    <t xml:space="preserve">91552</t>
  </si>
  <si>
    <t xml:space="preserve">RAYTEX</t>
  </si>
  <si>
    <t xml:space="preserve">RXW-800</t>
  </si>
  <si>
    <t xml:space="preserve">EDGE SCAN</t>
  </si>
  <si>
    <t xml:space="preserve">98489</t>
  </si>
  <si>
    <t xml:space="preserve">Raytex</t>
  </si>
  <si>
    <t xml:space="preserve">RXW-0826SFIX-SMIF</t>
  </si>
  <si>
    <t xml:space="preserve">edge scanner</t>
  </si>
  <si>
    <t xml:space="preserve">108479</t>
  </si>
  <si>
    <t xml:space="preserve">RXW-1227 EdgeScan</t>
  </si>
  <si>
    <t xml:space="preserve">84239</t>
  </si>
  <si>
    <t xml:space="preserve">Raytheon</t>
  </si>
  <si>
    <t xml:space="preserve">ELC-14947</t>
  </si>
  <si>
    <t xml:space="preserve">Directed light assembly, for ESI</t>
  </si>
  <si>
    <t xml:space="preserve">ESI / Raytheon Directed light Assembly
ELC-14947
</t>
  </si>
  <si>
    <t xml:space="preserve">108787</t>
  </si>
  <si>
    <t xml:space="preserve">RECIF</t>
  </si>
  <si>
    <t xml:space="preserve">IDLW8R</t>
  </si>
  <si>
    <t xml:space="preserve">Wafer ID Reader - Tabletop for 200mm Wafers</t>
  </si>
  <si>
    <t xml:space="preserve">2ea Available
Manufacturer  	RECIF
Model  	IDLW8R
Description  	Wafer ID Reader
Other Information  	
    * Contact Free Scribe Reading
    * On Board Wafer Alignment
    * CCD Camera and Illumination
    * Optical Character Recognition (OCR) Software
    * Compatible with all SEMI Standard Cassettes
Power Requirements  	110 V     50/60 Hz</t>
  </si>
  <si>
    <t xml:space="preserve">108788</t>
  </si>
  <si>
    <t xml:space="preserve">SPP8</t>
  </si>
  <si>
    <t xml:space="preserve">Wafer Transfer for 200mm Wafers</t>
  </si>
  <si>
    <t xml:space="preserve">109119</t>
  </si>
  <si>
    <t xml:space="preserve">Rectif</t>
  </si>
  <si>
    <t xml:space="preserve">Sort</t>
  </si>
  <si>
    <t xml:space="preserve">Batch Flip AHMS Sorter</t>
  </si>
  <si>
    <t xml:space="preserve">77159</t>
  </si>
  <si>
    <t xml:space="preserve">Renishaw</t>
  </si>
  <si>
    <t xml:space="preserve">RGH24X30A00A</t>
  </si>
  <si>
    <t xml:space="preserve">Encoder Head NEW IN BOX</t>
  </si>
  <si>
    <t xml:space="preserve">Renishaw Encoder Head
Brand new in box with cable
Ships from our Boerne, TX Location</t>
  </si>
  <si>
    <t xml:space="preserve">108329</t>
  </si>
  <si>
    <t xml:space="preserve">ReVera</t>
  </si>
  <si>
    <t xml:space="preserve">RVX1000</t>
  </si>
  <si>
    <t xml:space="preserve">Still installed in the fab, the tool is power-off.
The last PM was done on the tool in August 2018
All facilities cables are present.
The robot is marked as being inoperative.
Handler Type is Brooks and the Pre-Aligner is included
The loaders are FOUP type.
Facility Requirements .
CDA and Vacuum
Gas N2.
Power is 220V</t>
  </si>
  <si>
    <t xml:space="preserve">108480</t>
  </si>
  <si>
    <t xml:space="preserve">110359</t>
  </si>
  <si>
    <t xml:space="preserve">RF Global Solutions</t>
  </si>
  <si>
    <t xml:space="preserve">RF Services Match controller</t>
  </si>
  <si>
    <t xml:space="preserve">Sold Ex-Works, UK Office , Part Number:RFS1000</t>
  </si>
  <si>
    <t xml:space="preserve">110360</t>
  </si>
  <si>
    <t xml:space="preserve">RF Services</t>
  </si>
  <si>
    <t xml:space="preserve">ICPSM</t>
  </si>
  <si>
    <t xml:space="preserve">Sold Ex-Works, UK Office , Part Number:232612-01</t>
  </si>
  <si>
    <t xml:space="preserve">110361</t>
  </si>
  <si>
    <t xml:space="preserve">110362</t>
  </si>
  <si>
    <t xml:space="preserve">Sold Ex-Works, UK Office , Part Number:533-09908-00 , Secondary 
P/N:232612-01</t>
  </si>
  <si>
    <t xml:space="preserve">110363</t>
  </si>
  <si>
    <t xml:space="preserve">Sold Ex-Works, UK Office , Part Number:553-09908-RW , Secondary 
P/N:232612-01</t>
  </si>
  <si>
    <t xml:space="preserve">110364</t>
  </si>
  <si>
    <t xml:space="preserve">LF Splitter</t>
  </si>
  <si>
    <t xml:space="preserve">Sold Ex-Works, UK Office , Part Number:934-15008-00 , Secondary 
P/N:9900-0033-01</t>
  </si>
  <si>
    <t xml:space="preserve">110365</t>
  </si>
  <si>
    <t xml:space="preserve">110366</t>
  </si>
  <si>
    <t xml:space="preserve">110367</t>
  </si>
  <si>
    <t xml:space="preserve">110368</t>
  </si>
  <si>
    <t xml:space="preserve">110369</t>
  </si>
  <si>
    <t xml:space="preserve">RFS 1000</t>
  </si>
  <si>
    <t xml:space="preserve">Sold Ex-Works, UK Office , Part Number:9900-0003-15 , Secondary 
P/N:553-00098-00</t>
  </si>
  <si>
    <t xml:space="preserve">110370</t>
  </si>
  <si>
    <t xml:space="preserve">110371</t>
  </si>
  <si>
    <t xml:space="preserve">110372</t>
  </si>
  <si>
    <t xml:space="preserve">110373</t>
  </si>
  <si>
    <t xml:space="preserve">Sold Ex-Works, UK Office , Part Number:9900-0003-15</t>
  </si>
  <si>
    <t xml:space="preserve">110374</t>
  </si>
  <si>
    <t xml:space="preserve">110375</t>
  </si>
  <si>
    <t xml:space="preserve">110376</t>
  </si>
  <si>
    <t xml:space="preserve">110377</t>
  </si>
  <si>
    <t xml:space="preserve">110378</t>
  </si>
  <si>
    <t xml:space="preserve">110379</t>
  </si>
  <si>
    <t xml:space="preserve">110380</t>
  </si>
  <si>
    <t xml:space="preserve">110381</t>
  </si>
  <si>
    <t xml:space="preserve">RFS 1000M</t>
  </si>
  <si>
    <t xml:space="preserve">Sold Ex-Works, UK Office , Part Number:934-15001-00 , Secondary 
P/N:9201-0297</t>
  </si>
  <si>
    <t xml:space="preserve">110382</t>
  </si>
  <si>
    <t xml:space="preserve">RFS 2502</t>
  </si>
  <si>
    <t xml:space="preserve">Sold Ex-Works, UK Office , Part Number:553-20343-00 , Secondary 
P/N:233075-01</t>
  </si>
  <si>
    <t xml:space="preserve">110383</t>
  </si>
  <si>
    <t xml:space="preserve">RFS 3002 ICP</t>
  </si>
  <si>
    <t xml:space="preserve">Sold Ex-Works, UK Office , Part Number:553-03138-00 , Secondary P/N:232278</t>
  </si>
  <si>
    <t xml:space="preserve">110384</t>
  </si>
  <si>
    <t xml:space="preserve">RFS 3002A</t>
  </si>
  <si>
    <t xml:space="preserve">Sold Ex-Works, UK Office , Part Number:553-03138-00 , Secondary 
P/N:232278-01</t>
  </si>
  <si>
    <t xml:space="preserve">110385</t>
  </si>
  <si>
    <t xml:space="preserve">RFS 3002A ICP</t>
  </si>
  <si>
    <t xml:space="preserve">110386</t>
  </si>
  <si>
    <t xml:space="preserve">RFS 3006</t>
  </si>
  <si>
    <t xml:space="preserve">Sold Ex-Works, UK Office , Part Number:232278-02</t>
  </si>
  <si>
    <t xml:space="preserve">110387</t>
  </si>
  <si>
    <t xml:space="preserve">RFS 3009 ICPSM</t>
  </si>
  <si>
    <t xml:space="preserve">Sold Ex-Works, UK Office , Part Number:553-09908-00 , Secondary 
P/N:232612-01</t>
  </si>
  <si>
    <t xml:space="preserve">110388</t>
  </si>
  <si>
    <t xml:space="preserve">RF Services </t>
  </si>
  <si>
    <t xml:space="preserve">RFS 3018</t>
  </si>
  <si>
    <t xml:space="preserve">Sold Ex-Works, UK Office , Part Number:233160-01 , Secondary 
P/N:553-19819-00</t>
  </si>
  <si>
    <t xml:space="preserve">110389</t>
  </si>
  <si>
    <t xml:space="preserve">RFS 500</t>
  </si>
  <si>
    <t xml:space="preserve">Sold Ex-Works, UK Office , Part Number:9900-0003-31 , Secondary 
P/N:0995-99753</t>
  </si>
  <si>
    <t xml:space="preserve">110390</t>
  </si>
  <si>
    <t xml:space="preserve">RFS 500/700</t>
  </si>
  <si>
    <t xml:space="preserve">Sold Ex-Works, UK Office , Part Number:9900-0003-01</t>
  </si>
  <si>
    <t xml:space="preserve">110391</t>
  </si>
  <si>
    <t xml:space="preserve">110392</t>
  </si>
  <si>
    <t xml:space="preserve">Sold Ex-Works, UK Office , Part Number:9900-0003-06 , Secondary 
P/N:9900-0033-01</t>
  </si>
  <si>
    <t xml:space="preserve">110393</t>
  </si>
  <si>
    <t xml:space="preserve">Sold Ex-Works, UK Office , Part Number:9900-0003-31 , Secondary 
P/N:0995-00753</t>
  </si>
  <si>
    <t xml:space="preserve">110394</t>
  </si>
  <si>
    <t xml:space="preserve">110395</t>
  </si>
  <si>
    <t xml:space="preserve">110396</t>
  </si>
  <si>
    <t xml:space="preserve">110397</t>
  </si>
  <si>
    <t xml:space="preserve">RFS 700</t>
  </si>
  <si>
    <t xml:space="preserve">110398</t>
  </si>
  <si>
    <t xml:space="preserve">RFS 712</t>
  </si>
  <si>
    <t xml:space="preserve">Sold Ex-Works, UK Office , Part Number:232873-01</t>
  </si>
  <si>
    <t xml:space="preserve">110399</t>
  </si>
  <si>
    <t xml:space="preserve">Splitter 1k</t>
  </si>
  <si>
    <t xml:space="preserve">110400</t>
  </si>
  <si>
    <t xml:space="preserve">107758</t>
  </si>
  <si>
    <t xml:space="preserve">9900-0003-31</t>
  </si>
  <si>
    <t xml:space="preserve">107796</t>
  </si>
  <si>
    <t xml:space="preserve">RFPP</t>
  </si>
  <si>
    <t xml:space="preserve">7520572050 SE-091
 </t>
  </si>
  <si>
    <t xml:space="preserve">110401</t>
  </si>
  <si>
    <t xml:space="preserve">AM-10</t>
  </si>
  <si>
    <t xml:space="preserve">110402</t>
  </si>
  <si>
    <t xml:space="preserve">110403</t>
  </si>
  <si>
    <t xml:space="preserve">110404</t>
  </si>
  <si>
    <t xml:space="preserve">110405</t>
  </si>
  <si>
    <t xml:space="preserve">Sold Ex-Works, UK Office , Part Number:3150097-000</t>
  </si>
  <si>
    <t xml:space="preserve">110406</t>
  </si>
  <si>
    <t xml:space="preserve">110407</t>
  </si>
  <si>
    <t xml:space="preserve">Sold Ex-Works, UK Office , Part Number:7610807010</t>
  </si>
  <si>
    <t xml:space="preserve">110408</t>
  </si>
  <si>
    <t xml:space="preserve">110409</t>
  </si>
  <si>
    <t xml:space="preserve">Sold Ex-Works, UK Office , Part Number:AM-10 2800 GENUS</t>
  </si>
  <si>
    <t xml:space="preserve">110410</t>
  </si>
  <si>
    <t xml:space="preserve">110411</t>
  </si>
  <si>
    <t xml:space="preserve">Sold Ex-Works, UK Office , Part Number:AM-10-A37</t>
  </si>
  <si>
    <t xml:space="preserve">110412</t>
  </si>
  <si>
    <t xml:space="preserve">AM-10 Controller</t>
  </si>
  <si>
    <t xml:space="preserve">110413</t>
  </si>
  <si>
    <t xml:space="preserve">110414</t>
  </si>
  <si>
    <t xml:space="preserve">Sold Ex-Works, UK Office , Part Number:AM-20P</t>
  </si>
  <si>
    <t xml:space="preserve">110415</t>
  </si>
  <si>
    <t xml:space="preserve">RFPP </t>
  </si>
  <si>
    <t xml:space="preserve">AM-30 Controller</t>
  </si>
  <si>
    <t xml:space="preserve">Sold Ex-Works, UK Office , Part Number:8021319010</t>
  </si>
  <si>
    <t xml:space="preserve">110416</t>
  </si>
  <si>
    <t xml:space="preserve">AM-5</t>
  </si>
  <si>
    <t xml:space="preserve">Sold Ex-Works, UK Office , Part Number:7600001010</t>
  </si>
  <si>
    <t xml:space="preserve">110417</t>
  </si>
  <si>
    <t xml:space="preserve">Sold Ex-Works, UK Office , Part Number:WB-700</t>
  </si>
  <si>
    <t xml:space="preserve">110418</t>
  </si>
  <si>
    <t xml:space="preserve">AM-5 Controller</t>
  </si>
  <si>
    <t xml:space="preserve">Sold Ex-Works, UK Office , Part Number:AMNPS-2A</t>
  </si>
  <si>
    <t xml:space="preserve">110419</t>
  </si>
  <si>
    <t xml:space="preserve">AMN</t>
  </si>
  <si>
    <t xml:space="preserve">110420</t>
  </si>
  <si>
    <t xml:space="preserve">AMNPS-2A  Controller</t>
  </si>
  <si>
    <t xml:space="preserve">Sold Ex-Works, UK Office , Part Number:4080901</t>
  </si>
  <si>
    <t xml:space="preserve">110421</t>
  </si>
  <si>
    <t xml:space="preserve">Sold Ex-Works, UK Office , Part Number:3150302-000</t>
  </si>
  <si>
    <t xml:space="preserve">110422</t>
  </si>
  <si>
    <t xml:space="preserve">Sold Ex-Works, UK Office , Part Number:AMNPS -2A</t>
  </si>
  <si>
    <t xml:space="preserve">110423</t>
  </si>
  <si>
    <t xml:space="preserve">110424</t>
  </si>
  <si>
    <t xml:space="preserve">110425</t>
  </si>
  <si>
    <t xml:space="preserve">110426</t>
  </si>
  <si>
    <t xml:space="preserve">110427</t>
  </si>
  <si>
    <t xml:space="preserve">ICP20-P</t>
  </si>
  <si>
    <t xml:space="preserve">Sold Ex-Works, UK Office , Part Number:8511139050</t>
  </si>
  <si>
    <t xml:space="preserve">110428</t>
  </si>
  <si>
    <t xml:space="preserve">Sold Ex-Works, UK Office , Part Number:7520572050</t>
  </si>
  <si>
    <t xml:space="preserve">110429</t>
  </si>
  <si>
    <t xml:space="preserve">Sold Ex-Works, UK Office , Part Number:7520572050 , Secondary 
P/N:0920-01014</t>
  </si>
  <si>
    <t xml:space="preserve">110430</t>
  </si>
  <si>
    <t xml:space="preserve">110431</t>
  </si>
  <si>
    <t xml:space="preserve">Sold Ex-Works, UK Office , Part Number:7520572050 SE-091</t>
  </si>
  <si>
    <t xml:space="preserve">110432</t>
  </si>
  <si>
    <t xml:space="preserve">110433</t>
  </si>
  <si>
    <t xml:space="preserve">110434</t>
  </si>
  <si>
    <t xml:space="preserve">LF-5S</t>
  </si>
  <si>
    <t xml:space="preserve">110435</t>
  </si>
  <si>
    <t xml:space="preserve">Sold Ex-Works, UK Office , Part Number:3150272-007</t>
  </si>
  <si>
    <t xml:space="preserve">110436</t>
  </si>
  <si>
    <t xml:space="preserve">RF 25M</t>
  </si>
  <si>
    <t xml:space="preserve">Sold Ex-Works, UK Office , Part Number:660-096650-002E1 , Secondary 
P/N:7521968050</t>
  </si>
  <si>
    <t xml:space="preserve">110437</t>
  </si>
  <si>
    <t xml:space="preserve">RF 30H</t>
  </si>
  <si>
    <t xml:space="preserve">Sold Ex-Works, UK Office , Part Number:660-096649-001E1 , Secondary 
P/N:7522170170</t>
  </si>
  <si>
    <t xml:space="preserve">110438</t>
  </si>
  <si>
    <t xml:space="preserve">RF 50</t>
  </si>
  <si>
    <t xml:space="preserve">110439</t>
  </si>
  <si>
    <t xml:space="preserve">RF-20H Controller </t>
  </si>
  <si>
    <t xml:space="preserve">Sold Ex-Works, UK Office , Part Number:7910546020</t>
  </si>
  <si>
    <t xml:space="preserve">110440</t>
  </si>
  <si>
    <t xml:space="preserve">RF-20M</t>
  </si>
  <si>
    <t xml:space="preserve">Sold Ex-Works, UK Office , Part Number:7521403010</t>
  </si>
  <si>
    <t xml:space="preserve">110441</t>
  </si>
  <si>
    <t xml:space="preserve">RF20S</t>
  </si>
  <si>
    <t xml:space="preserve">Sold Ex-Works, UK Office , Part Number:RF-20SE</t>
  </si>
  <si>
    <t xml:space="preserve">110442</t>
  </si>
  <si>
    <t xml:space="preserve">RF-20S</t>
  </si>
  <si>
    <t xml:space="preserve">110443</t>
  </si>
  <si>
    <t xml:space="preserve">Sold Ex-Works, UK Office , Part Number:7511024020</t>
  </si>
  <si>
    <t xml:space="preserve">110444</t>
  </si>
  <si>
    <t xml:space="preserve">110445</t>
  </si>
  <si>
    <t xml:space="preserve">Sold Ex-Works, UK Office , Part Number:7511024070</t>
  </si>
  <si>
    <t xml:space="preserve">110446</t>
  </si>
  <si>
    <t xml:space="preserve">Sold Ex-Works, UK Office , Part Number:7520689130 , Secondary 
P/N:490-0002-2</t>
  </si>
  <si>
    <t xml:space="preserve">110447</t>
  </si>
  <si>
    <t xml:space="preserve">RF25M</t>
  </si>
  <si>
    <t xml:space="preserve">Sold Ex-Works, UK Office , Part Number:7521968050 , Secondary 
P/N:660-096650-001E1</t>
  </si>
  <si>
    <t xml:space="preserve">110448</t>
  </si>
  <si>
    <t xml:space="preserve">RF30H</t>
  </si>
  <si>
    <t xml:space="preserve">Sold Ex-Works, UK Office , Part Number:7522170170 , Secondary 
P/N:660-096649-001E1</t>
  </si>
  <si>
    <t xml:space="preserve">110449</t>
  </si>
  <si>
    <t xml:space="preserve">110450</t>
  </si>
  <si>
    <t xml:space="preserve">Sold Ex-Works, UK Office , Part Number:7520758011 , Secondary P/N:490-0530</t>
  </si>
  <si>
    <t xml:space="preserve">110451</t>
  </si>
  <si>
    <t xml:space="preserve">110452</t>
  </si>
  <si>
    <t xml:space="preserve">110453</t>
  </si>
  <si>
    <t xml:space="preserve">110454</t>
  </si>
  <si>
    <t xml:space="preserve">Sold Ex-Works, UK Office , Part Number:751031011</t>
  </si>
  <si>
    <t xml:space="preserve">110455</t>
  </si>
  <si>
    <t xml:space="preserve">Sold Ex-Works, UK Office , Part Number:7510313010</t>
  </si>
  <si>
    <t xml:space="preserve">110456</t>
  </si>
  <si>
    <t xml:space="preserve">110457</t>
  </si>
  <si>
    <t xml:space="preserve">Sold Ex-Works, UK Office , Part Number:7510313010 , Secondary P/N:490-0580</t>
  </si>
  <si>
    <t xml:space="preserve">110458</t>
  </si>
  <si>
    <t xml:space="preserve">110459</t>
  </si>
  <si>
    <t xml:space="preserve">Sold Ex-Works, UK Office , Part Number:751031301C</t>
  </si>
  <si>
    <t xml:space="preserve">109522</t>
  </si>
  <si>
    <t xml:space="preserve">7600001010</t>
  </si>
  <si>
    <t xml:space="preserve">Part Number: 3150005-001</t>
  </si>
  <si>
    <t xml:space="preserve">109523</t>
  </si>
  <si>
    <t xml:space="preserve">751031301F</t>
  </si>
  <si>
    <t xml:space="preserve">Part Number: 0920-01088</t>
  </si>
  <si>
    <t xml:space="preserve">109524</t>
  </si>
  <si>
    <t xml:space="preserve">I22050001AMNPS</t>
  </si>
  <si>
    <t xml:space="preserve">107768</t>
  </si>
  <si>
    <t xml:space="preserve">110460</t>
  </si>
  <si>
    <t xml:space="preserve">RFVII</t>
  </si>
  <si>
    <t xml:space="preserve">ATN-10</t>
  </si>
  <si>
    <t xml:space="preserve">110461</t>
  </si>
  <si>
    <t xml:space="preserve">ATN-50</t>
  </si>
  <si>
    <t xml:space="preserve">Sold Ex-Works, UK Office , Part Number:856-875-2121</t>
  </si>
  <si>
    <t xml:space="preserve">110462</t>
  </si>
  <si>
    <t xml:space="preserve">PT-II-CE Controller</t>
  </si>
  <si>
    <t xml:space="preserve">110463</t>
  </si>
  <si>
    <t xml:space="preserve">110464</t>
  </si>
  <si>
    <t xml:space="preserve">Sold Ex-Works, UK Office , Part Number:RF-20-XIII</t>
  </si>
  <si>
    <t xml:space="preserve">106868</t>
  </si>
  <si>
    <t xml:space="preserve">Riber ®</t>
  </si>
  <si>
    <t xml:space="preserve">MBE 32</t>
  </si>
  <si>
    <t xml:space="preserve">Molecular Beam Epitaxy system for R and D</t>
  </si>
  <si>
    <t xml:space="preserve">-Currently deinstalled, and has been dis-assembled
-Sold strictly "as is", EXW terms.
-Buyer responsible for any required decontamination.
Vintage: Mar 1999
Configuration:
RIBER 32 for As-III-based semiconductors
Using this equipment, layer structures can be built up for semiconductors 
based on group III arsenides [GaAs(N,Sb), InGaAs(N,Sb), AlGaAs(N,Sb)], with 
atomic resolution (individual atomic layers in various materials) and with 
highly precise control of flatness and thickness. This enables quantum well 
and quantum dot devices to be made.
The equipment allows many different devices to be developed, such as light 
emitters (LED, LASER, Single photon emitters), filters, modulators, diodes, 
transistors or light detectors. It is the basic equipment where material is 
made which is used in the remaining processes and, therefore, is the 
beginning of the entire manufacturing chain for any electro-optical device.
Apart from making light emitters and photodetectors, the equipment is 
highly suited for use in quantum communications, as it is capable of making 
light emitting and detecting structures that are essential for this type of 
communications. Depending on the type of materials used, its wave length in 
use extends from 620nm up to approximately 20 µm in the IR-visible.
Area of application: Electronics, Optics, Optoelectronics, Quantum 
communications.
The key advantage of growth with MBE is that its resolution is +/- 1 atomic 
layer (approximately +/- 5 nm) It has several systems for monitoring 
material quality in-situ. Amongst them, one of the highlights is RHEED 
(Reflection High Energy Electron Diffraction) which enables analysis of the 
crystal's growth facet while progressing and assessing its quality, growth 
speed and thickness, as well as detecting the appearance of quantum dots on 
the surface.
Substances run and modules present:
Sb Cracker
As Cracker
P Cracker
Sb Bulk
As Bulk
P Bulk
In
Ga
Al
GaTe
Be
Si
RHEED
Tubos: Pfeiffer
Temp controllers: Elterm24
Cryo Pumps: CTI 9600 with Onboard 8
See attached photos for details of the current condition. Inspection is 
welcomed by appointment.</t>
  </si>
  <si>
    <t xml:space="preserve">108865</t>
  </si>
  <si>
    <t xml:space="preserve">RIGAKU </t>
  </si>
  <si>
    <t xml:space="preserve">V300</t>
  </si>
  <si>
    <t xml:space="preserve">Total Reflection Xray Fluoroescence Spectrometer</t>
  </si>
  <si>
    <t xml:space="preserve">108194</t>
  </si>
  <si>
    <t xml:space="preserve">RIGAKU</t>
  </si>
  <si>
    <t xml:space="preserve">3640</t>
  </si>
  <si>
    <t xml:space="preserve"> WAFER/DISK Analyzer</t>
  </si>
  <si>
    <t xml:space="preserve">91557</t>
  </si>
  <si>
    <t xml:space="preserve">XRF3640 (Handle include)</t>
  </si>
  <si>
    <t xml:space="preserve">Wafer/ Disk Analyzer</t>
  </si>
  <si>
    <t xml:space="preserve">98731</t>
  </si>
  <si>
    <t xml:space="preserve">Rofin</t>
  </si>
  <si>
    <t xml:space="preserve">PowerLine D-100 (RSM, Sx)</t>
  </si>
  <si>
    <t xml:space="preserve">Fiber Laser for solar cell edge isolation</t>
  </si>
  <si>
    <t xml:space="preserve">Dimensions (WxHxD): 60x112x80 + 135x182x220</t>
  </si>
  <si>
    <t xml:space="preserve">106985</t>
  </si>
  <si>
    <t xml:space="preserve">Powerline L100 SHG</t>
  </si>
  <si>
    <t xml:space="preserve">YAG laser Ablation system 532 nm</t>
  </si>
  <si>
    <t xml:space="preserve">The Rofin Powerline L series are laser systems for high-speed material 
processing and PV applications.
The PowerLine L series was specifically designed for material processing 
applications requiring high average power and high pulse energy. Examples 
are thin film removal on glass and flexible materials, silicon processing, 
material ablation and surface treatment. The Nd:YAG lasers are efficiently 
diode pumped and designed for industrially reliable 24/7 operation. The 
laser sources are available at 1064 nm (PowerLine L 400) and 532 nm 
(PowerLine L 100 SHG). Standard configuration includes a fiber delivery to 
the processing head. The 532 nm uses a high performance SHG assembly with 
intracavity harmonic generator crystalfor highly efficient frequency 
conversion.
-Used in R and D lab - Has CE mark and set up for European voltage use.
-Dismantled from equipment (Automated Xy table)
-Machine was used for a short period of time roughly 200hrs
-In perfect operating conditions and covered by regular maintenance 
activities before removal
-See brochure attached</t>
  </si>
  <si>
    <t xml:space="preserve">53053</t>
  </si>
  <si>
    <t xml:space="preserve">Rorze</t>
  </si>
  <si>
    <t xml:space="preserve">RR304L90</t>
  </si>
  <si>
    <t xml:space="preserve">Wafer handling robot, with 5 ceramic robot blades</t>
  </si>
  <si>
    <t xml:space="preserve">Model RORZE RR304L90 , with 5 ceramic fingers, five wafers at time
In excellent condition. Removed from a working tool.
Will ship to you from our warehouse in Avezzano 67051 Italy.</t>
  </si>
  <si>
    <t xml:space="preserve">106826</t>
  </si>
  <si>
    <t xml:space="preserve">RV201</t>
  </si>
  <si>
    <t xml:space="preserve">Load Port</t>
  </si>
  <si>
    <t xml:space="preserve">106827</t>
  </si>
  <si>
    <t xml:space="preserve">RR701L1521-3A3-111-3</t>
  </si>
  <si>
    <t xml:space="preserve">106828</t>
  </si>
  <si>
    <t xml:space="preserve">RR713L1521-3A3-E13(E11)-1</t>
  </si>
  <si>
    <t xml:space="preserve">106829</t>
  </si>
  <si>
    <t xml:space="preserve">RR717L1521</t>
  </si>
  <si>
    <t xml:space="preserve">106830</t>
  </si>
  <si>
    <t xml:space="preserve">Wafer sorter with RR717L1521 robot</t>
  </si>
  <si>
    <t xml:space="preserve">wafer sorter for 300mm wafer</t>
  </si>
  <si>
    <t xml:space="preserve">De-installed, warehoused. Can be inspected by appointment.
2 port sorter. See attached photos showing layout and condition before it 
was deinstalled.</t>
  </si>
  <si>
    <t xml:space="preserve">103552</t>
  </si>
  <si>
    <t xml:space="preserve">RORZE</t>
  </si>
  <si>
    <t xml:space="preserve">RASS300F</t>
  </si>
  <si>
    <t xml:space="preserve">Wafer Sorter / 4Foup type</t>
  </si>
  <si>
    <t xml:space="preserve">83881</t>
  </si>
  <si>
    <t xml:space="preserve">BERC-RD023MS</t>
  </si>
  <si>
    <t xml:space="preserve">2P MICRO STEP DRIVER</t>
  </si>
  <si>
    <t xml:space="preserve">VF C5622</t>
  </si>
  <si>
    <t xml:space="preserve">RD-023MS
2P MICRO STEP DRIVER
DC18V-40V
WEIGHT: 250 GR.
DIMENSION:11 CM. X 6 CM. X 3 CM.(H)FOR EACH
</t>
  </si>
  <si>
    <t xml:space="preserve">91574</t>
  </si>
  <si>
    <t xml:space="preserve">RSC242</t>
  </si>
  <si>
    <t xml:space="preserve">De-installed, warehoused. Can be inspected by appointment.
See attached photos for details.
Cleanliness: &lt;0.01@0.12µ
Reliability: MTBF&gt;1,500hr. with maintenance-free robot
Accuracy (Repeatable data X/Y: +/-0.036mm 3σ)
Product features
Consist of high speed with minimum space, vibration and noise.
SEMI M12, T7 and M1.15 compliant.
It can read on both sides of the wafer. (Top and Reverse side)
A combination of optical and image processing provides a high resolution 
for ID recognition.
Cleanliness is achieved through the usage of Ferro-fluid seal and a fully 
enclosed drum cover.
Based on the visible airflow analysis, a pressure separation plate was 
installed to aid in decreasing particle generation within the transfer 
area. (Not applicable to all models)
By using a dual arm robot, wafer exchange on the process stage can take 
place simultaneously.</t>
  </si>
  <si>
    <t xml:space="preserve">91575</t>
  </si>
  <si>
    <t xml:space="preserve">98490</t>
  </si>
  <si>
    <t xml:space="preserve">RR701L1521-3A3-111-2</t>
  </si>
  <si>
    <t xml:space="preserve">98491</t>
  </si>
  <si>
    <t xml:space="preserve">RR701L90-Z20-616</t>
  </si>
  <si>
    <t xml:space="preserve">106188</t>
  </si>
  <si>
    <t xml:space="preserve">RR713L1521-3A3-E11-0</t>
  </si>
  <si>
    <t xml:space="preserve">Dual arm Atmospheric wafer handling robot with controller</t>
  </si>
  <si>
    <t xml:space="preserve">De-installed, warehoused. Can be inspected by appointment.
In working condition. Includes the robot and the controller.
The cables linking the robot and controller are also included. The 
controller is Model CURR-2643-2 s/n UA01925.
Leadtime: 4 weeks from receipt of the payment.</t>
  </si>
  <si>
    <t xml:space="preserve">81835</t>
  </si>
  <si>
    <t xml:space="preserve">Rosemont Analytical</t>
  </si>
  <si>
    <t xml:space="preserve">1055-01-11-22</t>
  </si>
  <si>
    <t xml:space="preserve">PH Monitor Solucomp II</t>
  </si>
  <si>
    <t xml:space="preserve">    Used Treatment PH Monitor, Solu Comp II
Model 1055-01-11-22
SW V 3.29
w/some short power cables
good condition, removed from working service and stored in our Boerne, TX 
warehouse
 </t>
  </si>
  <si>
    <t xml:space="preserve">56813</t>
  </si>
  <si>
    <t xml:space="preserve">Roth &amp; Rau</t>
  </si>
  <si>
    <t xml:space="preserve">SiNA (Spare Parts)</t>
  </si>
  <si>
    <t xml:space="preserve">Spare Parts from PECVD system for deposition of Silicon Nitride</t>
  </si>
  <si>
    <t xml:space="preserve">Spare parts taken from PECVD system - List available on request.
Roth &amp; Rau SiNA Plus - Component
Quantity
Manual
AEG_thyristor_typ_3A
1
Yes
AEG_thyristor_typ1A&amp;2A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</si>
  <si>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 xml:space="preserve">108866</t>
  </si>
  <si>
    <t xml:space="preserve">ROYCE INSTRUMENTS</t>
  </si>
  <si>
    <t xml:space="preserve">ASTM-2kg</t>
  </si>
  <si>
    <t xml:space="preserve">Die Shear Load Cell</t>
  </si>
  <si>
    <t xml:space="preserve">108867</t>
  </si>
  <si>
    <t xml:space="preserve">ASTM-50g</t>
  </si>
  <si>
    <t xml:space="preserve">Wire Pull Load Cell</t>
  </si>
  <si>
    <t xml:space="preserve">108868</t>
  </si>
  <si>
    <t xml:space="preserve">ASTM-200g</t>
  </si>
  <si>
    <t xml:space="preserve">108869</t>
  </si>
  <si>
    <t xml:space="preserve">108870</t>
  </si>
  <si>
    <t xml:space="preserve">108871</t>
  </si>
  <si>
    <t xml:space="preserve">STM-20kg</t>
  </si>
  <si>
    <t xml:space="preserve">108872</t>
  </si>
  <si>
    <t xml:space="preserve">System 550 100K</t>
  </si>
  <si>
    <t xml:space="preserve">Die Shear/Bond Pull Tester with RPTM 50g Wire Pull Load Cell, ASTM-200g, ASTM 2K, STM 20K &amp; STM 100K  Shear Test Load Cells, Collection of Workholders </t>
  </si>
  <si>
    <t xml:space="preserve">108873</t>
  </si>
  <si>
    <t xml:space="preserve">Die Shear Workholder</t>
  </si>
  <si>
    <t xml:space="preserve">108034</t>
  </si>
  <si>
    <t xml:space="preserve">RUDOLPH</t>
  </si>
  <si>
    <t xml:space="preserve">AXI-S930B</t>
  </si>
  <si>
    <t xml:space="preserve">109570</t>
  </si>
  <si>
    <t xml:space="preserve">Rudolph</t>
  </si>
  <si>
    <t xml:space="preserve">WaferView 320</t>
  </si>
  <si>
    <t xml:space="preserve">Macro Wafer Defect Inspection System</t>
  </si>
  <si>
    <t xml:space="preserve">94478</t>
  </si>
  <si>
    <t xml:space="preserve">FE-3</t>
  </si>
  <si>
    <t xml:space="preserve">Focus Ellipsometer </t>
  </si>
  <si>
    <t xml:space="preserve">94479</t>
  </si>
  <si>
    <t xml:space="preserve">FE-4D</t>
  </si>
  <si>
    <t xml:space="preserve">98835</t>
  </si>
  <si>
    <t xml:space="preserve">AXI-S</t>
  </si>
  <si>
    <t xml:space="preserve">Macro Wafer Inspection</t>
  </si>
  <si>
    <t xml:space="preserve">Configuration available upon request.</t>
  </si>
  <si>
    <t xml:space="preserve">98837</t>
  </si>
  <si>
    <t xml:space="preserve">MP1-300XCU</t>
  </si>
  <si>
    <t xml:space="preserve">108587</t>
  </si>
  <si>
    <t xml:space="preserve">100928</t>
  </si>
  <si>
    <t xml:space="preserve">Macro Inspection System</t>
  </si>
  <si>
    <t xml:space="preserve">100929</t>
  </si>
  <si>
    <t xml:space="preserve">FE-7</t>
  </si>
  <si>
    <t xml:space="preserve">Ellipsometer </t>
  </si>
  <si>
    <t xml:space="preserve">100930</t>
  </si>
  <si>
    <t xml:space="preserve">MP300</t>
  </si>
  <si>
    <t xml:space="preserve">Film thickness measurement</t>
  </si>
  <si>
    <t xml:space="preserve">100931</t>
  </si>
  <si>
    <t xml:space="preserve">100932</t>
  </si>
  <si>
    <t xml:space="preserve">S3000A</t>
  </si>
  <si>
    <t xml:space="preserve">Focused Beam Ellipsometer</t>
  </si>
  <si>
    <t xml:space="preserve">106831</t>
  </si>
  <si>
    <t xml:space="preserve">Rudolph </t>
  </si>
  <si>
    <t xml:space="preserve">MP200XCU</t>
  </si>
  <si>
    <t xml:space="preserve">Cu Film thickness measurement</t>
  </si>
  <si>
    <t xml:space="preserve">106832</t>
  </si>
  <si>
    <t xml:space="preserve">Metal Film thickness measurement</t>
  </si>
  <si>
    <t xml:space="preserve">106833</t>
  </si>
  <si>
    <t xml:space="preserve">MP300 XCu</t>
  </si>
  <si>
    <t xml:space="preserve">106871</t>
  </si>
  <si>
    <t xml:space="preserve">Automated Wafer, Die and Bump Inspection System</t>
  </si>
  <si>
    <t xml:space="preserve">Dimensions on base: 72 in x 72 in x 80 in h , 2420 lbs
Has CE mark
Deinstalled and warehoused.
See photos for details.
Inspection is welcomed by appointment.
Manual loading.
 </t>
  </si>
  <si>
    <t xml:space="preserve">103553</t>
  </si>
  <si>
    <t xml:space="preserve">Macro Inspection</t>
  </si>
  <si>
    <t xml:space="preserve">103554</t>
  </si>
  <si>
    <t xml:space="preserve">AXI935D</t>
  </si>
  <si>
    <t xml:space="preserve">AVI</t>
  </si>
  <si>
    <t xml:space="preserve">103555</t>
  </si>
  <si>
    <t xml:space="preserve">MP3 300XCU</t>
  </si>
  <si>
    <t xml:space="preserve">FLIM THICKNESS MEASUREMENT SYSTEM</t>
  </si>
  <si>
    <t xml:space="preserve">108195</t>
  </si>
  <si>
    <t xml:space="preserve">META PULSE 200</t>
  </si>
  <si>
    <t xml:space="preserve">108196</t>
  </si>
  <si>
    <t xml:space="preserve">108197</t>
  </si>
  <si>
    <t xml:space="preserve">META PULSE 200X CU</t>
  </si>
  <si>
    <t xml:space="preserve">Film thickness measurement
(Including HDD)</t>
  </si>
  <si>
    <t xml:space="preserve">108198</t>
  </si>
  <si>
    <t xml:space="preserve">91559</t>
  </si>
  <si>
    <t xml:space="preserve">RUDOLPH </t>
  </si>
  <si>
    <t xml:space="preserve">AXI_S</t>
  </si>
  <si>
    <t xml:space="preserve">108199</t>
  </si>
  <si>
    <t xml:space="preserve">META PULSE II 200X CU</t>
  </si>
  <si>
    <t xml:space="preserve">108711</t>
  </si>
  <si>
    <t xml:space="preserve">Sonus 7800</t>
  </si>
  <si>
    <t xml:space="preserve">Acoustic Metrology and Defect Detection System</t>
  </si>
  <si>
    <t xml:space="preserve">Rudolph Technologies has introduced the SONUS Technology for measuring 
thick films and film stacks used in copper pillar bumps and for detecting 
defects such as voids in through silicon vias TSVs ). Copper pillar bumps 
are a critical component of many advanced packaging technologies and TSVs 
provide a means for signals to pass through multiple vertically stacked 
chips in three dimensional integrated circuits (3DIC). The SONUS Technology 
is non-contact and non- destructive , and is designed to provide faster , 
less costly measurements and greater sensitivity to smaller defects than 
existing alternatives such as X- ray tomography and acoustic microscopy.</t>
  </si>
  <si>
    <t xml:space="preserve">91560</t>
  </si>
  <si>
    <t xml:space="preserve">108200</t>
  </si>
  <si>
    <t xml:space="preserve">MP200</t>
  </si>
  <si>
    <t xml:space="preserve">91561</t>
  </si>
  <si>
    <t xml:space="preserve">91563</t>
  </si>
  <si>
    <t xml:space="preserve">Meta Pulse </t>
  </si>
  <si>
    <t xml:space="preserve">Film Metrology</t>
  </si>
  <si>
    <t xml:space="preserve">91566</t>
  </si>
  <si>
    <t xml:space="preserve">WS3840</t>
  </si>
  <si>
    <t xml:space="preserve">3D Bump Metrology</t>
  </si>
  <si>
    <t xml:space="preserve">91567</t>
  </si>
  <si>
    <t xml:space="preserve">Surface Film Metrology</t>
  </si>
  <si>
    <t xml:space="preserve">De-installed, warehoused. Can be inspected by appointment.
Please refer to the attached photos to see details regarding the current 
equipment condition and storage location.</t>
  </si>
  <si>
    <t xml:space="preserve">106420</t>
  </si>
  <si>
    <t xml:space="preserve">NSX 115</t>
  </si>
  <si>
    <t xml:space="preserve">Automated Defect Inspection</t>
  </si>
  <si>
    <t xml:space="preserve">106421</t>
  </si>
  <si>
    <t xml:space="preserve">NSX 95</t>
  </si>
  <si>
    <t xml:space="preserve">Automated Macro Defect Inspection </t>
  </si>
  <si>
    <t xml:space="preserve">106422</t>
  </si>
  <si>
    <t xml:space="preserve">NSX-105</t>
  </si>
  <si>
    <t xml:space="preserve">Automated Defect Inspection </t>
  </si>
  <si>
    <t xml:space="preserve">106424</t>
  </si>
  <si>
    <t xml:space="preserve">106425</t>
  </si>
  <si>
    <t xml:space="preserve">Manual Macro Wafer Defect Inspection</t>
  </si>
  <si>
    <t xml:space="preserve">108482</t>
  </si>
  <si>
    <t xml:space="preserve">108483</t>
  </si>
  <si>
    <t xml:space="preserve">Matrix S-300</t>
  </si>
  <si>
    <t xml:space="preserve">108484</t>
  </si>
  <si>
    <t xml:space="preserve">108485</t>
  </si>
  <si>
    <t xml:space="preserve">106715</t>
  </si>
  <si>
    <t xml:space="preserve"> MP3_300A</t>
  </si>
  <si>
    <t xml:space="preserve">METAL THICKNESS MEASUREMENT</t>
  </si>
  <si>
    <t xml:space="preserve">106716</t>
  </si>
  <si>
    <t xml:space="preserve">MP-300</t>
  </si>
  <si>
    <t xml:space="preserve">106717</t>
  </si>
  <si>
    <t xml:space="preserve">MP1-300</t>
  </si>
  <si>
    <t xml:space="preserve">106718</t>
  </si>
  <si>
    <t xml:space="preserve">106719</t>
  </si>
  <si>
    <t xml:space="preserve">Film thickness measurement system</t>
  </si>
  <si>
    <t xml:space="preserve">106720</t>
  </si>
  <si>
    <t xml:space="preserve">MACRO DEFECT INSPECTION SYSTEM</t>
  </si>
  <si>
    <t xml:space="preserve">106721</t>
  </si>
  <si>
    <t xml:space="preserve">FBE(focused beam laser ellipsometry)</t>
  </si>
  <si>
    <t xml:space="preserve">106722</t>
  </si>
  <si>
    <t xml:space="preserve">106723</t>
  </si>
  <si>
    <t xml:space="preserve">106724</t>
  </si>
  <si>
    <t xml:space="preserve">106725</t>
  </si>
  <si>
    <t xml:space="preserve">S3000S</t>
  </si>
  <si>
    <t xml:space="preserve">106726</t>
  </si>
  <si>
    <t xml:space="preserve">106727</t>
  </si>
  <si>
    <t xml:space="preserve">WS2500</t>
  </si>
  <si>
    <t xml:space="preserve">106728</t>
  </si>
  <si>
    <t xml:space="preserve">106729</t>
  </si>
  <si>
    <t xml:space="preserve">106730</t>
  </si>
  <si>
    <t xml:space="preserve">106731</t>
  </si>
  <si>
    <t xml:space="preserve">106732</t>
  </si>
  <si>
    <t xml:space="preserve">106733</t>
  </si>
  <si>
    <t xml:space="preserve">106734</t>
  </si>
  <si>
    <t xml:space="preserve">Macro Defect Inspection System</t>
  </si>
  <si>
    <t xml:space="preserve">109550</t>
  </si>
  <si>
    <t xml:space="preserve">106735</t>
  </si>
  <si>
    <t xml:space="preserve">98296</t>
  </si>
  <si>
    <t xml:space="preserve">Meta Pulse 300</t>
  </si>
  <si>
    <t xml:space="preserve">98297</t>
  </si>
  <si>
    <t xml:space="preserve">98298</t>
  </si>
  <si>
    <t xml:space="preserve">110465</t>
  </si>
  <si>
    <t xml:space="preserve">Sairem</t>
  </si>
  <si>
    <t xml:space="preserve">MU Controller</t>
  </si>
  <si>
    <t xml:space="preserve">Sold Ex-Works, UK Office , Part Number:CBA-PL/E</t>
  </si>
  <si>
    <t xml:space="preserve">79602</t>
  </si>
  <si>
    <t xml:space="preserve">Salon Teknopaja OY</t>
  </si>
  <si>
    <t xml:space="preserve">PWB </t>
  </si>
  <si>
    <t xml:space="preserve">Printed Wire Board Level Drop Tester with Solder Joint Reliability tester</t>
  </si>
  <si>
    <t xml:space="preserve">-Deinstalled, warehoused.
-In working condition
-See photos for details
-Available for immediate consignment
-Can be inspected by appointment
-Located in Avezzano 67051 Italy
-For drop testing of cell phone PCBs
-The drop tester determines the reliability of the PWC (Printed wiring 
board) against mechanical shock.
-Max drop height 1600 mm
-Test control In calibration mode controlled by touch screen; in testing
mode controlled by Windows PC and the Event Detector software
-Catcher which eliminates the rebound, also possible to switch off
-Test method by Jedec standard and others. Tested with the following
values of acceleration peak (G)/ pulse duration (ms): 2900 G/ 0.3 ms,
2000 G/ 0.4 ms and 1500 G/ 0.5 ms)
-Size of the standard test board Maximum 170 mm x 90 mm
-Safety CE Compliant
-Includes Analysis Tech 128 STD Event Detector
-Manufactured by:
Salon Teknopaja OY
Peramiehenkatu 12
24100 Salo
Finland
Board (PCB) Level Drop Test Method of Components for Handheld Electronic 
Products
    * for IC component
    * for audio etc component
- Meet Jedec Standard JESD22-B111
- Mechanical Shock Pulse to 5000 G peak acceleration
- User friendly interface - Easy to use
- Supports continous measurement and automatic repeatability efficiently
- Designed for Hard Professional Use
Shipping Information:
Dimensions: 2100 mm x  400 mm x 300 mm weight 00 kg
Information about the Analysis Tech 128 STD Event Detector:-
STD Event Detectors:
Electrical Monitors for
Solder Joint Reliability Testing
  	The STD Series Event Detectors offer test specifications associated with 
solder joint reliability testing but can also be used for testing other 
types of interconnects accordingly. Like other Event Detectors, the STD 
series provides continuous transient resistance detection referenced to a 
selected threshold resistance with a high degree of electrical noise 
immunity.
The STD SThe STD Event Detectors feature WinDatalog Software for data 
collection and analysis.
[256std-pic2]Features
▪ 	Threshold Resistance Range: 100 to 5,000 ohms, user adjustable
▪ 	Minimum Event Duration: 200 nanoseconds, fixed
▪ 	Channel Sense Current: less than 1.2mA, fixed
▪ 	Systems has 128 channels
▪ 	 
Features Included with All Event Detectors
▪ 	WinDatalog, data collection/analysis software
▪ 	Temperature Module &lt;http://www.analysistech.com/event-temp-module.htm&gt; 
(with communication cable and connectors)
▪ 	RS232C serial data transmission to PC computer (cable included)
▪ 	Linkable with other Event Detectors (linking cable required)
▪ 	Test input cables (10 foot length)
▪ 	 
The STD Event Detectors simultaneously monitor individual continuity loops 
with independent sense-currents flowing in each loop. The detection speed 
and resistance threshold range make the STD series ideal for solder-joint 
reliability studies. Such tests typically use "daisy chain" solder joints 
in wire-bonded packages mounted on special test-PCBs. These test boards are 
then thermally cycled, vibrated, shock-dropped, or mechanically flexed 
while being monitored with Event Detectors. The initial, short duration, 
intermittent failures of the joints are detected and recorded automatically 
with the cycle number, time, and date. With this technique, variations in 
interconnect design and soldering process parameters can be evaluated by 
direct comparison of test results. This type of electrical monitoring has 
proven to be far more reliable and less expensive than visual detection of 
solder joint failure.
STD Event Detectors are normally supplied with a single, common Threshold 
Resistance (Vref) adjustment for all channels. A Multiple Threshold 
Resistance Adjustment option is available for STD Event Detectors that 
provides a separate resistance threshold setting for each bank of 64 
channels. STD Event Detectors can also use the STD Wiring Harness for 
convenient sample wiring and setup.
Electrical Specifications
Threshold Resistance Range 	100 to 400 ohms (low),
300 to 5000 ohms (high)
Channel Current-Source Max Compliance 	0.6 volts(low) / 9.8 volts (high)
Maximum Channel Sense Current 	1.2 mA maximum
Typical Threshold Resistance Tolerance 	+/- 4%
Maximum Threshold Resistance Tolerance 	+/- 10%
Nominal Event Duration Sensitivity 	200 nS
Typical Minimum Event Sensitivity Tolerance 	+/- 10%
Supply Voltage 	120VAC, 60Hz, 3 amps (unless otherwise specified)
Input Cables 	Standard: PVC ribbon cable, 105 °C max
Optional: Hi-temperature cable, 200 °C max
Dimensions 	6.5" H x 16.5" W x 12" D
Weight 	20 lbs
STD Event Detector Systems include: WinDatalog Software, test input cables 
(10 ft long, PVC insulated) single-ended, serial communication cable, 
complete instruction manual,
 </t>
  </si>
  <si>
    <t xml:space="preserve">98495</t>
  </si>
  <si>
    <t xml:space="preserve">SAMCO</t>
  </si>
  <si>
    <t xml:space="preserve">PD3800</t>
  </si>
  <si>
    <t xml:space="preserve">LED – pecvd system</t>
  </si>
  <si>
    <t xml:space="preserve">50mm to 200mm</t>
  </si>
  <si>
    <t xml:space="preserve">Very well maintained with no missing parts.
Configured for 150mm but can be configured for 50 - 200mm depending on the 
process kits.
Deinstalled, warehoused. Can be inspected by appointment</t>
  </si>
  <si>
    <t xml:space="preserve">98496</t>
  </si>
  <si>
    <t xml:space="preserve">RIE-212 IPC</t>
  </si>
  <si>
    <t xml:space="preserve">LED Reactive Ion Etcher</t>
  </si>
  <si>
    <t xml:space="preserve">50/100mm</t>
  </si>
  <si>
    <t xml:space="preserve">106736</t>
  </si>
  <si>
    <t xml:space="preserve">RIE-300NR</t>
  </si>
  <si>
    <t xml:space="preserve">Reactive Ion Etching System</t>
  </si>
  <si>
    <t xml:space="preserve">106737</t>
  </si>
  <si>
    <t xml:space="preserve">84373</t>
  </si>
  <si>
    <t xml:space="preserve">SAMSUNG</t>
  </si>
  <si>
    <t xml:space="preserve">MR16R0828AN1-CKB</t>
  </si>
  <si>
    <t xml:space="preserve">128 MB/8 RAM</t>
  </si>
  <si>
    <t xml:space="preserve">SAMSUNG 800-45 100
WEIGHT: 50 GR.
DIMENSION: 3 X 0,3 CM X 13 (H)
FOR EACH
</t>
  </si>
  <si>
    <t xml:space="preserve">79889</t>
  </si>
  <si>
    <t xml:space="preserve">Sanitas EG</t>
  </si>
  <si>
    <t xml:space="preserve">Multilevel </t>
  </si>
  <si>
    <t xml:space="preserve">LOCATED AT AVEZZANO ITALY
DEINSTALLED WAREHOUSED
CAN BE INSPECTED BY APPOINTMENT
IN GOOD WORKING CONDITION</t>
  </si>
  <si>
    <t xml:space="preserve">86303</t>
  </si>
  <si>
    <t xml:space="preserve">Sankei Giken</t>
  </si>
  <si>
    <t xml:space="preserve">TCW-12000 CV</t>
  </si>
  <si>
    <t xml:space="preserve">See attached photos for details
3 phase 200 V 50/60 Hz 18/20 KVA
</t>
  </si>
  <si>
    <t xml:space="preserve">106206</t>
  </si>
  <si>
    <t xml:space="preserve">SANYO DENKI</t>
  </si>
  <si>
    <t xml:space="preserve">RBA2C-202</t>
  </si>
  <si>
    <t xml:space="preserve">SERVO DRIVER MODULE</t>
  </si>
  <si>
    <t xml:space="preserve">QTY 2 Available. Sanyo Denki RBA2C-202  Super Robustsyn Servo Driver Module
See attached photos for details</t>
  </si>
  <si>
    <t xml:space="preserve">83634</t>
  </si>
  <si>
    <t xml:space="preserve">SCANLAB</t>
  </si>
  <si>
    <t xml:space="preserve">RTC 2 Type XY-01</t>
  </si>
  <si>
    <t xml:space="preserve">PC INTERFACE BOARD</t>
  </si>
  <si>
    <t xml:space="preserve">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</si>
  <si>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t>
  </si>
  <si>
    <t xml:space="preserve">83836</t>
  </si>
  <si>
    <t xml:space="preserve">SCFH AIR</t>
  </si>
  <si>
    <t xml:space="preserve">100 PSIG</t>
  </si>
  <si>
    <t xml:space="preserve">10420
SCFH AIR
100 PSIG MAX
</t>
  </si>
  <si>
    <t xml:space="preserve">100709</t>
  </si>
  <si>
    <t xml:space="preserve">Schroff</t>
  </si>
  <si>
    <t xml:space="preserve">PSM 115</t>
  </si>
  <si>
    <t xml:space="preserve">Power Supply Unit</t>
  </si>
  <si>
    <t xml:space="preserve">Configuration and pictures available upon request</t>
  </si>
  <si>
    <t xml:space="preserve">106661</t>
  </si>
  <si>
    <t xml:space="preserve">SDI</t>
  </si>
  <si>
    <t xml:space="preserve">FAAST 230-DP+SPV+SLIC</t>
  </si>
  <si>
    <t xml:space="preserve">CARRIER LIFETIME MEASUREMENT</t>
  </si>
  <si>
    <t xml:space="preserve">107012</t>
  </si>
  <si>
    <t xml:space="preserve">SEC Semiconductor Equipment Corp.</t>
  </si>
  <si>
    <t xml:space="preserve">3100</t>
  </si>
  <si>
    <t xml:space="preserve">Manual wafer taper</t>
  </si>
  <si>
    <t xml:space="preserve">Deinstalled, warehoused. Was working before removal
    * Up to 6" wafer capability standard.
    * Accepts all film frames
    * Manual tape feed.
    * Manual tape tensioner.
    * Compatible with standard or interleaved tape.
    * Vacuum stage wafer hold-down., adjustable to 60 º C. maximum.
    * Built in peeler assembly for tape separation. 
    * Captive roller assembly assures consistent wafer/film frame contact
      pressure.
    * Adjustable spring loaded platen for optimum contact pressure.
Located in Europe. This therefore has European voltage set up and CE mark.</t>
  </si>
  <si>
    <t xml:space="preserve">106740</t>
  </si>
  <si>
    <t xml:space="preserve">SECRON</t>
  </si>
  <si>
    <t xml:space="preserve">IP 300</t>
  </si>
  <si>
    <t xml:space="preserve">84387</t>
  </si>
  <si>
    <t xml:space="preserve">SEEKA</t>
  </si>
  <si>
    <t xml:space="preserve">UM-T50DT</t>
  </si>
  <si>
    <t xml:space="preserve">UM-T50DT LOT NO. 512H,511H 2 PIECES
UM-R5T LOT NO. 51OH 2 PIECES
UM-T50DS LOT NO.62H,61J 1 PIECE
WEIGHT: 110 GR.
DIMENSION: 9 X 9 X 2 (H)
THE PRICE IS FOR EACH</t>
  </si>
  <si>
    <t xml:space="preserve">21521</t>
  </si>
  <si>
    <t xml:space="preserve">Seiko</t>
  </si>
  <si>
    <t xml:space="preserve">SDI 4000</t>
  </si>
  <si>
    <t xml:space="preserve">operation manual for SDI 4000 Semiconductor process evaluation SEM</t>
  </si>
  <si>
    <t xml:space="preserve">ORIGINAL MANUAL NON-CLEANROOM PAPER</t>
  </si>
  <si>
    <t xml:space="preserve">52191</t>
  </si>
  <si>
    <t xml:space="preserve">Seiko Seiki</t>
  </si>
  <si>
    <t xml:space="preserve">SCU 301H</t>
  </si>
  <si>
    <t xml:space="preserve">Turbo Pump  Controller Unit</t>
  </si>
  <si>
    <t xml:space="preserve">Turbo Molecular pump Controller
6 kg 24 cm x 41 cm x 14 cm
in excellent working condition</t>
  </si>
  <si>
    <t xml:space="preserve">71921</t>
  </si>
  <si>
    <t xml:space="preserve">SCU-1000C</t>
  </si>
  <si>
    <t xml:space="preserve">Controller for Seiko Seiki STP 1000C Turbo pump</t>
  </si>
  <si>
    <t xml:space="preserve">For Axcelis GSD 200 implanter.
Used , working condition
1200 VA
50/60 HZ 1 PHASE 200-240 VAC
WEIGHT 21 KG
CE MARKED
DIMENSIONS 53 CM X  50 CM X 14 CM
Not included cables.
Pumps is available
</t>
  </si>
  <si>
    <t xml:space="preserve">20268</t>
  </si>
  <si>
    <t xml:space="preserve">SEKISUI</t>
  </si>
  <si>
    <t xml:space="preserve">VANTEC SIGMA 200 K1</t>
  </si>
  <si>
    <t xml:space="preserve">Antistatic 200 MM Wafer shipping box</t>
  </si>
  <si>
    <t xml:space="preserve">-Designed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-used once and cleaned and sealed. -see attached specification for 
technical details.
</t>
  </si>
  <si>
    <t xml:space="preserve">109560</t>
  </si>
  <si>
    <t xml:space="preserve">SELA/Camtek</t>
  </si>
  <si>
    <t xml:space="preserve">EM3i</t>
  </si>
  <si>
    <t xml:space="preserve">Saw for TEM sample preparation</t>
  </si>
  <si>
    <t xml:space="preserve">An automated sawing system that enables TEM/STEM and SEM sample preparation 
for both cross section and plan viev in a wide range of application. 
Featuring a cryo-cooled, dry sawing process, the EM3 system prepares 
specimens of either crystalline or amourphous materials. The output sample 
is mounted onto a compatible TEM mount that allows rework. Applicable for 
site-specific and general area Enables multiple reworks of TEM specimen 
Interfaces with broad and focused ion milling Increases overall throughput 
Improves yield analysis Improves characterization Low cost of ownership</t>
  </si>
  <si>
    <t xml:space="preserve">77185</t>
  </si>
  <si>
    <t xml:space="preserve">Semco</t>
  </si>
  <si>
    <t xml:space="preserve">C60</t>
  </si>
  <si>
    <t xml:space="preserve">Cleanstar PFA Valve C608075305A12HPW C60 HPW</t>
  </si>
  <si>
    <t xml:space="preserve">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Boerne, Texas USA warehouse.</t>
  </si>
  <si>
    <t xml:space="preserve">110466</t>
  </si>
  <si>
    <t xml:space="preserve">HVS 1500 Controller</t>
  </si>
  <si>
    <t xml:space="preserve">Sold Ex-Works, UK Office , Part Number:HVS 1500</t>
  </si>
  <si>
    <t xml:space="preserve">110467</t>
  </si>
  <si>
    <t xml:space="preserve">HVS 2K Controller</t>
  </si>
  <si>
    <t xml:space="preserve">Sold Ex-Works, UK Office , Part Number:HVS2KTP</t>
  </si>
  <si>
    <t xml:space="preserve">77189</t>
  </si>
  <si>
    <t xml:space="preserve">156 MM WAFER BOAT</t>
  </si>
  <si>
    <t xml:space="preserve">Solar Wafer (156mm) Quartz Rack/Holder for a Furnace</t>
  </si>
  <si>
    <t xml:space="preserve">New, UNUSED. TOTAL QTY 6 AVAILABLE. FOR 156 MM SQUARE SOLAR WAFERS.
BOX DIMENSIONS: 22 CM X 31 CM X 24 CM H , 1.1 KG PER QTY 1
 </t>
  </si>
  <si>
    <t xml:space="preserve">77191</t>
  </si>
  <si>
    <t xml:space="preserve">Wafer Boat</t>
  </si>
  <si>
    <t xml:space="preserve">Solar Wafer (156mm) Quartz wafer boat</t>
  </si>
  <si>
    <t xml:space="preserve">New in the box, qty 8+ available, for 156 mm square solar wafers.
Located at our Avezzano, Italy warehouse.
 </t>
  </si>
  <si>
    <t xml:space="preserve">77198</t>
  </si>
  <si>
    <t xml:space="preserve">wafer boat</t>
  </si>
  <si>
    <t xml:space="preserve">Solar Wafer (156mm square) Quartz Rack/Holder for a Furnace</t>
  </si>
  <si>
    <t xml:space="preserve">  Used in good condition
 </t>
  </si>
  <si>
    <t xml:space="preserve">77208</t>
  </si>
  <si>
    <t xml:space="preserve">Solar Wafer  Quartz wafer boat, 5"</t>
  </si>
  <si>
    <t xml:space="preserve">Like new, Sold by each, In Boerne Warehouse.
Sold as-is, where-is
 </t>
  </si>
  <si>
    <t xml:space="preserve">108588</t>
  </si>
  <si>
    <t xml:space="preserve">SEMICS</t>
  </si>
  <si>
    <t xml:space="preserve">OPUS2</t>
  </si>
  <si>
    <t xml:space="preserve">FULLY AUTOMATED PROBER</t>
  </si>
  <si>
    <t xml:space="preserve">108589</t>
  </si>
  <si>
    <t xml:space="preserve">108590</t>
  </si>
  <si>
    <t xml:space="preserve">108591</t>
  </si>
  <si>
    <t xml:space="preserve">108592</t>
  </si>
  <si>
    <t xml:space="preserve">OPUS3</t>
  </si>
  <si>
    <t xml:space="preserve">108593</t>
  </si>
  <si>
    <t xml:space="preserve">De-installed and warehoused. Can be inspected by appointment: initial pass 
condition</t>
  </si>
  <si>
    <t xml:space="preserve">108035</t>
  </si>
  <si>
    <t xml:space="preserve">SEMILAB</t>
  </si>
  <si>
    <t xml:space="preserve">PMR_3000</t>
  </si>
  <si>
    <t xml:space="preserve">Dose Monitoring</t>
  </si>
  <si>
    <t xml:space="preserve">54208</t>
  </si>
  <si>
    <t xml:space="preserve">SemiNet Automation</t>
  </si>
  <si>
    <t xml:space="preserve">Infinity SACS 251216-120-CE</t>
  </si>
  <si>
    <t xml:space="preserve">Semi-Automatic Carousel Boxed Wafer Stocker </t>
  </si>
  <si>
    <t xml:space="preserve">De-installed, warehoused.
Can be inspected by appointment
Complete Includes all parts needed for operation. Made in USA.
Model 251216-120-CE vertical carousel stocker
Storage capacity: 352 Boxes
Software version: Pickpro 7
Operating system: Windows XP s/n 000248-002
See attached specification details and photos.
The manual and electrical diagrams as well as instructions for installing 
and operating the stocker are all available.</t>
  </si>
  <si>
    <t xml:space="preserve">109585</t>
  </si>
  <si>
    <t xml:space="preserve">Semitool</t>
  </si>
  <si>
    <t xml:space="preserve">Symphony 2300</t>
  </si>
  <si>
    <t xml:space="preserve">Spray Acid Tool (1-chamber, 300mm) </t>
  </si>
  <si>
    <t xml:space="preserve">109587</t>
  </si>
  <si>
    <t xml:space="preserve">Equinox</t>
  </si>
  <si>
    <t xml:space="preserve">Electroplating System</t>
  </si>
  <si>
    <t xml:space="preserve">109591</t>
  </si>
  <si>
    <t xml:space="preserve">Sirius</t>
  </si>
  <si>
    <t xml:space="preserve">HydrOzone wafer cleaning system</t>
  </si>
  <si>
    <t xml:space="preserve">109592</t>
  </si>
  <si>
    <t xml:space="preserve">SST 421</t>
  </si>
  <si>
    <t xml:space="preserve">Spray Solvent Tool</t>
  </si>
  <si>
    <t xml:space="preserve">106527</t>
  </si>
  <si>
    <t xml:space="preserve">SAT2081D2PCCU</t>
  </si>
  <si>
    <t xml:space="preserve">OEM SAT Spray Acid Etch Tool</t>
  </si>
  <si>
    <t xml:space="preserve">108874</t>
  </si>
  <si>
    <t xml:space="preserve">SEMITOOL</t>
  </si>
  <si>
    <t xml:space="preserve">WST 406MG </t>
  </si>
  <si>
    <t xml:space="preserve">Wafer Spray Solvent Tool</t>
  </si>
  <si>
    <t xml:space="preserve">84342</t>
  </si>
  <si>
    <t xml:space="preserve">ST-921R-AA</t>
  </si>
  <si>
    <t xml:space="preserve">Spin Rinse Dryer</t>
  </si>
  <si>
    <t xml:space="preserve">qty 2 available
Located in our Italy warehouse
No stand, parts tools, sold as-is
</t>
  </si>
  <si>
    <t xml:space="preserve">84351</t>
  </si>
  <si>
    <t xml:space="preserve">ST-240</t>
  </si>
  <si>
    <t xml:space="preserve">No Stand
Semitool  ST-240 SRD, with controller, powers up, seems to be working.
Sold as-is, unable to test further
Multiple Rotors available
</t>
  </si>
  <si>
    <t xml:space="preserve">84364</t>
  </si>
  <si>
    <t xml:space="preserve">PA7230M</t>
  </si>
  <si>
    <t xml:space="preserve">SRD Rotor </t>
  </si>
  <si>
    <t xml:space="preserve"> spares</t>
  </si>
  <si>
    <t xml:space="preserve">Semitool SRD Rotor
Used,good condition
PA7230M
 </t>
  </si>
  <si>
    <t xml:space="preserve">84365</t>
  </si>
  <si>
    <t xml:space="preserve">A72-20M</t>
  </si>
  <si>
    <t xml:space="preserve">Semitool SRD Rotor
Used,good condition
A72-20M
15364
515
3/8
 </t>
  </si>
  <si>
    <t xml:space="preserve">108694</t>
  </si>
  <si>
    <t xml:space="preserve">Raider ECD 312</t>
  </si>
  <si>
    <t xml:space="preserve">Electro-chemical deposition system</t>
  </si>
  <si>
    <t xml:space="preserve">system for 300mm single-wafer, automated, multi-chamber, electrochemical 
deposition delivers high throughput in a small footprint. Complete system 
incl 2x Neslab HX300 chiller and integrated fire extinguishing system.</t>
  </si>
  <si>
    <t xml:space="preserve">18839</t>
  </si>
  <si>
    <t xml:space="preserve">2080S(OAZP)CBE</t>
  </si>
  <si>
    <t xml:space="preserve">Equipment manual</t>
  </si>
  <si>
    <t xml:space="preserve">108202</t>
  </si>
  <si>
    <t xml:space="preserve">EO212PM</t>
  </si>
  <si>
    <t xml:space="preserve">Cu PLTNG</t>
  </si>
  <si>
    <t xml:space="preserve">108203</t>
  </si>
  <si>
    <t xml:space="preserve">ST 470</t>
  </si>
  <si>
    <t xml:space="preserve">108204</t>
  </si>
  <si>
    <t xml:space="preserve">WSST</t>
  </si>
  <si>
    <t xml:space="preserve">Water Soluble Strip Tool</t>
  </si>
  <si>
    <t xml:space="preserve">108205</t>
  </si>
  <si>
    <t xml:space="preserve">WST305M</t>
  </si>
  <si>
    <t xml:space="preserve">Spin Dry</t>
  </si>
  <si>
    <t xml:space="preserve">108974</t>
  </si>
  <si>
    <t xml:space="preserve">PSC 101</t>
  </si>
  <si>
    <t xml:space="preserve">Double Stack SRD (Set up for solar wafer use)</t>
  </si>
  <si>
    <t xml:space="preserve">100 mm, M0, M2</t>
  </si>
  <si>
    <t xml:space="preserve">-Semitool PSC 101
-Semitool Double stack SRD for sale
-in excellent , operational condition
-Automotion LC5 Plus controller
-See attached photos for details of condition.
-with drums for wafers sizes 4 inch, M0 and M2</t>
  </si>
  <si>
    <t xml:space="preserve">106946</t>
  </si>
  <si>
    <t xml:space="preserve">Located in our Italy warehouse.
See attached photos for details. In good condition, but the controller is 
not included. The rotor is for 4 inch, high profile cassettes only, type 
A72-40MB.
Crated weight and dims: 40 cm x 59 cm x 46 cm (h), 36 KG</t>
  </si>
  <si>
    <t xml:space="preserve">108486</t>
  </si>
  <si>
    <t xml:space="preserve">Scepter Solvent</t>
  </si>
  <si>
    <t xml:space="preserve">109285</t>
  </si>
  <si>
    <t xml:space="preserve">Equinox Cu</t>
  </si>
  <si>
    <t xml:space="preserve">Cu Plating tool with  4 plating chambers and 5 preclean chambers</t>
  </si>
  <si>
    <t xml:space="preserve">-Plating Chambers (Qty. 4)
-Preclean / SRD Chambers (Qty. 5)
-ADE Series 350 Robot Arm/Controller
-deinstalled, warehoused.
-no known missing parts.
-can be inspected by appointment
-please refer to the attached photos for details
-Has been used for Cu deposition process.
-Has been exposed to H2SO4 Sulphuric Acid
-Has been professionally decontaminated before removal.</t>
  </si>
  <si>
    <t xml:space="preserve">108715</t>
  </si>
  <si>
    <t xml:space="preserve">Semix</t>
  </si>
  <si>
    <t xml:space="preserve">Tazmo</t>
  </si>
  <si>
    <t xml:space="preserve">SOG track</t>
  </si>
  <si>
    <t xml:space="preserve">Deinstalled. Warehoused. Can be inspected by appointment.
Basic configuration:
• Semix Tazmo
• 150mm
• 2 load 2 unload sta(ons
• 1 coater
• 2 SOG dispense lines
• 3 bakplates
• Machine serial nr : on request
Options:
• Refurbishment
• New CE cer(fica(on
• Installa(on and warrantee</t>
  </si>
  <si>
    <t xml:space="preserve">78169</t>
  </si>
  <si>
    <t xml:space="preserve">Sensarray</t>
  </si>
  <si>
    <t xml:space="preserve">1530D-8-0023</t>
  </si>
  <si>
    <t xml:space="preserve">Process Probe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</si>
  <si>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</si>
  <si>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 xml:space="preserve">78170</t>
  </si>
  <si>
    <t xml:space="preserve">Process Prober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</si>
  <si>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</si>
  <si>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 xml:space="preserve">108696</t>
  </si>
  <si>
    <t xml:space="preserve">SENTECH</t>
  </si>
  <si>
    <t xml:space="preserve">Senduro 300</t>
  </si>
  <si>
    <t xml:space="preserve">Thin Film measurement</t>
  </si>
  <si>
    <t xml:space="preserve">Up to 300 MM</t>
  </si>
  <si>
    <t xml:space="preserve">SENTECH Senduro 300 The SENDURO® 300 is a powerful automated tool for the 
measurement of single films and layer stacks on silicon wafers of up to 300 
mm diameter. Highlights and Advantages Measurement recipes (one-click 
applications) Starting with SENTECH’s predefined recipe library the user 
quickly selects the desired measurement task and executes the complete 
sequence at once: automated alignment,data acquisition sample modeling 
analysis of single or multi-layer samples by fitting the model to the 
measured data display of results reporting of measured data.</t>
  </si>
  <si>
    <t xml:space="preserve">107898</t>
  </si>
  <si>
    <t xml:space="preserve">Seren</t>
  </si>
  <si>
    <t xml:space="preserve">L301</t>
  </si>
  <si>
    <t xml:space="preserve">9600740010</t>
  </si>
  <si>
    <t xml:space="preserve">107903</t>
  </si>
  <si>
    <t xml:space="preserve">L601</t>
  </si>
  <si>
    <t xml:space="preserve">9600640004</t>
  </si>
  <si>
    <t xml:space="preserve">110468</t>
  </si>
  <si>
    <t xml:space="preserve">AT20</t>
  </si>
  <si>
    <t xml:space="preserve">Sold Ex-Works, UK Office , Part Number:9400110009</t>
  </si>
  <si>
    <t xml:space="preserve">110469</t>
  </si>
  <si>
    <t xml:space="preserve">AT30</t>
  </si>
  <si>
    <t xml:space="preserve">Sold Ex-Works, UK Office , Part Number:9400140004</t>
  </si>
  <si>
    <t xml:space="preserve">110470</t>
  </si>
  <si>
    <t xml:space="preserve">AT35</t>
  </si>
  <si>
    <t xml:space="preserve">Sold Ex-Works, UK Office , Part Number:9400110015</t>
  </si>
  <si>
    <t xml:space="preserve">110471</t>
  </si>
  <si>
    <t xml:space="preserve">AT35DSE2</t>
  </si>
  <si>
    <t xml:space="preserve">Sold Ex-Works, UK Office , Part Number:9400140011</t>
  </si>
  <si>
    <t xml:space="preserve">110472</t>
  </si>
  <si>
    <t xml:space="preserve">AT35VFC</t>
  </si>
  <si>
    <t xml:space="preserve">Sold Ex-Works, UK Office , Part Number:9400390000</t>
  </si>
  <si>
    <t xml:space="preserve">107913</t>
  </si>
  <si>
    <t xml:space="preserve">R601</t>
  </si>
  <si>
    <t xml:space="preserve">9600610054</t>
  </si>
  <si>
    <t xml:space="preserve">110473</t>
  </si>
  <si>
    <t xml:space="preserve">AT6</t>
  </si>
  <si>
    <t xml:space="preserve">Sold Ex-Works, UK Office , Part Number:9400000018</t>
  </si>
  <si>
    <t xml:space="preserve">110474</t>
  </si>
  <si>
    <t xml:space="preserve">Sold Ex-Works, UK Office , Part Number:9400000045</t>
  </si>
  <si>
    <t xml:space="preserve">110475</t>
  </si>
  <si>
    <t xml:space="preserve">AT6M</t>
  </si>
  <si>
    <t xml:space="preserve">Sold Ex-Works, UK Office , Part Number:9400280001</t>
  </si>
  <si>
    <t xml:space="preserve">110476</t>
  </si>
  <si>
    <t xml:space="preserve">Seren </t>
  </si>
  <si>
    <t xml:space="preserve">Sold Ex-Works, UK Office , Part Number:MC3</t>
  </si>
  <si>
    <t xml:space="preserve">110477</t>
  </si>
  <si>
    <t xml:space="preserve">I1827MWF</t>
  </si>
  <si>
    <t xml:space="preserve">Sold Ex-Works, UK Office , Part Number:9600560000</t>
  </si>
  <si>
    <t xml:space="preserve">110478</t>
  </si>
  <si>
    <t xml:space="preserve">110479</t>
  </si>
  <si>
    <t xml:space="preserve">110480</t>
  </si>
  <si>
    <t xml:space="preserve">110481</t>
  </si>
  <si>
    <t xml:space="preserve">110482</t>
  </si>
  <si>
    <t xml:space="preserve">I2000</t>
  </si>
  <si>
    <t xml:space="preserve">Sold Ex-Works, UK Office , Part Number:IPS-I2000</t>
  </si>
  <si>
    <t xml:space="preserve">110483</t>
  </si>
  <si>
    <t xml:space="preserve">Sold Ex-Works, UK Office , Part Number:9600740002</t>
  </si>
  <si>
    <t xml:space="preserve">110484</t>
  </si>
  <si>
    <t xml:space="preserve">110485</t>
  </si>
  <si>
    <t xml:space="preserve">Sold Ex-Works, UK Office , Part Number:9600740004</t>
  </si>
  <si>
    <t xml:space="preserve">110486</t>
  </si>
  <si>
    <t xml:space="preserve">Sold Ex-Works, UK Office , Part Number:9600740010</t>
  </si>
  <si>
    <t xml:space="preserve">110487</t>
  </si>
  <si>
    <t xml:space="preserve">110488</t>
  </si>
  <si>
    <t xml:space="preserve">110489</t>
  </si>
  <si>
    <t xml:space="preserve">Sold Ex-Works, UK Office , Part Number:9600740012 , Secondary P/N:L301MKII</t>
  </si>
  <si>
    <t xml:space="preserve">110490</t>
  </si>
  <si>
    <t xml:space="preserve">Sold Ex-Works, UK Office , Part Number:9600640004</t>
  </si>
  <si>
    <t xml:space="preserve">110491</t>
  </si>
  <si>
    <t xml:space="preserve">110492</t>
  </si>
  <si>
    <t xml:space="preserve">MC2 Controller</t>
  </si>
  <si>
    <t xml:space="preserve">Sold Ex-Works, UK Office , Part Number:9200010000</t>
  </si>
  <si>
    <t xml:space="preserve">110493</t>
  </si>
  <si>
    <t xml:space="preserve">110494</t>
  </si>
  <si>
    <t xml:space="preserve">Sold Ex-Works, UK Office , Part Number:9200010023</t>
  </si>
  <si>
    <t xml:space="preserve">110495</t>
  </si>
  <si>
    <t xml:space="preserve">110496</t>
  </si>
  <si>
    <t xml:space="preserve">Sold Ex-Works, UK Office , Part Number:9200010029</t>
  </si>
  <si>
    <t xml:space="preserve">110497</t>
  </si>
  <si>
    <t xml:space="preserve">Sold Ex-Works, UK Office , Part Number:9200010030</t>
  </si>
  <si>
    <t xml:space="preserve">110498</t>
  </si>
  <si>
    <t xml:space="preserve">MCRS</t>
  </si>
  <si>
    <t xml:space="preserve">Sold Ex-Works, UK Office , Part Number:9500300001</t>
  </si>
  <si>
    <t xml:space="preserve">110499</t>
  </si>
  <si>
    <t xml:space="preserve">PSRS</t>
  </si>
  <si>
    <t xml:space="preserve">Sold Ex-Works, UK Office , Part Number:9500360001</t>
  </si>
  <si>
    <t xml:space="preserve">110500</t>
  </si>
  <si>
    <t xml:space="preserve">R2001</t>
  </si>
  <si>
    <t xml:space="preserve">Sold Ex-Works, UK Office , Part Number:9600650002</t>
  </si>
  <si>
    <t xml:space="preserve">110501</t>
  </si>
  <si>
    <t xml:space="preserve">R3001</t>
  </si>
  <si>
    <t xml:space="preserve">Sold Ex-Works, UK Office , Part Number:9600690006</t>
  </si>
  <si>
    <t xml:space="preserve">110502</t>
  </si>
  <si>
    <t xml:space="preserve">Sold Ex-Works, UK Office , Part Number:9600610054</t>
  </si>
  <si>
    <t xml:space="preserve">110503</t>
  </si>
  <si>
    <t xml:space="preserve">Seren Match</t>
  </si>
  <si>
    <t xml:space="preserve">Sold Ex-Works, UK Office , Part Number:PM313-0315</t>
  </si>
  <si>
    <t xml:space="preserve">109525</t>
  </si>
  <si>
    <t xml:space="preserve">SEREN</t>
  </si>
  <si>
    <t xml:space="preserve">R301MKⅡ</t>
  </si>
  <si>
    <t xml:space="preserve">Part Number: 9600730025</t>
  </si>
  <si>
    <t xml:space="preserve">110504</t>
  </si>
  <si>
    <t xml:space="preserve">SET</t>
  </si>
  <si>
    <t xml:space="preserve">SET 1500</t>
  </si>
  <si>
    <t xml:space="preserve">Sold Ex-Works, UK Office , Part Number:9901-0003-04</t>
  </si>
  <si>
    <t xml:space="preserve">110505</t>
  </si>
  <si>
    <t xml:space="preserve">110506</t>
  </si>
  <si>
    <t xml:space="preserve">108875</t>
  </si>
  <si>
    <t xml:space="preserve">SEZ</t>
  </si>
  <si>
    <t xml:space="preserve">Chemical Storage Cabinet, 2ea Available</t>
  </si>
  <si>
    <t xml:space="preserve">106516</t>
  </si>
  <si>
    <t xml:space="preserve">SFI</t>
  </si>
  <si>
    <t xml:space="preserve">Endeavor AT</t>
  </si>
  <si>
    <t xml:space="preserve">PVD cluster tool</t>
  </si>
  <si>
    <t xml:space="preserve">This tool has been professionally de-installed and moved to the warehouse.
We have just done a virtual inspection of this equipment.
I have uploaded this virtual inspection to our youtube channel, and you can 
see the video at the following link:-
&lt;https://www.youtube.com/watch?v=RbW8h3vPOCY&gt;
De-installed by the OEM . In working condition. Warehoused. Can be 
inspected by appointment.
PM1 ETCH
PM2 Al
PM3 Cu
PM4 NiV
PM5 Ti
1. These tools have been upgraded to the model Endeavour AT type from 
Endeavour 8600 type.
2. The difference between them is Endeavour 8600 has RF Diode controlled 
sputtering, whereas the newer Endeavour AT model has RF S-Gun magnetron 
controlled sputtering, along with optional Infrared substrate heaters.
3.The main design features of the system include:-
a. Sputter up deposition with gravity retaining. No clips or clamps needed.
b. S-Gun magnetron advanced DC source.
4. You can run a receipe on the wafer with up to 50 steps with different 
parameters for sputtering.
5. Each wafer loaded can be run through a different sequence of sputtering.
6. The S-Gun magnetron sputtering system has the following design features.
Plasma is produced in the chambers in 2 concentric rings. One for each 
magnetron and target. Between them, there is the shield region.
Sputtering happens if you have ions and you have bombardments. There is no 
plasma in the shield region, so , no sputtering of this section takes 
place.
At the edge areas of the targets,material is not sputtered. Material is 
actually deposited there.
The sputtering volume is small due to the chamber design. The magnets are 
designed so as the sputtering will occur only over the centers of the areas 
where the targets are located.Magnet design is made in a way that the flux 
lines are only above the target areas. Electrons will then bounce between 
these 2 negative points of the target and a plasma will be formed inside 
this region.
Hence, there are 5 sources of energy which can be applied to the wafer. By 
adjusting the parameters of these 5 energy sources, you can adjust the 
grown film's characteristics e.g. grain size , film stress etc. etc.
7. Material analysis found no significant contamination in the material of 
the sputtered films.
8. The optional substrate IR heater is a quartz lamp. 2 concentric lamps. 
They will heat wafer up to 500c within 1 minute.</t>
  </si>
  <si>
    <t xml:space="preserve">106517</t>
  </si>
  <si>
    <t xml:space="preserve">Has been professionally deinstalled and is currently stored at the 
warehouse.
This tool was not operational prior to removal and has missing parts.
We have just done a virtual inspection of this equipment.
I have uploaded this virtual inspection to our youtube channel, and you can 
see the video at the following link:-
&lt;https://www.youtube.com/watch?v=lCujEFmnmP4&gt;
De-installed by the OEM . In working condition. Warehoused. Can be 
inspected by appointment.
PM1 ETCH
PM2 Al
PM3 Cu
PM4 NiV
PM5 Ti
1. These tools have been upgraded to the model Endeavour AT type from 
Endeavour 8600 type.
2. The difference between them is Endeavour 8600 has RF Diode controlled 
sputtering, whereas the newer Endeavour AT model has RF S-Gun magnetron 
controlled sputtering, along with optional Infrared substrate heaters.
3.The main design features of the system include:-
a. Sputter up deposition with gravity retaining. No clips or clamps needed.
b. S-Gun magnetron advanced DC source.
4. You can run a receipe on the wafer with up to 50 steps with different 
parameters for sputtering.
5. Each wafer loaded can be run through a different sequence of sputtering.
6. The S-Gun magnetron sputtering system has the following design features.
Plasma is produced in the chambers in 2 concentric rings. One for each 
magnetron and target. Between them, there is the shield region.
Sputtering happens if you have ions and you have bombardments. There is no 
plasma in the shield region, so , no sputtering of this section takes 
place.
At the edge areas of the targets,material is not sputtered. Material is 
actually deposited there.
The sputtering volume is small due to the chamber design. The magnets are 
designed so as the sputtering will occur only over the centers of the areas 
where the targets are located.Magnet design is made in a way that the flux 
lines are only above the target areas. Electrons will then bounce between 
these 2 negative points of the target and a plasma will be formed inside 
this region.
Hence, there are 5 sources of energy which can be applied to the wafer. By 
adjusting the parameters of these 5 energy sources, you can adjust the 
grown film's characteristics e.g. grain size , film stress etc. etc.
7. Material analysis found no significant contamination in the material of 
the sputtered films.
8. The optional substrate IR heater is a quartz lamp. 2 concentric lamps. 
They will heat wafer up to 500c within 1 minute.</t>
  </si>
  <si>
    <t xml:space="preserve">74255</t>
  </si>
  <si>
    <t xml:space="preserve">SGL Carbon / Ringsdorff</t>
  </si>
  <si>
    <t xml:space="preserve">3PC1396/2</t>
  </si>
  <si>
    <t xml:space="preserve">Heater 18 inch Graphite 3PC1396 2</t>
  </si>
  <si>
    <t xml:space="preserve">MATERIAL 121008632 RINGSDORFF P/N 63178463 HEATER ELEMENT 587/481 X 463 MM 
ART NO 7602018601 BLOCK NO 97324 GRADE CZ3P5 DATE 23/10/03</t>
  </si>
  <si>
    <t xml:space="preserve">108054</t>
  </si>
  <si>
    <t xml:space="preserve">Shibasoku</t>
  </si>
  <si>
    <t xml:space="preserve">S230</t>
  </si>
  <si>
    <t xml:space="preserve">ONLY SUITABLE FOR SPARES USE</t>
  </si>
  <si>
    <t xml:space="preserve">108102</t>
  </si>
  <si>
    <t xml:space="preserve">Shibuya</t>
  </si>
  <si>
    <t xml:space="preserve">EH162</t>
  </si>
  <si>
    <t xml:space="preserve">TestHandler</t>
  </si>
  <si>
    <t xml:space="preserve">CAD7107 5630 0.9T 6030 0.8T</t>
  </si>
  <si>
    <t xml:space="preserve">108103</t>
  </si>
  <si>
    <t xml:space="preserve">EH520</t>
  </si>
  <si>
    <t xml:space="preserve">CAD5309 5630 0.8T</t>
  </si>
  <si>
    <t xml:space="preserve">77161</t>
  </si>
  <si>
    <t xml:space="preserve">Shimaden</t>
  </si>
  <si>
    <t xml:space="preserve">SR91-8P-90-1N0</t>
  </si>
  <si>
    <t xml:space="preserve">Temperature Regulator</t>
  </si>
  <si>
    <t xml:space="preserve">Shimaden SR91 Temperature REGULATOR.
Used, in good condition
Will Ship from our AVEZZANO 67051 ITALY  Warehouse</t>
  </si>
  <si>
    <t xml:space="preserve">108960</t>
  </si>
  <si>
    <t xml:space="preserve">Shin-Etsu</t>
  </si>
  <si>
    <t xml:space="preserve">MW 200</t>
  </si>
  <si>
    <t xml:space="preserve">Wafer Transportation Box 8"</t>
  </si>
  <si>
    <t xml:space="preserve">for 8 zoll Wafer
25 Slot
in stock 50 piece
 </t>
  </si>
  <si>
    <t xml:space="preserve">83548</t>
  </si>
  <si>
    <t xml:space="preserve">Shindengen</t>
  </si>
  <si>
    <t xml:space="preserve">SDC05150G</t>
  </si>
  <si>
    <t xml:space="preserve">5V 150 A Regulated power supply, Advantest T5335P</t>
  </si>
  <si>
    <t xml:space="preserve">Removed from working service from Advantest T5335P tester
SDC05150G
WBL-PS5V150A
 </t>
  </si>
  <si>
    <t xml:space="preserve">108594</t>
  </si>
  <si>
    <t xml:space="preserve">SHINKAWA</t>
  </si>
  <si>
    <t xml:space="preserve">COF 300</t>
  </si>
  <si>
    <t xml:space="preserve">Flip Chip Bonder</t>
  </si>
  <si>
    <t xml:space="preserve">De-installed, warehoused. Inspection is available by appointment.</t>
  </si>
  <si>
    <t xml:space="preserve">108595</t>
  </si>
  <si>
    <t xml:space="preserve">UTC-2000 SUPER</t>
  </si>
  <si>
    <t xml:space="preserve">Wire Bonder</t>
  </si>
  <si>
    <t xml:space="preserve">108596</t>
  </si>
  <si>
    <t xml:space="preserve">UTC-1000 SUPER</t>
  </si>
  <si>
    <t xml:space="preserve">22</t>
  </si>
  <si>
    <t xml:space="preserve">108597</t>
  </si>
  <si>
    <t xml:space="preserve">UTC-3000WE</t>
  </si>
  <si>
    <t xml:space="preserve">De-installed, warehoused. Inspection is available by appointment.
Parts tool only</t>
  </si>
  <si>
    <t xml:space="preserve">105873</t>
  </si>
  <si>
    <t xml:space="preserve">Shinmei Keiki</t>
  </si>
  <si>
    <t xml:space="preserve">93409</t>
  </si>
  <si>
    <t xml:space="preserve">Shinwa Controls Co., Ltd.</t>
  </si>
  <si>
    <t xml:space="preserve">CH1-CP-D1</t>
  </si>
  <si>
    <t xml:space="preserve">76610</t>
  </si>
  <si>
    <t xml:space="preserve">SHOWA</t>
  </si>
  <si>
    <t xml:space="preserve">341</t>
  </si>
  <si>
    <t xml:space="preserve">Laboratory Power Supply - 4 channel</t>
  </si>
  <si>
    <t xml:space="preserve">laboratory</t>
  </si>
  <si>
    <r>
      <rPr>
        <sz val="8"/>
        <rFont val="Arial"/>
        <family val="0"/>
      </rPr>
      <t xml:space="preserve">-Deinstalled,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rPr>
      <t xml:space="preserve">～</t>
    </r>
    <r>
      <rPr>
        <sz val="8"/>
        <rFont val="Arial"/>
        <family val="0"/>
      </rPr>
      <t xml:space="preserve">-6V 0.5A, 0</t>
    </r>
    <r>
      <rPr>
        <sz val="8"/>
        <rFont val="Noto Sans CJK SC"/>
        <family val="2"/>
      </rPr>
      <t xml:space="preserve">～</t>
    </r>
    <r>
      <rPr>
        <sz val="8"/>
        <rFont val="Arial"/>
        <family val="0"/>
      </rPr>
      <t xml:space="preserve">+12V 2A, 0</t>
    </r>
    <r>
      <rPr>
        <sz val="8"/>
        <rFont val="Noto Sans CJK SC"/>
        <family val="2"/>
      </rPr>
      <t xml:space="preserve">～</t>
    </r>
    <r>
      <rPr>
        <sz val="8"/>
        <rFont val="Arial"/>
        <family val="0"/>
      </rPr>
      <t xml:space="preserve">±20V 0.5A
Options
PDE76 Front Side 	  	 
PDE76 Back Side 	  	 
Serial Number 	  	 </t>
    </r>
  </si>
  <si>
    <t xml:space="preserve">76611</t>
  </si>
  <si>
    <t xml:space="preserve">SHOWA ELECTRONICS</t>
  </si>
  <si>
    <t xml:space="preserve">511-16</t>
  </si>
  <si>
    <t xml:space="preserve">REGULATED DC POWER SUPPLY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</si>
  <si>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</si>
  <si>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 xml:space="preserve">106741</t>
  </si>
  <si>
    <t xml:space="preserve">SIGMAMELTEC </t>
  </si>
  <si>
    <t xml:space="preserve">SFG3000</t>
  </si>
  <si>
    <t xml:space="preserve">Photomask </t>
  </si>
  <si>
    <t xml:space="preserve">106533</t>
  </si>
  <si>
    <t xml:space="preserve">Sikama</t>
  </si>
  <si>
    <t xml:space="preserve">Falcon 8500</t>
  </si>
  <si>
    <t xml:space="preserve">REFLOW OVEN</t>
  </si>
  <si>
    <t xml:space="preserve">Automatic Shut down in Fab. Needs to be removed in the next few 
weeks.Sikama’s 200mm reflow solder system is known as the Falcon 8500. 
Incorporating Sikama’s unique “thermal technology” based on conduction 
heating in combination with forced thermal convection, the 8500 has 1 load 
zone, 5 heat zones and 2 cooling zones. Each system includes automatic load 
and unload buffers with appropriate sensors providing SMEMA interface 
connection to link into automated production lines. Also available in 
either a sweeper bar or walking beam transport system to accommodate a wide 
variety of components.</t>
  </si>
  <si>
    <t xml:space="preserve">97080</t>
  </si>
  <si>
    <t xml:space="preserve">Singulus</t>
  </si>
  <si>
    <t xml:space="preserve">S-000414</t>
  </si>
  <si>
    <t xml:space="preserve">Singular</t>
  </si>
  <si>
    <t xml:space="preserve">106878</t>
  </si>
  <si>
    <t xml:space="preserve">Singular XP</t>
  </si>
  <si>
    <t xml:space="preserve">ICP PECVD system for solar cells production</t>
  </si>
  <si>
    <t xml:space="preserve">-STILL INSTALLED. IN EXCELLENT CONDITION WITH NO KNOWN MISSING OR BROKEN 
PARTS.
-CAN BE INSPECTED BY APPOINTMENT.
-PLEASE REFER TO ATTACHED PHOTOS FOR DETAILS ABOUT CURRENT INSTALLATION 
CONDITION AND PHOTOS.
The Singulus SINGULAR ICP-PECVD is a fully automated innovative and modular 
PECVD coating tool for R&amp;D and pilot production of crystalline silicon 
solar cells. The SINGULAR system is designed for making passivation layers 
for high-effciency solar cells following conventional and new cell 
concepts, e.g. heterojunction solar cells.
The SINGULAR system is made up of an automation module and a coating 
module. The coating module consists of several customizable vacuum 
chambers.
It allows the coating of complex layers, such as layer stacks of different 
materials e. g. AlOx/SiNy. The key feature of the tool is the ICP-PECVD 
technology.
The inductively coupled plasma (ICP) excitation allows control of film 
properties for various materials such as SiNx, AlOx, SiOxNy at high 
deposition rates. The process variability, the small tool footprint in 
combination with an excellent total ”Cost Of Ownership“ makes SINGULAR 
ideally suitable for upgrades of existing production lines.
SINGULAR allows developing new manufacturing processes for cell 
efficiencies above 20 % .
Therewith, SINGULUS makes a valuable contribution to continuous 
improvements with respect to efficiency and manufacturing cost of PV 
modules, being a necessity to reduce the costs and enable the large-scale 
deployment of PV electricity.
Main Features:
    Industrial proven multi-chamber ICP-PECVD coating tool
    Lowest cost of ownership
    Modular design for various processes (e. g. SiNx, SiOxNy, AlOx, a-Si 
...)
    Single- and multi-layer capability
    Double-side coating capability
    Small footprint
    Integrated electrical and gas cabinets
    Efficient use of raw materials like electrical power, process gases ...
    Low noise level (no grey room necessary)
    High uptime
    Easy to operate
    Easy to maintain
    Inline cleaning processes available (e. g. for a-Si)
    Customized tool configuration, e. g. usage of special gases e. g. TMB, 
phosphine, organic precursors like TMAl
    Integrated automation solution
    Inline and cluster operation possible
    All types of automation cassettes suitable
Main Characteristics
SINGULAR XP
Cluster Setup
The SINGULAR XP series is equipped with an integrated automation unit, 
which allows loading automation carriers into the system. After processing 
the wafers are also stored into an automation carrier. The SINGULAR XP is 
executed with two magazine conveyor stations. Each station can store up to 
5 filled and 5 empty automation carriers (magazine). The wafers are 
unloaded from this magazine and stored after processing back into a 
magazine. Typical magazines and automation cassettes are available.
SINGULAR Platform Technology
SINGULAR is a fully automated coating tool designed for the mass production 
of silicon solar cells. It consists of one coating module with up to five 
independent vacuum process stations. This modular design makes it possible 
to adapt the tool setup individually to process demands and cell concepts. 
The SINGULAR platform is equipped with a single load lock. The load lock 
meets two functions, first bringing the uncoated wafers from ambient air 
environment into a high vacuum chamber with a base pressure below 10-5 mbar 
and second ejecting the coated wafers from the system. Inside the main 
vacuum chamber, the wafers follow an in-line setup throughout every process 
station (PS1-PS5). Each process station can be equipped with different 
processes, like IR heating or ICP-PECVD.
New Cell Processes with SINGULAR XP for High-efficiency Cells
The SINGULAR XP platform is applied at research centers and institutes in 
Europe, North America and Asia in different configurations. The involved 
R&amp;D teams take advantage of the flexibility of the SINGULAR to perform 
industry orientated R&amp;D as well as to advanced application orientated basic 
research to further improve the efficiency of solar energy conversion. 
Current major topics are rear side passivated cells (PERC type) and 
heterojunction cells. The target is to develop a sustainable energy supply 
based on solar resources.</t>
  </si>
  <si>
    <t xml:space="preserve">108206</t>
  </si>
  <si>
    <t xml:space="preserve">SJ SEMITECH</t>
  </si>
  <si>
    <t xml:space="preserve">Liquid Horning</t>
  </si>
  <si>
    <t xml:space="preserve">84237</t>
  </si>
  <si>
    <t xml:space="preserve">SKF</t>
  </si>
  <si>
    <t xml:space="preserve">6002-2Z</t>
  </si>
  <si>
    <t xml:space="preserve">bearings</t>
  </si>
  <si>
    <t xml:space="preserve">Pack of qty 2 sold as a pack, new old stock</t>
  </si>
  <si>
    <t xml:space="preserve">84225</t>
  </si>
  <si>
    <t xml:space="preserve">SMC</t>
  </si>
  <si>
    <t xml:space="preserve">CY 4R08</t>
  </si>
  <si>
    <t xml:space="preserve">CY3B15-300 CYLINDER</t>
  </si>
  <si>
    <t xml:space="preserve">SMC CY3B15-300 cyl, rodless, mag. coupled, CY3B MAGNETICALLY COUPLED CYL.
WEIGHT:400 GR.
DIMENSION: 4 X 4 X 40 (H)</t>
  </si>
  <si>
    <t xml:space="preserve">84236</t>
  </si>
  <si>
    <t xml:space="preserve">ZPT25US-B5</t>
  </si>
  <si>
    <t xml:space="preserve">Suction cups</t>
  </si>
  <si>
    <t xml:space="preserve">new in the pack, qty 5 for sale</t>
  </si>
  <si>
    <t xml:space="preserve">84256</t>
  </si>
  <si>
    <t xml:space="preserve">WO 36517</t>
  </si>
  <si>
    <t xml:space="preserve">RODLESS CYLINDER</t>
  </si>
  <si>
    <t xml:space="preserve">CY1B25H-530
MAX PRESSURE 7 BAR
WO 36517
WEIGHT: 1,2 KG.
DIMENSION: 5 X 5 X 67 (H)
</t>
  </si>
  <si>
    <t xml:space="preserve">84259</t>
  </si>
  <si>
    <t xml:space="preserve">CMFN20-50</t>
  </si>
  <si>
    <t xml:space="preserve">84262</t>
  </si>
  <si>
    <t xml:space="preserve">CDGBN20-204</t>
  </si>
  <si>
    <t xml:space="preserve">TOTAL WEIGHT: 1,300 KG.
DIMENSION FOR EACH: 6 X 5 37 (H)
CDBN20-204  B803 MAX PRESS. 1.0 MPa
CDMK20-250          MAX PRESS. 1.0 MPa
CDG1BA20-222      MAX PRESS. 1.0 MPa 145 psi
</t>
  </si>
  <si>
    <t xml:space="preserve">84263</t>
  </si>
  <si>
    <t xml:space="preserve">CDM2BZ20-125</t>
  </si>
  <si>
    <t xml:space="preserve">CDM2BZ20-125 -C80 MAX PRESSURE 1.0 MPa 145 PSa
TOTAL WEIGHT: 500 GR.
DIMENSION FOR EACH: 4 X 3 X 23 (H)
</t>
  </si>
  <si>
    <t xml:space="preserve">84264</t>
  </si>
  <si>
    <t xml:space="preserve">CMFN20-50
MAX PRESSURE: 9.9
PSI UP
TOTAL WEIGHT: 220 GR.
DIMENSION FOR EACH: 8 X 4 X 17 (H)
</t>
  </si>
  <si>
    <t xml:space="preserve">84267</t>
  </si>
  <si>
    <t xml:space="preserve">CDM2RA20-190</t>
  </si>
  <si>
    <t xml:space="preserve">AIR CYLINDER
CDM2RA20-190
X339
MAX PRESS: 1.0 MPa
WEIGHT: 250 GR.
DIMENSION: 3 X 3 X 29 (H)
</t>
  </si>
  <si>
    <t xml:space="preserve">84268</t>
  </si>
  <si>
    <t xml:space="preserve">CDG1FA20-222</t>
  </si>
  <si>
    <t xml:space="preserve">AIR CYLINDER
CDG1FA20-222
CZ
MAX PRESS: 1.0 MPa  145 PSI
WEIGHT: 400 GR.
DIMENSION: 3,5 X 3,5 X 34 (H)
</t>
  </si>
  <si>
    <t xml:space="preserve">84269</t>
  </si>
  <si>
    <t xml:space="preserve">CDJ2F16</t>
  </si>
  <si>
    <t xml:space="preserve">AIR CYLINDER
CDJ2F16-250-B
MAX PRESS: 0,7 MPa  100 PSI
WEIGHT: 200 GR.
DIMENSION: 4 X 2 X 32,5 (H)
</t>
  </si>
  <si>
    <t xml:space="preserve">83547</t>
  </si>
  <si>
    <t xml:space="preserve">IRS_056/09/GT</t>
  </si>
  <si>
    <t xml:space="preserve">RODLESS PNEUMATIC CYLINDER *NEW*</t>
  </si>
  <si>
    <t xml:space="preserve">Like new, wrapped in plastic
IRS_06/09/GT
RL16953
Mx Pressure 0.8 MPa
MY1B16-250A
</t>
  </si>
  <si>
    <t xml:space="preserve">77152</t>
  </si>
  <si>
    <t xml:space="preserve">RL17858 1030567</t>
  </si>
  <si>
    <t xml:space="preserve">0.8MPS RODLESS PNEUMATIC CYLINDER *NEW*</t>
  </si>
  <si>
    <t xml:space="preserve">Like new, wrapped in plastic</t>
  </si>
  <si>
    <t xml:space="preserve">77157</t>
  </si>
  <si>
    <t xml:space="preserve">ZX1101-K15LZB-D21L-X121</t>
  </si>
  <si>
    <t xml:space="preserve">Vacuum GENERATOR ZXF35</t>
  </si>
  <si>
    <t xml:space="preserve">New in Box SMC ZXF1101-K15LZB-D21L-X121 Vacuum Ejector
ZXF35</t>
  </si>
  <si>
    <t xml:space="preserve">77163</t>
  </si>
  <si>
    <t xml:space="preserve">CDRB2BWU20-270S</t>
  </si>
  <si>
    <t xml:space="preserve">ACTUATOR, ROTARY, VANE TYPE</t>
  </si>
  <si>
    <t xml:space="preserve">New in Box
SMC Actuator, Rotary Vane type
CRB2H12
Ships from our AVEZZANO 67051 ITALY WAREHOUSE</t>
  </si>
  <si>
    <t xml:space="preserve">84079</t>
  </si>
  <si>
    <t xml:space="preserve">CDY1S15H</t>
  </si>
  <si>
    <t xml:space="preserve">TESTED</t>
  </si>
  <si>
    <t xml:space="preserve">CDY 1S15H
WIP 43031
INITIAL 7 GM
06861
WEIGHT: 1,350 KG.
DIMENSION: 10 X 28 X 4 (H)</t>
  </si>
  <si>
    <t xml:space="preserve">105839</t>
  </si>
  <si>
    <t xml:space="preserve">INR-498-050</t>
  </si>
  <si>
    <t xml:space="preserve">Single loop chiller</t>
  </si>
  <si>
    <t xml:space="preserve">Refurbished with 3-months warranty
: SMC INR-498-050
SINGLE LOOP CHILLER
WORKING WITH 60 DAYS WARRANTY</t>
  </si>
  <si>
    <t xml:space="preserve">83839</t>
  </si>
  <si>
    <t xml:space="preserve">CDQSWB20-35DC</t>
  </si>
  <si>
    <t xml:space="preserve">COMPACT CYLINDER</t>
  </si>
  <si>
    <t xml:space="preserve">SMC Part Description:CYL, COMPACT *LQA
SMC Products Line: ACTUATOR
SMC Family: CQ2 COMPACT CYLINDER
SMC Family Code: LD
SMC Class Description:32MM CQ2 EUROPEAN
WEIGHT: 250 GR
DIMENSION:3,5 X 3,5 X 12 (H)
THE PRICE IS FOR EACH
</t>
  </si>
  <si>
    <t xml:space="preserve">83840</t>
  </si>
  <si>
    <t xml:space="preserve">ECQ2B32-10DC</t>
  </si>
  <si>
    <t xml:space="preserve">ACTUATOR, 32MM CQ2 DOUBLE-ACTING</t>
  </si>
  <si>
    <t xml:space="preserve">SMC Part Description: CYL, COMPACT *LQA
SMC Products Line: ACTUATOR
SMC Family: CQ2 COMPACT CYLINDER
SMC Family Code: L7
SMC Class Description: 32MM CQ2 EUROPEAN
WEIGHT: 100 GR
DIMENSION:5 X 5 X 4 (H)
THE PRICE IS FOR EACH
32MM CQ2 DOUBLE-ACTING
32MM CQ2 DOUBLE-ACTING</t>
  </si>
  <si>
    <t xml:space="preserve">83842</t>
  </si>
  <si>
    <t xml:space="preserve">CQ2B25-25D</t>
  </si>
  <si>
    <t xml:space="preserve">ACTUATOR CYLINDER</t>
  </si>
  <si>
    <t xml:space="preserve">CYL, COMPACT, ADJ STK EXTEND
ACTUATOR
25MM CQ2 OTHERS (COMBO)
32MM CQ2 EUROPEAN
WEIGHT: 150 GR
DIMENSION:4 X 4 X 5,5 (H)
THE PRICE IS FOR EACH
32MM CQ2 DOUBLE-ACTING</t>
  </si>
  <si>
    <t xml:space="preserve">83843</t>
  </si>
  <si>
    <t xml:space="preserve">CQ2B25-20DC</t>
  </si>
  <si>
    <t xml:space="preserve">ACTUATOR, CQ2 COMPACT CYLINDER</t>
  </si>
  <si>
    <t xml:space="preserve">CYL, COMPACT
ACTUATOR
CQ2 COMPACT CYLINDER
25MM CQ2 OTHERS (COMBO)
32MM CQ2 EUROPEAN
WEIGHT: 100 GR
DIMENSION:4 X 4 X 5 (H)
THE PRICE IS FOR EACH
32MM CQ2 DOUBLE-ACTING</t>
  </si>
  <si>
    <t xml:space="preserve">83844</t>
  </si>
  <si>
    <t xml:space="preserve">ECDQ2B32-30D</t>
  </si>
  <si>
    <t xml:space="preserve">CQ2 COMPACT CYLINDER</t>
  </si>
  <si>
    <t xml:space="preserve">SMC ECDQ2B32-30D cyl, compact, CQ2 COMPACT CYLINDER
NEW, UNUSED CONDITION.
25MM CQ2 OTHERS (COMBO)
32MM CQ2 EUROPEAN
WEIGHT: 300 GR
DIMENSION:6 X 4,5 X 8 (H)
THE PRICE IS FOR EACH
32MM CQ2 DOUBLE-ACTING</t>
  </si>
  <si>
    <t xml:space="preserve">83845</t>
  </si>
  <si>
    <t xml:space="preserve">ECDQ2B32-50D</t>
  </si>
  <si>
    <t xml:space="preserve">SMC ECDQ2B32-50D
WEIGHT:400 GR.
DIM:5,5 X 4,5 X 9 (H)
32MM CQ2 DOUBLE-ACTING</t>
  </si>
  <si>
    <t xml:space="preserve">83867</t>
  </si>
  <si>
    <t xml:space="preserve">MXS16-30 AS</t>
  </si>
  <si>
    <t xml:space="preserve">cyl, slide table, MXS/MXJ GUIDED CYLINDER</t>
  </si>
  <si>
    <t xml:space="preserve">PRESS 0.15-07 MPa
15-7 1 KGF/CM
22-100 PSI
WEIGHT: 700 GR.
DIMENSION: 8,5 CM. X 8 CM. X 4 CM.(H)</t>
  </si>
  <si>
    <t xml:space="preserve">83612</t>
  </si>
  <si>
    <t xml:space="preserve">USED, with connectors   
SMC Actuator, Rotary Vane type
CRB2H12
Ships from our Boerne, TX Location
</t>
  </si>
  <si>
    <t xml:space="preserve">83868</t>
  </si>
  <si>
    <t xml:space="preserve">CDQ1B32-40D</t>
  </si>
  <si>
    <t xml:space="preserve">CYL compact, CQ2 COMPACT CYLINDER</t>
  </si>
  <si>
    <t xml:space="preserve">MAX PRESS 9.9 KGF/CM
140 PSI
PQ
D80
WEIGHT: 700 GR.
DIMENSION: 10 CM. X 15 CM. X 7,5 CM.(H)</t>
  </si>
  <si>
    <t xml:space="preserve">83869</t>
  </si>
  <si>
    <t xml:space="preserve">CDQ1B40-20DM</t>
  </si>
  <si>
    <t xml:space="preserve">CYLINDER compact, CQ2 COMPACT CYLINDER</t>
  </si>
  <si>
    <t xml:space="preserve">MAX PRESS 9.9 KGF/CM
140 PSI
OQ
20 DM
D80
BIN: SU 225-2-D
WEIGHT: 500 GR.
DIMENSION: 9 CM. X 5 CM. X 8 CM.(H)</t>
  </si>
  <si>
    <t xml:space="preserve">83872</t>
  </si>
  <si>
    <t xml:space="preserve">DF9N</t>
  </si>
  <si>
    <t xml:space="preserve">VALVES</t>
  </si>
  <si>
    <t xml:space="preserve">CKD DF9N
WEIGHT: 100 GR.
DIMENSION:12 CM. X 2 CM. X 5 CM.(H) FOR EACH</t>
  </si>
  <si>
    <t xml:space="preserve">83632</t>
  </si>
  <si>
    <t xml:space="preserve">MHF2-12D1R</t>
  </si>
  <si>
    <t xml:space="preserve">SMC cylinder </t>
  </si>
  <si>
    <t xml:space="preserve"> Used, removed from working tool, sold as-is.
 SMC Cylinder
Press. 0.1 - 0.7  </t>
  </si>
  <si>
    <t xml:space="preserve">93406</t>
  </si>
  <si>
    <t xml:space="preserve">INR 341-54E</t>
  </si>
  <si>
    <t xml:space="preserve">93407</t>
  </si>
  <si>
    <t xml:space="preserve">INR-341-59B</t>
  </si>
  <si>
    <t xml:space="preserve">Condition: It will be tested and confirmed to work functionally, properly 
before shipping.
Warranty: 30 days parts repair after receiving the machine (Control board 
is not included).
 </t>
  </si>
  <si>
    <t xml:space="preserve">93408</t>
  </si>
  <si>
    <t xml:space="preserve">INR-341-59A</t>
  </si>
  <si>
    <t xml:space="preserve">93410</t>
  </si>
  <si>
    <t xml:space="preserve">INR-499-201</t>
  </si>
  <si>
    <t xml:space="preserve">SMC INR 499-201 Chiller (Used)
Condition of Chiller: Used ,Tested, working functionally.</t>
  </si>
  <si>
    <t xml:space="preserve">93411</t>
  </si>
  <si>
    <t xml:space="preserve">INR-499-203</t>
  </si>
  <si>
    <t xml:space="preserve">93414</t>
  </si>
  <si>
    <t xml:space="preserve">INR-341-59B1</t>
  </si>
  <si>
    <t xml:space="preserve">84214</t>
  </si>
  <si>
    <t xml:space="preserve">ULUSP-00005</t>
  </si>
  <si>
    <t xml:space="preserve">PNEUMATIC MANIFOLD BASE BLOCK with SMC VL-14 VL-15 VL-16</t>
  </si>
  <si>
    <t xml:space="preserve">on ebay
</t>
  </si>
  <si>
    <t xml:space="preserve">109031</t>
  </si>
  <si>
    <t xml:space="preserve">Max QM3000</t>
  </si>
  <si>
    <t xml:space="preserve">Automatic Pick and Place Machine</t>
  </si>
  <si>
    <t xml:space="preserve">-Still installed and operational
-Located in USA
-Can be inspected by appointment</t>
  </si>
  <si>
    <t xml:space="preserve">110631</t>
  </si>
  <si>
    <t xml:space="preserve">Sokudo</t>
  </si>
  <si>
    <t xml:space="preserve">SK-3000</t>
  </si>
  <si>
    <t xml:space="preserve">110632</t>
  </si>
  <si>
    <t xml:space="preserve">110633</t>
  </si>
  <si>
    <t xml:space="preserve">110634</t>
  </si>
  <si>
    <t xml:space="preserve">110635</t>
  </si>
  <si>
    <t xml:space="preserve">110636</t>
  </si>
  <si>
    <t xml:space="preserve">109589</t>
  </si>
  <si>
    <t xml:space="preserve">Solitec</t>
  </si>
  <si>
    <t xml:space="preserve">FlexiFab</t>
  </si>
  <si>
    <t xml:space="preserve">Coater and Developer</t>
  </si>
  <si>
    <t xml:space="preserve">109590</t>
  </si>
  <si>
    <t xml:space="preserve">5100</t>
  </si>
  <si>
    <t xml:space="preserve">Manual Spin Coater</t>
  </si>
  <si>
    <t xml:space="preserve">73208</t>
  </si>
  <si>
    <t xml:space="preserve">5110C</t>
  </si>
  <si>
    <t xml:space="preserve">Manually loading Photoresist Spin Coater </t>
  </si>
  <si>
    <t xml:space="preserve">3 to 9 inch</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</si>
  <si>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Avezzano Italy.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</si>
  <si>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 xml:space="preserve">108876</t>
  </si>
  <si>
    <t xml:space="preserve">SONIX</t>
  </si>
  <si>
    <t xml:space="preserve">UHR-2000</t>
  </si>
  <si>
    <t xml:space="preserve">Scanning Acoustic Microscope</t>
  </si>
  <si>
    <t xml:space="preserve">53268</t>
  </si>
  <si>
    <t xml:space="preserve">Sorensen</t>
  </si>
  <si>
    <t xml:space="preserve">SS200-S0120</t>
  </si>
  <si>
    <t xml:space="preserve">Power Supply Megatest Part number 113849</t>
  </si>
  <si>
    <t xml:space="preserve">Megatest Part Number:113849 Vintage 1994 Qty 3
Available Input: 230V 18A Output: 5V 360A</t>
  </si>
  <si>
    <t xml:space="preserve">83505</t>
  </si>
  <si>
    <t xml:space="preserve">SORENSEN</t>
  </si>
  <si>
    <t xml:space="preserve">84366</t>
  </si>
  <si>
    <t xml:space="preserve">Sosul</t>
  </si>
  <si>
    <t xml:space="preserve">Etch Kit</t>
  </si>
  <si>
    <t xml:space="preserve">6" Etch kit for Sosul 2300</t>
  </si>
  <si>
    <t xml:space="preserve">6"</t>
  </si>
  <si>
    <t xml:space="preserve">New Sosul 6" Etch kit
Includes:
(MORE TO COME) NEW INVENTORY FOR SDI</t>
  </si>
  <si>
    <t xml:space="preserve">7689</t>
  </si>
  <si>
    <t xml:space="preserve">Special Optics</t>
  </si>
  <si>
    <t xml:space="preserve">Beam Enlarger for Argon Ion Laser</t>
  </si>
  <si>
    <t xml:space="preserve">Beam Enlarger for Argon Ion laser</t>
  </si>
  <si>
    <t xml:space="preserve">parts</t>
  </si>
  <si>
    <t xml:space="preserve">Removed from an Insystems 8800 inspection system which uses holograms to 
evidence very small defects in wafers. Two available. Lens diameter 18 cm 
Warehoused in Avezzano (AQ) , Italy.</t>
  </si>
  <si>
    <t xml:space="preserve">7690</t>
  </si>
  <si>
    <t xml:space="preserve">Fourier Transform Lens</t>
  </si>
  <si>
    <t xml:space="preserve">Fourier transform Lens for Argon Ion laser</t>
  </si>
  <si>
    <t xml:space="preserve">Removed from an Insystems 8800 inspection system which uses holograms to 
evidence very small defects in wafers. Two available. Lens diameter 34 cm 
Warehoused in Avezzano (AQ) , Italy.</t>
  </si>
  <si>
    <t xml:space="preserve">53037</t>
  </si>
  <si>
    <t xml:space="preserve">Half silvered mirror 10" X 14"</t>
  </si>
  <si>
    <t xml:space="preserve">Optics coming from an equipment called INsystem</t>
  </si>
  <si>
    <t xml:space="preserve">53038</t>
  </si>
  <si>
    <t xml:space="preserve">Motorized Iris 6"</t>
  </si>
  <si>
    <t xml:space="preserve">Motorized Iris assembly, see images for details.</t>
  </si>
  <si>
    <t xml:space="preserve">53039</t>
  </si>
  <si>
    <t xml:space="preserve">Mirror, 9" X 7"</t>
  </si>
  <si>
    <t xml:space="preserve">Optics coming from an equipment called INsystem, no pictures provided, 
mirror is sealed.</t>
  </si>
  <si>
    <t xml:space="preserve">53040</t>
  </si>
  <si>
    <t xml:space="preserve">APOD #113</t>
  </si>
  <si>
    <t xml:space="preserve">53043</t>
  </si>
  <si>
    <t xml:space="preserve">Beam expander</t>
  </si>
  <si>
    <t xml:space="preserve">110507</t>
  </si>
  <si>
    <t xml:space="preserve">SPTS</t>
  </si>
  <si>
    <t xml:space="preserve">A45494</t>
  </si>
  <si>
    <t xml:space="preserve">110508</t>
  </si>
  <si>
    <t xml:space="preserve">A48870R</t>
  </si>
  <si>
    <t xml:space="preserve">110509</t>
  </si>
  <si>
    <t xml:space="preserve">AC1948</t>
  </si>
  <si>
    <t xml:space="preserve">110510</t>
  </si>
  <si>
    <t xml:space="preserve">AS307416.07</t>
  </si>
  <si>
    <t xml:space="preserve">110511</t>
  </si>
  <si>
    <t xml:space="preserve">AS310777.04</t>
  </si>
  <si>
    <t xml:space="preserve">110512</t>
  </si>
  <si>
    <t xml:space="preserve">AS314055-03</t>
  </si>
  <si>
    <t xml:space="preserve">110513</t>
  </si>
  <si>
    <t xml:space="preserve">AS317624.A</t>
  </si>
  <si>
    <t xml:space="preserve">110514</t>
  </si>
  <si>
    <t xml:space="preserve">AS317624.H</t>
  </si>
  <si>
    <t xml:space="preserve">110515</t>
  </si>
  <si>
    <t xml:space="preserve">AS318775.07</t>
  </si>
  <si>
    <t xml:space="preserve">110516</t>
  </si>
  <si>
    <t xml:space="preserve">110517</t>
  </si>
  <si>
    <t xml:space="preserve">AS325489.01</t>
  </si>
  <si>
    <t xml:space="preserve">110518</t>
  </si>
  <si>
    <t xml:space="preserve">AS325489.02</t>
  </si>
  <si>
    <t xml:space="preserve">110519</t>
  </si>
  <si>
    <t xml:space="preserve">AS325490.01</t>
  </si>
  <si>
    <t xml:space="preserve">110520</t>
  </si>
  <si>
    <t xml:space="preserve">102623</t>
  </si>
  <si>
    <t xml:space="preserve">Omega 201</t>
  </si>
  <si>
    <t xml:space="preserve">Plasma Dry etcher (For spares use)</t>
  </si>
  <si>
    <t xml:space="preserve">SPTS Omega 2001 Dry etcher.
Has been partially stripped for spares. See attached photos for details.
Gases used:Ar, BCl3, Cl2, HBr, He, N2, O2, SF6
Located at our warehouse in Avezzano, Italy</t>
  </si>
  <si>
    <t xml:space="preserve">84414</t>
  </si>
  <si>
    <t xml:space="preserve">SQUARED</t>
  </si>
  <si>
    <t xml:space="preserve">SBO-2</t>
  </si>
  <si>
    <t xml:space="preserve">SWITCH</t>
  </si>
  <si>
    <t xml:space="preserve">3536</t>
  </si>
  <si>
    <t xml:space="preserve">CLASS 3
Ui 660 V
I TH 21 A
CLASS 1538
TYPE SBO-2
FORM S
SERIES A
KW 5.5
7.5 HP
KW 10
HP 13,5
WEIGHT: KG. 1,7
DIMENSION: 9 X 11 X 17,2 (H)  FOR EACH
</t>
  </si>
  <si>
    <t xml:space="preserve">108706</t>
  </si>
  <si>
    <t xml:space="preserve">SSEC</t>
  </si>
  <si>
    <t xml:space="preserve">WaferStorm 3300</t>
  </si>
  <si>
    <t xml:space="preserve">Single Wafer Cleaning System</t>
  </si>
  <si>
    <t xml:space="preserve">WaferStorm Wet Processing Platform The WaferStorm platform is the industry 
choice for a number of critical solvent-based processes in the advanced 
packaging, MEMs, RF, Data Storage and Photonics markets. The ML 3300 system 
is well suited for R&amp;D and pilot environments.</t>
  </si>
  <si>
    <t xml:space="preserve">108773</t>
  </si>
  <si>
    <t xml:space="preserve">SSM</t>
  </si>
  <si>
    <t xml:space="preserve">470i</t>
  </si>
  <si>
    <t xml:space="preserve">CV Plotter</t>
  </si>
  <si>
    <t xml:space="preserve">106742</t>
  </si>
  <si>
    <t xml:space="preserve">5200</t>
  </si>
  <si>
    <t xml:space="preserve">Resistivity Measurement</t>
  </si>
  <si>
    <t xml:space="preserve">95233</t>
  </si>
  <si>
    <t xml:space="preserve">ST Automation</t>
  </si>
  <si>
    <t xml:space="preserve">MT 32 SX</t>
  </si>
  <si>
    <t xml:space="preserve">Fully Automated Memory Test System for BIST and NAND Memories</t>
  </si>
  <si>
    <t xml:space="preserve">Manufacturer: ST Automation
Model: MT 32 SX
Description: Fully Automated Memory Test System for BIST and NAND Memories
Vintage: Dec 2005
This custom-built flash memory test system consists of a Test head 
robotised manipulator, a Sytrama MTM 32 V01, and the Tester, which is 
mounted in a box, placed on the manipulator and then positioned above the 
prober.
Description of Sytrama Test Head Manipulator: ST Test Head Manipulator QT 
124
Electronic Automation – Agrate
Automazione Flessible Robotica
Model: MTM 32 V01
220 Volt
Year: Dec 2005
SN: 3889
Code: EMan MTM32 V01
Equipment Summarizing Chart
Norminal Voltage: Vn=220V
Frequesncy f=50/60 Hz
Installed 0,8 KW
Power Supply 220V MonoPhase+Earth
Test Head QT124 dims. 1,97x1,78x1,97h
The Boards in the test head are as follows:-
GM
E3
AR-23
AH-20
AG-19
AA-25
R15
AB-26
AB-18
AQ-32
AE-27
F4
AL-30
AM-21
C9
M-13
15
N-14
P7
AP-31
AN-22
S16
A-129
L6
AS24
Q8
MC-17
AF-28
B2
H-12
D-10
A1
Parts included in test head boards include:-
ST Micro Adaxys Test Head for MT32SX
Power Supply: MI.EL Micropower S5216 ed. 2
48Vdc PCB Mounted Power Supply Module
ST Micro Adaxys S5256 Ed. 1 MT32 Test-Head
ST Micro S5254ED1 Interface Jig for BIST and NAND Memories
Please refer to the attached photos for details.
Located at the warehouse of SDI_Fabsurplus at Via Nobel, 46A Avezzano 67051 
Italy.
Can be power on by request.</t>
  </si>
  <si>
    <t xml:space="preserve">86279</t>
  </si>
  <si>
    <t xml:space="preserve">MT32SX</t>
  </si>
  <si>
    <t xml:space="preserve">Flash Memory testing System</t>
  </si>
  <si>
    <t xml:space="preserve">TEST </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</si>
  <si>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t>
  </si>
  <si>
    <t xml:space="preserve">86280</t>
  </si>
  <si>
    <t xml:space="preserve">PT-M1</t>
  </si>
  <si>
    <t xml:space="preserve">PACKING LIST:-
CABLES                                               WEIGHT KG.2,2
MONITOR EIZO                             WEIGHT KG.19 
DIMENSION:45X41X41,5(H)
PT-M1 PERSONAL TESTER     WEIGHT:KG. 45 DIMENSION:73X26,5X47(H)
U1835-F TESTY-HEAD               WEIGHT:KG.7,7 DIMENSION:41,5X35X12,7(H)
U1835 TEST-HEAD                     WEIGHT:KG.7,7 DIMENSION:41,5X35X12,7(H)
U1983 TEST-HEAD                     WEIGHT:KG.8,2 DIMENSION:38X41,5X12,5(H)
XANDEX                                        WEIGHT:KG.2,5 
DIMENSION:20X17X11 (H)
</t>
  </si>
  <si>
    <t xml:space="preserve">80177</t>
  </si>
  <si>
    <t xml:space="preserve">QT200</t>
  </si>
  <si>
    <t xml:space="preserve">Automated Tester System with monitor </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</si>
  <si>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20 CM X 240 CM, WEIGHT 1200 KG
</t>
  </si>
  <si>
    <t xml:space="preserve">80178</t>
  </si>
  <si>
    <t xml:space="preserve">80179</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</si>
  <si>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250 CM X 250 CM, WEIGHT 2000 KG
</t>
  </si>
  <si>
    <t xml:space="preserve">80180</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</si>
  <si>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230 CM X 250 CM, WEIGHT 1800 KG
</t>
  </si>
  <si>
    <t xml:space="preserve">78133</t>
  </si>
  <si>
    <t xml:space="preserve">Test System </t>
  </si>
  <si>
    <t xml:space="preserve">LTX Test Head Included.
-Deinstalled, warehoused.
-In working condition
-See photos for details
-Available for immediate consignment
-Can be inspected by appointment
-Located in Avezzano 67051 Italy
-Includes PC running Windows NT Workstation Embedded, qty 8 units of ST 
Micro PNLQT2 EPR1616-Card Unit
Each PNLQT2 EPR1616 Card Unit contains the following boards:-
-2 x single board computers running Windows NT
-S4766
-CS328ed2
-CNTT6
-CS337
-MLAT6</t>
  </si>
  <si>
    <t xml:space="preserve">80181</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</si>
  <si>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147 CM X 132 CM X 243  CM, WEIGHT 1200 KG
</t>
  </si>
  <si>
    <t xml:space="preserve">80182</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</si>
  <si>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1100 KG
</t>
  </si>
  <si>
    <t xml:space="preserve">80183</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</si>
  <si>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140 CM X 160 CM X 250 CM, WEIGHT 800 KG
</t>
  </si>
  <si>
    <t xml:space="preserve">80184</t>
  </si>
  <si>
    <t xml:space="preserve">QT EPR16 DD</t>
  </si>
  <si>
    <t xml:space="preserve">Automated Flash Memory Tester System with monitor </t>
  </si>
  <si>
    <t xml:space="preserve">-Deinstalled, warehoused.
-In working condition
-See photos for details
-Available for immediate consignment
-Can be inspected by appointment
-Located in Avezzano 67051 Italy
UNCRATED DIMS: 147 CM X 132 CM X 237 CM (H)
CRATED DIMS: 150 CM X 160 CM X 250 CM, WEIGHT 1200 KG
Tester Configuration
-The equipment consists of 2 parts.
1. The test head with cables
2. The main body of the tester.
The main body of the equipment includes the following electronic modules:-
-16 way internet hub manufactured by 3Com.
-ST Automation U1837D Interconnection panel for  2 x Test heads qty 8
-ECO 66 Power supply module qty 2, each one containing the following power 
supplies:-
-Nuclear Elettronica +/- 15V 1A PSU
-Nuclear Elettronica 5V/12A and 6V/2A C PSU
-Monovolt PK120 5V/20A PSU
-Nuclear Elettronica 5V/12A and 6V/2A C PSU
-Monovolt PK120 5V/20A PSU
-Nuclear Elettronica 24V/2.5A PSU
-Nuclear Elettronica 5V/20A PSU
-Nuclear Elettronica 5V/12A and 6V/2A C PSU
-Monovolt PK120 5V/20A PSU
-ST Automation U1980B Main Switch Unit
-An Industrial PC with Windows NT Embedded installed on it
-ST Automation U2008 Master Interface Unit
-ST Automation PNLQT2 EPR1616 Card Unit with Windows NT Embedded 4.0 Class 
2 installed Qty 8 units
-ECO 66 Power supply module qty 2, each one containing the following power 
supplies:-
-Nuclear Elettronica +/- 15V 1A PSU
-Nuclear Elettronica 5V/12A and 6V/2A C PSU
-Nuclear Elettronica 5V/20A PSU
-Nuclear Elettronica 5V/12A and 6V/2A C PSU
-Nuclear Elettronica 5V/20A PSU
-Nuclear Elettronica 24V/2.5A PSU
-Nuclear Elettronica 5V/12A and 6V/2A C PSU
-Nuclear Elettronica 5V/20A PSU
-Nuclear Elettronica 5V/12A and 6V/2A C PSU
-Nuclear Elettronica 5V/20A PSU
Software Installed
-Windows Xp Professional
-ST EATS V2.9.0.11
See attached photos showing the power up testing of the main body.</t>
  </si>
  <si>
    <t xml:space="preserve">78137</t>
  </si>
  <si>
    <t xml:space="preserve">Tester System with monitor </t>
  </si>
  <si>
    <t xml:space="preserve">EPR 16  3 BAIE
Teste VERDI
SN: 5631000
EWS AGRATE
Codice QT 85
Status: Running
Center AG0404
-Deinstalled, warehoused.
-In working condition
-See photos for details
-Available for immediate consignment
-Can be inspected by appointment
-Located in Avezzano 67051 Italy</t>
  </si>
  <si>
    <t xml:space="preserve">78138</t>
  </si>
  <si>
    <t xml:space="preserve">R.S.V.</t>
  </si>
  <si>
    <t xml:space="preserve">ST Memory Test System Electronic Automation </t>
  </si>
  <si>
    <t xml:space="preserve">ST Memory Test System
Electronic Automation – Agrate
Ce marked
Mode: R.S.V.
SN: 3624
Vintage: 07-04
Corse Y 1600  Z 450
V. 220 Hz 50/60 Kw 2
 -Deinstalled, warehoused.
-In working condition
-See photos for details
-Available for immediate consignment
-Can be inspected by appointment
-Located in Avezzano 67051 Italy</t>
  </si>
  <si>
    <t xml:space="preserve">102494</t>
  </si>
  <si>
    <t xml:space="preserve">Automated Flash Memory Testing System FOR TESTING 256 MB MEMORY</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</si>
  <si>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
-This system was only installed, but never actually used., so it is in 
"like New" condition.</t>
  </si>
  <si>
    <t xml:space="preserve">93822</t>
  </si>
  <si>
    <t xml:space="preserve">EPR88</t>
  </si>
  <si>
    <t xml:space="preserve">-De-installed, warehoused, barrier bagged and crated
-Located in Avezzano, Italy
-Can be inspected by appointment
-Includes 8 testing bays</t>
  </si>
  <si>
    <t xml:space="preserve">99969</t>
  </si>
  <si>
    <t xml:space="preserve">3 Bay flash memory testing system, with Intest test head
EPR 16  3 BAIE
Teste VERDI
EWS AGRATE
Codice QT 108
Status: Running
Center AG0404
-Deinstalled, warehoused.
-In working condition
-See photos for details
-Available for immediate consignment
-Can be inspected by appointment
-Located in Avezzano 67051 Italy
CRATED DIMS: 150 CM X 20 CM X 240 CM, WEIGHT 1200 KG</t>
  </si>
  <si>
    <t xml:space="preserve">86670</t>
  </si>
  <si>
    <t xml:space="preserve">-De-installed, warehoused, barrier bagged and crated
-Located in Avezzano, Italy
-Can be inspected by appointment
-Automated test System , including the following parts:-
Box 1
*******
Contents:
-Mouse
-Keyboard
The following System Boards:-
GM
E3
AR-23
AH-20
AG-19
AA-25
R15
AB26
AD18
AQ32
AE27
F4
AL30
AM21
C9
M13
15
N14
P7
AP-31
AN-22
S16
A-129
L6
AS24
Q8
MC17
AF28
B2
H12
D10
A1</t>
  </si>
  <si>
    <t xml:space="preserve">93865</t>
  </si>
  <si>
    <t xml:space="preserve">QT 200 epr 88</t>
  </si>
  <si>
    <t xml:space="preserve">Flash Memory Testing System</t>
  </si>
  <si>
    <t xml:space="preserve">-Currently de-installed and warehoused
-Complete
-Sold as inspected on 8th Feb 2019
-See attached photos for details
-Includes industrial PC and 8 testing bays.</t>
  </si>
  <si>
    <t xml:space="preserve">101848</t>
  </si>
  <si>
    <t xml:space="preserve">Automated Flash Memory Testing System</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</si>
  <si>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t>
  </si>
  <si>
    <t xml:space="preserve">71904</t>
  </si>
  <si>
    <t xml:space="preserve">test head</t>
  </si>
  <si>
    <t xml:space="preserve">test head for Eprom U 1835</t>
  </si>
  <si>
    <t xml:space="preserve">SDI OWNED, Make an offer, Avail Jan 2014, test head for Eprom U 1835</t>
  </si>
  <si>
    <t xml:space="preserve">71908</t>
  </si>
  <si>
    <t xml:space="preserve">PTM1</t>
  </si>
  <si>
    <t xml:space="preserve">Flash Memory Tester</t>
  </si>
  <si>
    <t xml:space="preserve">SDI OWNED, Make an offer, Avail Jan 2014</t>
  </si>
  <si>
    <t xml:space="preserve">71910</t>
  </si>
  <si>
    <t xml:space="preserve">Flash Memory Test System for 256 MB memory testing</t>
  </si>
  <si>
    <t xml:space="preserve">A complete and fully functional ST Automation manufactured Flash Memory 
Testing System, equipped for 256 MB EPROM/flash memory testing,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User Interface consists of:-
-Computer rack with ICP RACK-210w/ace841aps industrial PC
-Operating system installed on the PC: Microsoft Windows XP Professional
-Tester software: ST Micro EATS V 2.9.0.11
-3COM network switch
-ST Micro AL281 Main Power Supply Unit, including qty 3 Mi.El Micropower 
3000W/48VDC/66A PSUs
5. Grill and separaters 177 cm x 157 cm x 215 cm, 2,500 kg
-The system is complete and includes all the system manuals, software etc., 
necessary for operation, and is located at our warehouse in Avezzano (AQ) 
67051 Italy.</t>
  </si>
  <si>
    <t xml:space="preserve">107006</t>
  </si>
  <si>
    <t xml:space="preserve">STANGL</t>
  </si>
  <si>
    <t xml:space="preserve">WPS</t>
  </si>
  <si>
    <t xml:space="preserve">Automated Solvent Strip Bench, with 3 Stainless steel tanks and one QDR tank</t>
  </si>
  <si>
    <t xml:space="preserve">Automated with Siemens PLC system. Has been deinstalled and warehoused.
Located in Europe. This therefore has European voltage set up and CE mark.
This tool had had some parts removed from it .
Missing parts: - some electrical parts. Fire supression equipment.</t>
  </si>
  <si>
    <t xml:space="preserve">84376</t>
  </si>
  <si>
    <t xml:space="preserve">STARTECH</t>
  </si>
  <si>
    <t xml:space="preserve">GC9SF</t>
  </si>
  <si>
    <t xml:space="preserve">GENDER CHANGER</t>
  </si>
  <si>
    <t xml:space="preserve">DB9 FEMALE
MINI GENDER CHANGER
WEIGHT:50 GR.
DIMENSION: 2 X 8,2 CM X 15 (H)
</t>
  </si>
  <si>
    <t xml:space="preserve">84297</t>
  </si>
  <si>
    <t xml:space="preserve">Staubli</t>
  </si>
  <si>
    <t xml:space="preserve">308998-001</t>
  </si>
  <si>
    <t xml:space="preserve">RX90 robot controller</t>
  </si>
  <si>
    <t xml:space="preserve">Staubli / FSI Robot controller for RX90
ASML 4022-485-18511-FET
Excellent condition
</t>
  </si>
  <si>
    <t xml:space="preserve">18864</t>
  </si>
  <si>
    <t xml:space="preserve">STEAG AST</t>
  </si>
  <si>
    <t xml:space="preserve">98050479</t>
  </si>
  <si>
    <t xml:space="preserve">AST machine documentation</t>
  </si>
  <si>
    <t xml:space="preserve">109605</t>
  </si>
  <si>
    <t xml:space="preserve">Strasbaugh</t>
  </si>
  <si>
    <t xml:space="preserve">7AA-SP</t>
  </si>
  <si>
    <t xml:space="preserve">Grinder</t>
  </si>
  <si>
    <t xml:space="preserve">109606</t>
  </si>
  <si>
    <t xml:space="preserve">6EC</t>
  </si>
  <si>
    <t xml:space="preserve">CMP Wafer Polisher</t>
  </si>
  <si>
    <t xml:space="preserve">108490</t>
  </si>
  <si>
    <t xml:space="preserve">6DS-SP</t>
  </si>
  <si>
    <t xml:space="preserve">110521</t>
  </si>
  <si>
    <t xml:space="preserve">STS</t>
  </si>
  <si>
    <t xml:space="preserve">ICP BALUN MATCH</t>
  </si>
  <si>
    <t xml:space="preserve">Sold Ex-Works, UK Office , Part Number:AS318775.07</t>
  </si>
  <si>
    <t xml:space="preserve">84022</t>
  </si>
  <si>
    <t xml:space="preserve">Sun</t>
  </si>
  <si>
    <t xml:space="preserve">Ultrasparc 60</t>
  </si>
  <si>
    <t xml:space="preserve">Unix computer from Teradyne J994</t>
  </si>
  <si>
    <t xml:space="preserve">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</si>
  <si>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 xml:space="preserve">84023</t>
  </si>
  <si>
    <t xml:space="preserve">Ultrasparc 60 (Hard Disk Drive)</t>
  </si>
  <si>
    <t xml:space="preserve">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</si>
  <si>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</si>
  <si>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 xml:space="preserve">84380</t>
  </si>
  <si>
    <t xml:space="preserve">SUNX</t>
  </si>
  <si>
    <t xml:space="preserve">SS-A5</t>
  </si>
  <si>
    <t xml:space="preserve">SENSOR CONNECTIONS</t>
  </si>
  <si>
    <t xml:space="preserve">3C3K
0110-4100-00
WEIGHT: 200 GR.
DIMENSION: 15 X 9 X 4 (H) FOR EACH
THE PRICE IS FOR EACH</t>
  </si>
  <si>
    <t xml:space="preserve">84381</t>
  </si>
  <si>
    <t xml:space="preserve">CX-21/FX/SU</t>
  </si>
  <si>
    <t xml:space="preserve">SENSOR SYSTEM</t>
  </si>
  <si>
    <t xml:space="preserve">C8</t>
  </si>
  <si>
    <t xml:space="preserve">CX-21 C8  2 PIECES
FX-7   A8  2 PIECES
FX-13 D8  1 PIECE
SU-7  K8   1 PIECE
WEIGHT: 150 GR.
DIMENSION: 13 X 9 X 4 (H) FOR EACH</t>
  </si>
  <si>
    <t xml:space="preserve">84382</t>
  </si>
  <si>
    <t xml:space="preserve">SU-7 LO</t>
  </si>
  <si>
    <t xml:space="preserve">SENSOR &amp; SYSTEM</t>
  </si>
  <si>
    <t xml:space="preserve">HB 012</t>
  </si>
  <si>
    <t xml:space="preserve">
WEIGHT: 150 GR.
DIMENSION: 13 X 9 X 4 (H) FOR EACH</t>
  </si>
  <si>
    <t xml:space="preserve">84383</t>
  </si>
  <si>
    <t xml:space="preserve">GSA-5S</t>
  </si>
  <si>
    <t xml:space="preserve">QUALITY PROXIMITY SENSOR</t>
  </si>
  <si>
    <t xml:space="preserve">GSA-5S PS-930GA-1KJ NO.B7075
GSA-5S PS-930GA-1     NO.18076
WEIGHT: 500 GR.
DIMENSION: 11 X 7 X 9 (H) FOR EACH
THE PRICE IS FOR EACH SINGLE ITEM</t>
  </si>
  <si>
    <t xml:space="preserve">84384</t>
  </si>
  <si>
    <t xml:space="preserve">SS-AT1 / SS2-300E</t>
  </si>
  <si>
    <t xml:space="preserve">SS-AT1  I5
SS2-300E 1J
WEIGHT: 150 GR.
DIMENSION: 8 X 8 X 4 (H) FOR EACH</t>
  </si>
  <si>
    <t xml:space="preserve">84385</t>
  </si>
  <si>
    <t xml:space="preserve">SH-21E</t>
  </si>
  <si>
    <t xml:space="preserve">WEIGHT: 100 GR.
DIMENSION: 9 X 8 X 2,5 (H)</t>
  </si>
  <si>
    <t xml:space="preserve">69782</t>
  </si>
  <si>
    <t xml:space="preserve">Super vexta</t>
  </si>
  <si>
    <t xml:space="preserve">udk5114n</t>
  </si>
  <si>
    <t xml:space="preserve">5-phase driver</t>
  </si>
  <si>
    <t xml:space="preserve">5 phase Driver and Motor UPK-566 NAC in origional packaging.</t>
  </si>
  <si>
    <t xml:space="preserve">70302</t>
  </si>
  <si>
    <t xml:space="preserve">SURPASS</t>
  </si>
  <si>
    <t xml:space="preserve">PTC 3/8 NU</t>
  </si>
  <si>
    <t xml:space="preserve">PRESSURE SENSOR FOR EBARA FREX 200</t>
  </si>
  <si>
    <t xml:space="preserve">PTFE PRESSURE SENSOR
FOR EBARA FREX 200</t>
  </si>
  <si>
    <t xml:space="preserve">98497</t>
  </si>
  <si>
    <t xml:space="preserve">SUSS</t>
  </si>
  <si>
    <t xml:space="preserve">ACS200</t>
  </si>
  <si>
    <t xml:space="preserve">Photoresist coater and developer track, 1C, 1 D</t>
  </si>
  <si>
    <t xml:space="preserve">Deinstalled, warehoused. Can be inspected by appointment.
See attached photos for details of condition etc.
There is a photograph giving details of the system configuration attached.</t>
  </si>
  <si>
    <t xml:space="preserve">108299</t>
  </si>
  <si>
    <t xml:space="preserve">Suss MicroTec</t>
  </si>
  <si>
    <t xml:space="preserve">CB200</t>
  </si>
  <si>
    <t xml:space="preserve">High Pressure Wafer Bonding Chamber</t>
  </si>
  <si>
    <t xml:space="preserve">106535</t>
  </si>
  <si>
    <t xml:space="preserve">SUSS Microtec</t>
  </si>
  <si>
    <t xml:space="preserve">Automated Photoresist Coater</t>
  </si>
  <si>
    <t xml:space="preserve">106536</t>
  </si>
  <si>
    <t xml:space="preserve">106537</t>
  </si>
  <si>
    <t xml:space="preserve">ACS200 Classic</t>
  </si>
  <si>
    <t xml:space="preserve">106538</t>
  </si>
  <si>
    <t xml:space="preserve">106539</t>
  </si>
  <si>
    <t xml:space="preserve">ACS200 Plus</t>
  </si>
  <si>
    <t xml:space="preserve">106541</t>
  </si>
  <si>
    <t xml:space="preserve">MASK ALIGNER</t>
  </si>
  <si>
    <t xml:space="preserve">DEINSTALLED TO THE WAREHOUSE IN AUGUST 2022.
SOFTWARE TYPE:DOS</t>
  </si>
  <si>
    <t xml:space="preserve">106913</t>
  </si>
  <si>
    <t xml:space="preserve">MA150 (Spare Parts)</t>
  </si>
  <si>
    <t xml:space="preserve">106954</t>
  </si>
  <si>
    <t xml:space="preserve">Suss MicroTec (Karl Suss)</t>
  </si>
  <si>
    <t xml:space="preserve">This excellent Karl Suss MA150 System mask aligner is still running in 
production and can be inspected by appointment running wafers.
Wafer Size 6 inch
Vintage 2004
Sold ex-cleanroom, excluding deinstallation, crating</t>
  </si>
  <si>
    <t xml:space="preserve">106955</t>
  </si>
  <si>
    <t xml:space="preserve">This excellent Karl Suss MA150 System mask aligner is still running in 
production and can be inspected by appointment running wafers.
Wafer Size 6 inch
Vintage 1998
Sold ex-cleanroom, excluding deinstallation, crating</t>
  </si>
  <si>
    <t xml:space="preserve">106669</t>
  </si>
  <si>
    <t xml:space="preserve">SUSS MICROTECH</t>
  </si>
  <si>
    <t xml:space="preserve">PM8 </t>
  </si>
  <si>
    <t xml:space="preserve">106670</t>
  </si>
  <si>
    <t xml:space="preserve">RC 16</t>
  </si>
  <si>
    <t xml:space="preserve">Resist Spin Coater</t>
  </si>
  <si>
    <t xml:space="preserve">106671</t>
  </si>
  <si>
    <t xml:space="preserve">RC 16(RC5)</t>
  </si>
  <si>
    <t xml:space="preserve">106672</t>
  </si>
  <si>
    <t xml:space="preserve">RC 8-ACS 200 </t>
  </si>
  <si>
    <t xml:space="preserve">87367</t>
  </si>
  <si>
    <t xml:space="preserve">SVG</t>
  </si>
  <si>
    <t xml:space="preserve">99-46450-01</t>
  </si>
  <si>
    <t xml:space="preserve">9200SE SVG ASML 90 track Z-robot</t>
  </si>
  <si>
    <t xml:space="preserve">-Sold "as is".
-See attached photos for the condition
-Untested, sold as-is for parts/refurbishment
</t>
  </si>
  <si>
    <t xml:space="preserve">108104</t>
  </si>
  <si>
    <t xml:space="preserve">8626/8636</t>
  </si>
  <si>
    <t xml:space="preserve">Coater Track</t>
  </si>
  <si>
    <t xml:space="preserve">Coater</t>
  </si>
  <si>
    <t xml:space="preserve">108105</t>
  </si>
  <si>
    <t xml:space="preserve">8632-CTD-D</t>
  </si>
  <si>
    <t xml:space="preserve">Developer Track</t>
  </si>
  <si>
    <t xml:space="preserve">Developer</t>
  </si>
  <si>
    <t xml:space="preserve">72155</t>
  </si>
  <si>
    <t xml:space="preserve">SVG /ASM</t>
  </si>
  <si>
    <t xml:space="preserve">128197-001</t>
  </si>
  <si>
    <t xml:space="preserve">HEATER ELEMENT, HCGI</t>
  </si>
  <si>
    <t xml:space="preserve">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</si>
  <si>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 xml:space="preserve">108979</t>
  </si>
  <si>
    <t xml:space="preserve">SVG Thermco</t>
  </si>
  <si>
    <t xml:space="preserve">606314-02 REV E</t>
  </si>
  <si>
    <t xml:space="preserve">Galil Motion Controller CMU PCB, DMC 1330</t>
  </si>
  <si>
    <t xml:space="preserve">Deinstalled and warehoused. Located at our warehouse in Avezzano (AQ) 67051 
Italy. Available for immediate purchase.
SEE ATTACHED PHOTOS FOR DETAILS OF THE CONDITION.
GALIL MOTION CONTROL
DMC 1330-D130N07G
3 AXIS VME BUS</t>
  </si>
  <si>
    <t xml:space="preserve">108980</t>
  </si>
  <si>
    <t xml:space="preserve">606314-02 REV 1</t>
  </si>
  <si>
    <t xml:space="preserve">Deinstalled and warehoused. Located at our warehouse in Avezzano (AQ) 67051 
Italy. Available for immediate purchase.
SEE ATTACHED PHOTOS FOR DETAILS OF THE CONDITION.
GALIL MOTION CONTROL
DMC-1330-D130N07G
3 AXIS VME BUS</t>
  </si>
  <si>
    <t xml:space="preserve">108982</t>
  </si>
  <si>
    <t xml:space="preserve">606180-01 rev 04</t>
  </si>
  <si>
    <t xml:space="preserve">WTU MOTION CONTROL I/F PCB</t>
  </si>
  <si>
    <t xml:space="preserve">DEINSTALLED AND WAREHOUSED.
AT OUR AVEZZANO, ITALY 67051 WAREHOUSE
SEE ATTACHED PHOTOS FOR DETAILS</t>
  </si>
  <si>
    <t xml:space="preserve">108983</t>
  </si>
  <si>
    <t xml:space="preserve">168160-001 REV 4</t>
  </si>
  <si>
    <t xml:space="preserve">PCB, ANALOG ATMOSPHERE APL</t>
  </si>
  <si>
    <t xml:space="preserve">A brand new PCB in original OEM wrapping. The bag has been opened in order 
to take photos of the PCB.
This consists of 2 PCBs, one mounted on the other:-
ANALOG ATM ASSY 168160-001 REV 4 S/N 10100
ATM ANALOG ADJUST ASSY 168170-001 REV 4 S/N 10108</t>
  </si>
  <si>
    <t xml:space="preserve">108984</t>
  </si>
  <si>
    <t xml:space="preserve">606210-01 REV 4</t>
  </si>
  <si>
    <t xml:space="preserve">S4 CLPB MOTION CONTROL INTERFACE PCB</t>
  </si>
  <si>
    <t xml:space="preserve">NEW PCB IN ORIGINAL BAG.
BAG HAS BEEN OPENED TO TAKE PHOTOS</t>
  </si>
  <si>
    <t xml:space="preserve">108985</t>
  </si>
  <si>
    <t xml:space="preserve">VMEXB12D-CS</t>
  </si>
  <si>
    <t xml:space="preserve">VMEBus J1/J2 Common Substrate Extender Board</t>
  </si>
  <si>
    <t xml:space="preserve">EXTENDER BOARD.
MADE BY DAWN VME PRODUCTS
DAWN ASSY 06-1004072</t>
  </si>
  <si>
    <t xml:space="preserve">108986</t>
  </si>
  <si>
    <t xml:space="preserve">165220-001 REV B</t>
  </si>
  <si>
    <t xml:space="preserve">EXTENDER BOARD</t>
  </si>
  <si>
    <t xml:space="preserve">SEE PHOTOS FOR DETAIL.
ORIGINAL OEM MANUFACTURER EXTENDER BOARD
WILL SHIP TO YOU FROM OUR AVEZZANO 67051 ITALY WAREHOUSE</t>
  </si>
  <si>
    <t xml:space="preserve">106941</t>
  </si>
  <si>
    <t xml:space="preserve">168150-002 REV 3 S13</t>
  </si>
  <si>
    <t xml:space="preserve">RELAY BOARD PCB</t>
  </si>
  <si>
    <t xml:space="preserve">BOARD FOR A THERMCO HORIZONAL FURNACE.
SEE ATTACHED PHOTO FOR DETAILS.
DEINSTALLED FROM WORKING.</t>
  </si>
  <si>
    <t xml:space="preserve">106942</t>
  </si>
  <si>
    <t xml:space="preserve">606200-01 REV 3 S5</t>
  </si>
  <si>
    <t xml:space="preserve">WAF CRT MOTION CONTROL I/F PCB</t>
  </si>
  <si>
    <t xml:space="preserve">106943</t>
  </si>
  <si>
    <t xml:space="preserve">606210-01 REV 4 S4</t>
  </si>
  <si>
    <t xml:space="preserve">CLPB MOTION CONTROL I/F PCB</t>
  </si>
  <si>
    <t xml:space="preserve">BOARD FOR A THERMCO HORIZONAL FURNACE.
SEE ATTACHED PHOTO FOR DETAILS.
NEW UNUSED</t>
  </si>
  <si>
    <t xml:space="preserve">106743</t>
  </si>
  <si>
    <t xml:space="preserve">SVS</t>
  </si>
  <si>
    <t xml:space="preserve">MSX1000</t>
  </si>
  <si>
    <t xml:space="preserve">Auto Track</t>
  </si>
  <si>
    <t xml:space="preserve">83909</t>
  </si>
  <si>
    <t xml:space="preserve">SWAGELOK</t>
  </si>
  <si>
    <t xml:space="preserve">12M06</t>
  </si>
  <si>
    <t xml:space="preserve">SNO-TRIK
TUBE FITTINGS &amp; VALVE FOR HIGH PRESSURE
NUPRO
CAJON
PRECISION PIPE FITTINGS
SNO-TRIK
WEIGHT: GR. 900
DIMENSION:12 CM. X 9 CM. X CM. 5 (H)
</t>
  </si>
  <si>
    <t xml:space="preserve">83910</t>
  </si>
  <si>
    <t xml:space="preserve">55-8-VCO-4</t>
  </si>
  <si>
    <t xml:space="preserve">TUBE FITTINGS</t>
  </si>
  <si>
    <t xml:space="preserve">WEIGHT: GR. 150
DIMENSION:DIAMETER LARGE: 2,3 CM DIAMETER LITTLE:1,8 CM.
</t>
  </si>
  <si>
    <t xml:space="preserve">83911</t>
  </si>
  <si>
    <t xml:space="preserve">SS-4-VCO-3</t>
  </si>
  <si>
    <t xml:space="preserve">IPE 57
</t>
  </si>
  <si>
    <t xml:space="preserve">83912</t>
  </si>
  <si>
    <t xml:space="preserve">SS-4-VCO-4</t>
  </si>
  <si>
    <t xml:space="preserve">IPE 56
</t>
  </si>
  <si>
    <t xml:space="preserve">83913</t>
  </si>
  <si>
    <t xml:space="preserve">SS-605-4</t>
  </si>
  <si>
    <t xml:space="preserve">IPE 63
</t>
  </si>
  <si>
    <t xml:space="preserve">83915</t>
  </si>
  <si>
    <t xml:space="preserve">GLV-4MW-3</t>
  </si>
  <si>
    <t xml:space="preserve">WELD FITTINGS</t>
  </si>
  <si>
    <t xml:space="preserve">L-606A</t>
  </si>
  <si>
    <t xml:space="preserve">MICROBETT
CAJON 316LV
6LV-4MW-3
R26GY0047
PO999318
NORDI
CR/SS
IPE 57
</t>
  </si>
  <si>
    <t xml:space="preserve">83919</t>
  </si>
  <si>
    <t xml:space="preserve">207/235/332</t>
  </si>
  <si>
    <t xml:space="preserve">IPE 108 GR.100 DIMENSION:CM.14 X CM.2 X CM. 2
IPE 110 GR.100 DIMENSION:CM. 9 X  CM.5 X CM. 2
IPE 112 GR. 90  DIMENSION:CM. 6 X  CM.5 X CM.2
IPE 113 GR. 80  DIMENSION:CM. 7 X  CM.5 X CM.2
</t>
  </si>
  <si>
    <t xml:space="preserve">80257</t>
  </si>
  <si>
    <t xml:space="preserve">Swagelok / CAJON</t>
  </si>
  <si>
    <t xml:space="preserve">SS-6-VC0</t>
  </si>
  <si>
    <t xml:space="preserve">33413</t>
  </si>
  <si>
    <t xml:space="preserve">SYNAX</t>
  </si>
  <si>
    <t xml:space="preserve">SX3100</t>
  </si>
  <si>
    <t xml:space="preserve">Fully Automated test Handler, ambient and hot configured.</t>
  </si>
  <si>
    <t xml:space="preserve">Fully refurbished before crating / storage.
Location: Our warehouse, Avezzano, Italy
Tool is in good condition and has been repaired / refurbished to working 
condition and audited
Tool Config:
SX3100 Ambient/Hot Temp. Handler with contact site:Single/Dual/Quad/Octal 
Mode
Full Auto. Input Tray Stacker (300mm)
Full Auto. Empty Tray Elevator (270mm)
6 Category Sort Bin in Output
3 Full Auto. Tray Elevator (270mm)
3 Single Tray
Contact Site: Single/Dual/Quad/Octal Mode
Tray Mechanical Chuck
Contact Layout (Y 57mm and 60mm) Type
ChangeKit and 8ch CCU (X-40mm, Y-57mm) :208 QFN 28X28
Ionizer
TTL/GPIB (Synax Std) Interface Unit
X-Y Pitch Adjustable Transfer
Additional Contact Pitch Block – 8ch (X-40mm, Y-60mm)</t>
  </si>
  <si>
    <t xml:space="preserve">33414</t>
  </si>
  <si>
    <t xml:space="preserve">Fully refurbished before crating / storage.
SX3100 Ambient/Hot Temp. Handler
Full Auto. Input Tray Stacker (300mm)
Full Auto. Empty Tray Elevator (270mm)
6 Category Sort Bin in Output
3 Full Auto. Tray Elevator (270mm)
3 Single Tray
Contact Site: Single/Dual/Quad/Octal Mode
Tray Mechanical Chuck
Contact Layout (Y 57mm and 60mm) Type
PHOTOS REPRESENTATIVE OF THIS TOOL, SAME AS 33413
Crated, in warehouse and ready to sell!
Location: avezzano, italy</t>
  </si>
  <si>
    <t xml:space="preserve">79888</t>
  </si>
  <si>
    <t xml:space="preserve">System General</t>
  </si>
  <si>
    <t xml:space="preserve">T9600</t>
  </si>
  <si>
    <t xml:space="preserve">Universal Device  Programmer</t>
  </si>
  <si>
    <t xml:space="preserve">System General T9600 Universal Device Programmer with EPD (Extended Pin 
Driver) Adapter.
Once called "The World’s fastest universal device programmer", it supports 
EPROM, EEPROM, Flash EPROM, Micro-controller, CPLD, CMOS PLD, FPGA, 
Anti-fuse and other devices.
It powers up and the USB hub is recognised by a PC. We have no sockets so 
are unable to test it further. Because of this, it is sold as-is, 
officially "for parts or not working" even though it may work fine, may be 
faulty but repairable or may be shot - we just don't know. It is in good 
cosmetic condition, with some scuffs, scratches, sticker residue or magic 
marker traces. No power cord (standard IEC) or USB cable is included.
Dims: 23 x 20 x 19 weight 2 kg
Location: Avezzano (AQ) 67051 Italy.
</t>
  </si>
  <si>
    <t xml:space="preserve">79890</t>
  </si>
  <si>
    <t xml:space="preserve">Systron Donner</t>
  </si>
  <si>
    <t xml:space="preserve">DL 40 - 2A</t>
  </si>
  <si>
    <t xml:space="preserve">Powe Supply - single and dual voltage</t>
  </si>
  <si>
    <t xml:space="preserve">IN GOOD WORKING CONDITION
LOCATION - AVEZZANO 67051 ITALY
WAREHOUSED
CAN BE INSPECTED BY APPOINTMENT
</t>
  </si>
  <si>
    <t xml:space="preserve">78136</t>
  </si>
  <si>
    <t xml:space="preserve">Sytrama</t>
  </si>
  <si>
    <t xml:space="preserve">MTM 32 V01</t>
  </si>
  <si>
    <t xml:space="preserve">ST Test Head Manipulator QT 124</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</si>
  <si>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-Deinstalled, warehoused.
-In working condition
-See photos for details
-Available for immediate consignment
-Can be inspected by appointment
-Located in Avezzano 67051 Italy</t>
  </si>
  <si>
    <t xml:space="preserve">80089</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</si>
  <si>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1,97x1,78x1,97h
weight: 300 Kg.
-Deinstalled, warehoused.
-In working condition
-See photos for details
-Available for immediate consignment
-Can be inspected by appointment
-Located in Avezzano 67051 Italy
 </t>
  </si>
  <si>
    <t xml:space="preserve">110522</t>
  </si>
  <si>
    <t xml:space="preserve">T&amp;C POWER</t>
  </si>
  <si>
    <t xml:space="preserve">Sold Ex-Works, UK Office , Part Number:06-380 Power Supply</t>
  </si>
  <si>
    <t xml:space="preserve">110523</t>
  </si>
  <si>
    <t xml:space="preserve">110524</t>
  </si>
  <si>
    <t xml:space="preserve">110525</t>
  </si>
  <si>
    <t xml:space="preserve">110526</t>
  </si>
  <si>
    <t xml:space="preserve">71165</t>
  </si>
  <si>
    <t xml:space="preserve">Taitec</t>
  </si>
  <si>
    <t xml:space="preserve">TEX 25C</t>
  </si>
  <si>
    <t xml:space="preserve">HEAT EXCHANGER</t>
  </si>
  <si>
    <t xml:space="preserve">    * QTY 2 AVAILABLE
    * REFIGERANT: GALDEN HT 270
    * WORKING TEMPERATURE: 180 CELCIUS
    * 70 CM X 42 CM X 92 CM HEIGHT, WEIGHT 50 KG
    * 208 v 3 phase 15 a 50/60 hz
    * CE marked
    * made in Japan</t>
  </si>
  <si>
    <t xml:space="preserve">106544</t>
  </si>
  <si>
    <t xml:space="preserve">Takatori</t>
  </si>
  <si>
    <t xml:space="preserve">ATM-1100E</t>
  </si>
  <si>
    <t xml:space="preserve">Film Laminator - Taping Machine</t>
  </si>
  <si>
    <t xml:space="preserve">108877</t>
  </si>
  <si>
    <t xml:space="preserve">TAMARACK SCIENTIFIC</t>
  </si>
  <si>
    <t xml:space="preserve">Mask Aligner, Contact Mask Exposure System</t>
  </si>
  <si>
    <t xml:space="preserve">27748</t>
  </si>
  <si>
    <t xml:space="preserve">TAYLOR-WARTON</t>
  </si>
  <si>
    <t xml:space="preserve">LD 25</t>
  </si>
  <si>
    <t xml:space="preserve">DEWAR FOR CRYOGENIC FLUIDS</t>
  </si>
  <si>
    <t xml:space="preserve">25 litre dewar for liquid nitrogen Neck opening 6cm</t>
  </si>
  <si>
    <t xml:space="preserve">109015</t>
  </si>
  <si>
    <t xml:space="preserve">Tazmo/Semix</t>
  </si>
  <si>
    <t xml:space="preserve">TR 6133UD</t>
  </si>
  <si>
    <t xml:space="preserve">Photoresist Coater and Developer tRACK, SOG type</t>
  </si>
  <si>
    <t xml:space="preserve">100 mm to 150 mm</t>
  </si>
  <si>
    <t xml:space="preserve">for Wafer Size: 4"- 6"
Coater systems, 4"-6" (3) Zone hotplate Single / double cassette Fluoroware 
type with pitch of 3/16" for (25) Wafers SOG Nozzles: 0.85mm, 1/16" tubing 
Nozzle capping mechanism Nozzle cleaning with solvent Splash back cup 
cleaning with solvent Adjustable suck back valve Polypropylene tank: 1 
gallon PVC, 11" Teflon solvent tubing and suck back valve (3) Vacuum chuck 
hot plates Heater capacity: 3.8 Kw (total) at 250°C Baking time: 0-999.9 
secs with increments of 0.1 sec Normal indicator setting: ±3°C SOG Filter: 
.22 μm Fluoropore fitter Chemical cabinet: 5 Gallon capacity (2) Nozzles 
back side rinses (edge bead removal) Solvent filter: MILLIPORE CWFG00403 
Fluorex / WGFG04HP6 Wafergard Gas line filter: MILLIPORE GTL WGFG01D 
Wafergard 0.22 μm filter Wafer transport system: Indexing elevator Vacuum 
chuck Shuttle mechanism Walking beam Control unit: Microprocessor: INTEL 
8065 (main and (2) sub CPUs) Speed: 100-9000 RPM (4") / 8000 RPM (6") ± 
.15% (50-1990 RPM) and ±.1% (2000-6000 RPM) Alarm for speed ±3% of RPM 
(speed higher than 300 RPM) Acceleration: Maximum rate 1 sec for 0 to 5000 
RPM (programmable in increments of 1 sec) Process: 20-Steps, 8 / 16 recipes 
Temperature control: ±1°C Uniformity with alarm setting of ±3°C Spinning, 
dispensing time: 0-99 Sec programmable Baking time: 0-999 Sec programmable 
Process display: Back-lit LCD.
2 pcs in Store
 </t>
  </si>
  <si>
    <t xml:space="preserve">83522</t>
  </si>
  <si>
    <t xml:space="preserve">TDK</t>
  </si>
  <si>
    <t xml:space="preserve">E S R 05-12R-3</t>
  </si>
  <si>
    <t xml:space="preserve">SWITCHING REGULATOR</t>
  </si>
  <si>
    <t xml:space="preserve">NEC CORPORATION</t>
  </si>
  <si>
    <t xml:space="preserve">POWER SUPPLY
ESR -3
05-12R
AC 100V
DC 5V 12 A
</t>
  </si>
  <si>
    <t xml:space="preserve">106834</t>
  </si>
  <si>
    <t xml:space="preserve">E3, E4, E4A, F1 </t>
  </si>
  <si>
    <t xml:space="preserve">110527</t>
  </si>
  <si>
    <t xml:space="preserve">RKW24</t>
  </si>
  <si>
    <t xml:space="preserve">Sold Ex-Works, UK Office , Part Number:RKW24-27R</t>
  </si>
  <si>
    <t xml:space="preserve">110528</t>
  </si>
  <si>
    <t xml:space="preserve">110529</t>
  </si>
  <si>
    <t xml:space="preserve">110530</t>
  </si>
  <si>
    <t xml:space="preserve">110531</t>
  </si>
  <si>
    <t xml:space="preserve">108878</t>
  </si>
  <si>
    <t xml:space="preserve">TECHNICAL MFG. CORP.</t>
  </si>
  <si>
    <t xml:space="preserve">MICRO-g 62-111</t>
  </si>
  <si>
    <t xml:space="preserve">Vibration Isolation Table, 36" X 72"; 1/4"- 20 Holes on 2" Centers</t>
  </si>
  <si>
    <t xml:space="preserve">108879</t>
  </si>
  <si>
    <t xml:space="preserve">MICRO-g 63-463</t>
  </si>
  <si>
    <t xml:space="preserve">Vibration Isolation Table, 48" X 30"</t>
  </si>
  <si>
    <t xml:space="preserve">108880</t>
  </si>
  <si>
    <t xml:space="preserve">MICRO-g 63-661</t>
  </si>
  <si>
    <t xml:space="preserve">Vibration Isolation Table, 47" X 36"</t>
  </si>
  <si>
    <t xml:space="preserve">84502</t>
  </si>
  <si>
    <t xml:space="preserve">TED PELLA INC</t>
  </si>
  <si>
    <t xml:space="preserve">CAT 622 M</t>
  </si>
  <si>
    <t xml:space="preserve">TIN SPHERES ON CARBON</t>
  </si>
  <si>
    <t xml:space="preserve">17.8mm Mount</t>
  </si>
  <si>
    <t xml:space="preserve">P.O.BOX 492477
REDDING,CA 96049
CAT 622M
TIN SPHERES ON CARBON
17.8mm Mount
</t>
  </si>
  <si>
    <t xml:space="preserve">106150</t>
  </si>
  <si>
    <t xml:space="preserve">Tegal</t>
  </si>
  <si>
    <t xml:space="preserve">903E</t>
  </si>
  <si>
    <t xml:space="preserve">-The equipment is in working condition, and will perform to OEM 
specifications.
Tegal 903e Reactive Ion Etcher rebuilt to factory OEM
specifications includes:
Reactor with 4 gas option. SF6,CHF3,Oxygen, Helium mass flow controllers
1000 watt 13.56 MHz generator, control monitor, endpoint capability, manual 
qty 1
Price does not include shipping or crating or vacuum pump</t>
  </si>
  <si>
    <t xml:space="preserve">106151</t>
  </si>
  <si>
    <t xml:space="preserve">TEGAL </t>
  </si>
  <si>
    <t xml:space="preserve">900</t>
  </si>
  <si>
    <t xml:space="preserve">Plasma dry etch</t>
  </si>
  <si>
    <t xml:space="preserve">-Deinstalled
-Warehoused
-Set up for load and unload of 4 inch wafers, cassette to cassette.
-Sold Strictly "as is, where is", with condition as shown in the photos.
-Parts included:-
-Reaction Chamber Item CC1012-00100 s/n 10206
-RF Delivery Item CR1044-00201 s/n 10593
-Matching Network Item CR1113-00801 s/n CR16161
-Item CS1001-400xx s/n 10141 S22233232222W
Gas Box Setup:-
Gas O2 Range 500 sccm UFC1100
Gas: SF6 Range 50 sccm UFC1200A
Gas: CF4 Range 100 SCCM UFC1200A
Gas: O2 Range 20 sccm UFC1XXX</t>
  </si>
  <si>
    <t xml:space="preserve">106152</t>
  </si>
  <si>
    <t xml:space="preserve">De-installed, warehoused. Can be inspected by appointment.
-Set up for load and unload of 4 inch wafers, cassette to cassette.
-Sold Strictly "as is, where is", with condition as shown in the photos.
-Parts included:-
-RF Delivery Item CR1044-00406RW s/n 10511
-Matching Network Item CR1113-00301 s/n 14321
-Item CS1017-400xx s/n 10135 S22233232222W
Gas Box Setup:-
Gas N2 Range 2 SLM UPC1300
Gas: CF4 Range 100 sccm UFC1200A
Gas: N2 Range 20 SCCM UFC1000
Gas: C2F6 Range 50 sccm UFC1000
Gas: N2 Range 500 sccm Brooks 5850E</t>
  </si>
  <si>
    <t xml:space="preserve">110532</t>
  </si>
  <si>
    <t xml:space="preserve">Tegal Match</t>
  </si>
  <si>
    <t xml:space="preserve">Sold Ex-Works, UK Office , Part Number:CR1008-00104</t>
  </si>
  <si>
    <t xml:space="preserve">110533</t>
  </si>
  <si>
    <t xml:space="preserve">Sold Ex-Works, UK Office , Part Number:CR1008-00206RW</t>
  </si>
  <si>
    <t xml:space="preserve">110534</t>
  </si>
  <si>
    <t xml:space="preserve">Tegal </t>
  </si>
  <si>
    <t xml:space="preserve">Sold Ex-Works, UK Office , Part Number:CR1008-00406</t>
  </si>
  <si>
    <t xml:space="preserve">110535</t>
  </si>
  <si>
    <t xml:space="preserve">Sold Ex-Works, UK Office , Part Number:CR1008-00407</t>
  </si>
  <si>
    <t xml:space="preserve">110536</t>
  </si>
  <si>
    <t xml:space="preserve">110537</t>
  </si>
  <si>
    <t xml:space="preserve">Tegal Match </t>
  </si>
  <si>
    <t xml:space="preserve">Sold Ex-Works, UK Office , Part Number:CR1008-00408EX</t>
  </si>
  <si>
    <t xml:space="preserve">110538</t>
  </si>
  <si>
    <t xml:space="preserve">Sold Ex-Works, UK Office , Part Number:CR1113-00301</t>
  </si>
  <si>
    <t xml:space="preserve">110539</t>
  </si>
  <si>
    <t xml:space="preserve">110540</t>
  </si>
  <si>
    <t xml:space="preserve">110541</t>
  </si>
  <si>
    <t xml:space="preserve">Sold Ex-Works, UK Office , Part Number:CR1144-00103</t>
  </si>
  <si>
    <t xml:space="preserve">110542</t>
  </si>
  <si>
    <t xml:space="preserve">Sold Ex-Works, UK Office , Part Number:CR1144-00104</t>
  </si>
  <si>
    <t xml:space="preserve">110543</t>
  </si>
  <si>
    <t xml:space="preserve">110544</t>
  </si>
  <si>
    <t xml:space="preserve">110545</t>
  </si>
  <si>
    <t xml:space="preserve">110546</t>
  </si>
  <si>
    <t xml:space="preserve">Sold Ex-Works, UK Office , Part Number:CR1144-00104RW</t>
  </si>
  <si>
    <t xml:space="preserve">110547</t>
  </si>
  <si>
    <t xml:space="preserve">Sold Ex-Works, UK Office , Part Number:CR1303-10202 , Secondary P/N:450 KHZ</t>
  </si>
  <si>
    <t xml:space="preserve">108598</t>
  </si>
  <si>
    <t xml:space="preserve">TEKTRONIX</t>
  </si>
  <si>
    <t xml:space="preserve">TDS720P</t>
  </si>
  <si>
    <t xml:space="preserve">Oscilloscope</t>
  </si>
  <si>
    <t xml:space="preserve">76613</t>
  </si>
  <si>
    <t xml:space="preserve">Tektronix</t>
  </si>
  <si>
    <t xml:space="preserve">TDS694C</t>
  </si>
  <si>
    <t xml:space="preserve">Digital 3 GHz real-time oscilloscope</t>
  </si>
  <si>
    <t xml:space="preserve">Tektronix TDS694C
Product number: 071-0473-00
Opts:  HD,  Hard disk drive
Opts: 1M Extend record length from 30,000 samples standard
 Tektronix TDS694C - 3GHz/4Ch/10GS/s/30K, Digital Storage 
OscilloscopeTektronix TDS694C - Digital Storage
S/N B011726
CE MARKED
POWERS UP (SEE PHOTOS)
Includes:
Tektronix P6248 Differential Probe 1.7 GHz Bandwidth - QTY 2
Tektronix P6339A 500 MHz Buffered Passive Probe - Qty 4
-Various small parts
-A complete set of manuals in English
-TDS694C Programmer manual p/n 06-3060-00
-Deinstalled, warehoused.
-In working condition
-See photos for details
-Available for immediate consignment
-Can be inspected by appointment
-Located in Avezzano 67051 Italy</t>
  </si>
  <si>
    <t xml:space="preserve">79590</t>
  </si>
  <si>
    <t xml:space="preserve">TDS 544A</t>
  </si>
  <si>
    <t xml:space="preserve">Color 4 channel digitizing oscilloscope</t>
  </si>
  <si>
    <t xml:space="preserve">-In Italy
-CE marked
-In operational condition
-see photo for details
-500 MHz
1GS/s
Shipping Information:
Dimensions: 500 mm x 300 mm x 400 mm weight 10 KG
-Deinstalled, warehoused.
-In working condition
-See photos for details
-Available for immediate consignment
-Can be inspected by appointment
-Located in Avezzano 67051 Italy
</t>
  </si>
  <si>
    <t xml:space="preserve">108774</t>
  </si>
  <si>
    <t xml:space="preserve">7704</t>
  </si>
  <si>
    <t xml:space="preserve">79597</t>
  </si>
  <si>
    <t xml:space="preserve">PS 280</t>
  </si>
  <si>
    <t xml:space="preserve">DC Power supply (Working condition)</t>
  </si>
  <si>
    <t xml:space="preserve">The PS280 DC power supply is a multifunction bench top or portable 
instrument. It is a regulated power supply that provides fixed 5 V output 
for powering logic circuits and two variable outputs for a wide range of 
test and experimental uses.
-Deinstalled, warehoused.
-In working condition
-See photos for details
-Available for immediate consignment
-Can be inspected by appointment
-Located in Avezzano 67051 Italy
    * Triple Output
    * One Fixed 5 V, 3 A Supply
    * Two Variable Outputs, 0 to 30 V, 2 A
    * Digital LED Output Indicator
    * Variable Current Limiting
    * Selectable Independent Tracking Mode
    * Dual Tracking, Variable 0 to 30 V, 2.0 A</t>
  </si>
  <si>
    <t xml:space="preserve">79599</t>
  </si>
  <si>
    <t xml:space="preserve">11801C</t>
  </si>
  <si>
    <t xml:space="preserve">Digital Sampling Oscilloscope</t>
  </si>
  <si>
    <t xml:space="preserve">-deinstalled and warehoused.
-Located in Avezzano (AQ) 67051 Italy
-Can be inspected by appointment
-Includes qty 1 SD 24 TDR Sampling head. Includes maintenance manual. 
Includes operation manual.
The 11801C Digital Sampling Oscilloscope offers the widest range of 
on-board measurement and waveform processing capabilities of any 
multi-Gigahertz scope. With excellent measurement repeatability, 
exceptional vertical resolution, and fast display update rate, the 11801C 
is a powerful measurement tool for semiconductor testing, TDR 
characterization of circuit boards, IC packages and cables, and high-speed 
digital data communications.
    * DC To 50-Ghz Bandwidth
    * 7-ps Rise Time
    * Eight Channels, Expandable to 136 (with SM-11 multichannel units)
    * High Resolution and Measurement Repeatability
    * 10-Femtosecond Sampling Interval (0.01 ps)
    * Modular Architecture
    * Dual-Timebase Allows Multiple Windows
    * FFT
    * Predefined Telecom Masks
    * True Dual-Step Differential TDR
    * Fully Automatic Jitter and Noise Measurements
    * Automatic Statistical Measurements, Histograms, and Mask Testing
    * Automatic Pulse Measurements with Statistics
    * Comprehensive Waveform Processing
    * Complete Programmability for ATE Applications
    * Color Display with Color Grading</t>
  </si>
  <si>
    <t xml:space="preserve">79601</t>
  </si>
  <si>
    <t xml:space="preserve">2432A</t>
  </si>
  <si>
    <t xml:space="preserve">Digital Oscilloscope, 2 channel, with GPIB</t>
  </si>
  <si>
    <t xml:space="preserve">-250 MS/s
-GPIB
-Deinstalled, warehoused.
-In working condition
-See photos for details
-Available for immediate consignment
-Can be inspected by appointment
-Located in Avezzano 67051 Italy
DC to 300MHz bandwidth
2 channels
250 MSa/s sampling rate
1024-points record length per channel
2ns glitch capture
Extensive triggering capabilities
Direct printer / plotter output
Built-in automatic measurements
CRT display
Includes the following probes: TEK P6134C 10X 1.5M
TEK P6136 10X 1. M QTY 2
The scope has the following options: 09, 22
dims: 40 cm x 57 cm x 30 cm weight 5 kg</t>
  </si>
  <si>
    <t xml:space="preserve">98304</t>
  </si>
  <si>
    <t xml:space="preserve">TEL Tokyo Electron</t>
  </si>
  <si>
    <t xml:space="preserve">INDY</t>
  </si>
  <si>
    <t xml:space="preserve">98305</t>
  </si>
  <si>
    <t xml:space="preserve">108036</t>
  </si>
  <si>
    <t xml:space="preserve">INDY PLUS</t>
  </si>
  <si>
    <t xml:space="preserve">BCD POLY</t>
  </si>
  <si>
    <t xml:space="preserve">Tested and passes initialization</t>
  </si>
  <si>
    <t xml:space="preserve">108300</t>
  </si>
  <si>
    <t xml:space="preserve">ACT 12</t>
  </si>
  <si>
    <t xml:space="preserve">Photoresist coater + developer track, dual block, 4C4D</t>
  </si>
  <si>
    <t xml:space="preserve">SEE BLOCK DIAGRAM ATTACHED. MORE DETAILS AVAILABLE ON REQUEST.</t>
  </si>
  <si>
    <t xml:space="preserve">98846</t>
  </si>
  <si>
    <t xml:space="preserve">VIGUS Mask</t>
  </si>
  <si>
    <t xml:space="preserve">-deinstalled and warehoused.
-see attached photos for details
-used for oxide process</t>
  </si>
  <si>
    <t xml:space="preserve">98847</t>
  </si>
  <si>
    <t xml:space="preserve">VIGUS RK2</t>
  </si>
  <si>
    <t xml:space="preserve">77089</t>
  </si>
  <si>
    <t xml:space="preserve">TEL TOKYO ELECTRON</t>
  </si>
  <si>
    <t xml:space="preserve">3387-002688-12</t>
  </si>
  <si>
    <t xml:space="preserve">Tel P8XL Camera assembly</t>
  </si>
  <si>
    <t xml:space="preserve">  Used Tel P8XL Camera assembly, not working
 Sold for parts or repair only
 </t>
  </si>
  <si>
    <t xml:space="preserve">109093</t>
  </si>
  <si>
    <t xml:space="preserve">Expedius</t>
  </si>
  <si>
    <t xml:space="preserve">Acid Wet bench</t>
  </si>
  <si>
    <t xml:space="preserve">The EXPEDIUS TM series is the state-of-the-art cost effective 300mm
wafer cleaning system that enables 50 wafers maximum processing
in one batch with multiple bath for various chemicals. EXPEDIUS TM
supports not only conventional wet processes such as
pre-diffusion/oxidation clean, post-etch clean and resist stripping but
also includes newly developed unique functions to realize highly
selective wet etch of Oxide/Nitride for 3D NAND device
manufacturing with a smaller system footprint and superior
productivity.
DEINSTALLED, WAREHOUSED, REFER TO ATTACHED PHOTOS FOR DETAILS</t>
  </si>
  <si>
    <t xml:space="preserve">110638</t>
  </si>
  <si>
    <t xml:space="preserve">Mark8</t>
  </si>
  <si>
    <t xml:space="preserve">Lithography Coater and Developer with 2c, 2d</t>
  </si>
  <si>
    <t xml:space="preserve">110639</t>
  </si>
  <si>
    <t xml:space="preserve">P-12XL</t>
  </si>
  <si>
    <t xml:space="preserve">110640</t>
  </si>
  <si>
    <t xml:space="preserve">prober</t>
  </si>
  <si>
    <t xml:space="preserve">110641</t>
  </si>
  <si>
    <t xml:space="preserve">Telius</t>
  </si>
  <si>
    <t xml:space="preserve">110642</t>
  </si>
  <si>
    <t xml:space="preserve">Telius SP-Vesta</t>
  </si>
  <si>
    <t xml:space="preserve">110643</t>
  </si>
  <si>
    <t xml:space="preserve">Trias Ti/TiN</t>
  </si>
  <si>
    <t xml:space="preserve">TiN CVD</t>
  </si>
  <si>
    <t xml:space="preserve">110644</t>
  </si>
  <si>
    <t xml:space="preserve">110645</t>
  </si>
  <si>
    <t xml:space="preserve">UNITY2e-855DD</t>
  </si>
  <si>
    <t xml:space="preserve">refurbish</t>
  </si>
  <si>
    <t xml:space="preserve">110646</t>
  </si>
  <si>
    <t xml:space="preserve">Unity2e-855II</t>
  </si>
  <si>
    <t xml:space="preserve">108599</t>
  </si>
  <si>
    <t xml:space="preserve">P12XLM</t>
  </si>
  <si>
    <t xml:space="preserve">De-installed, warehoused. Inspection WITH POWER-UP DEMONSTRATION is 
available by appointment. Please refer to the attached photos for details.
Configuration:-
-12” Gold Chuck Top(Hot)
-Main CPU : VIP3A
-SACC (Semi Automatic Card Changer)
-Hardware Interface of Tester : ZIF
-Cassette Loader : Single Port, Left Type</t>
  </si>
  <si>
    <t xml:space="preserve">110647</t>
  </si>
  <si>
    <t xml:space="preserve">108600</t>
  </si>
  <si>
    <t xml:space="preserve">A303I</t>
  </si>
  <si>
    <t xml:space="preserve">Vertical furnace</t>
  </si>
  <si>
    <t xml:space="preserve">-De-installed, Warehoused. Can be inspected by appointment.</t>
  </si>
  <si>
    <t xml:space="preserve">110648</t>
  </si>
  <si>
    <t xml:space="preserve">108601</t>
  </si>
  <si>
    <t xml:space="preserve">110649</t>
  </si>
  <si>
    <t xml:space="preserve">Unity2e-855II IEM</t>
  </si>
  <si>
    <t xml:space="preserve">108602</t>
  </si>
  <si>
    <t xml:space="preserve">110650</t>
  </si>
  <si>
    <t xml:space="preserve">Unity2e-855PP DP</t>
  </si>
  <si>
    <t xml:space="preserve">108603</t>
  </si>
  <si>
    <t xml:space="preserve">110651</t>
  </si>
  <si>
    <t xml:space="preserve">Unity2e-855SS</t>
  </si>
  <si>
    <t xml:space="preserve">108604</t>
  </si>
  <si>
    <t xml:space="preserve">Precio Nano</t>
  </si>
  <si>
    <t xml:space="preserve">De-installed and warehoused. Can be inspected by appointment.
Please refer to the attached photos to see the current equipment condition.
Configuration:-
Docked Tester: Teradyne IP750EX
Chuck Surface: Gold Chuck
Type:    Air-Cooled
CPU    DVE P7447/50
OCR        O
SACC    X
Hinge    X
WAPP    O
Bridge    O
GP-IB Cable    O
Printer    X</t>
  </si>
  <si>
    <t xml:space="preserve">110652</t>
  </si>
  <si>
    <t xml:space="preserve">Unity2e-85DPA</t>
  </si>
  <si>
    <t xml:space="preserve">108605</t>
  </si>
  <si>
    <t xml:space="preserve">ACT 8</t>
  </si>
  <si>
    <t xml:space="preserve">Photoresist coater and developer track with 3C and 3D</t>
  </si>
  <si>
    <t xml:space="preserve">Recently de-installed and warehoused.
Can be inspected by appointment.
Please refer to the attached images shows some photos of the tool, and the 
block diagram.
Configuration:-
- Wafer Flow : Left to Right
- Main Controller : #2
- Coater Unit
. 2-1, 2-2 : 8 dispense nozzle for each unit
. 2-3 : 4 dispense nozzle
. RRC Pump
- Developer Unit
. E3 nozzle
- TCU : 1 Set (Cllo power : 7ea, Pump : 8ea)
- THC : 1 Set (ESA-4-D-02)
- Chemical Box 1 : PR Bottle, RRC Pump 8set
- Chemical Box 2 : HMDS 1set, Thinner 2 tank auto supply 1set, DEV 2 tank 
auto supply 1set
- AC Power Box : 1 Set
- IFB : 1 Set
- Missing Parts
. IRA Main Y Driver, Z Driver
. WEE Lamp house
. 3-1, 3-3 Spin Motor Driver</t>
  </si>
  <si>
    <t xml:space="preserve">110653</t>
  </si>
  <si>
    <t xml:space="preserve">Unity2E-85IEM</t>
  </si>
  <si>
    <t xml:space="preserve">108606</t>
  </si>
  <si>
    <t xml:space="preserve">I/F Block (Mark8 - i11D)</t>
  </si>
  <si>
    <t xml:space="preserve">Track interface block for Nikon i11D</t>
  </si>
  <si>
    <t xml:space="preserve">109118</t>
  </si>
  <si>
    <t xml:space="preserve">Trias</t>
  </si>
  <si>
    <t xml:space="preserve">110654</t>
  </si>
  <si>
    <t xml:space="preserve">Unity2e-85TPATC</t>
  </si>
  <si>
    <t xml:space="preserve">110655</t>
  </si>
  <si>
    <t xml:space="preserve">UW300Z</t>
  </si>
  <si>
    <t xml:space="preserve">110656</t>
  </si>
  <si>
    <t xml:space="preserve">UW8000</t>
  </si>
  <si>
    <t xml:space="preserve">110657</t>
  </si>
  <si>
    <t xml:space="preserve">108614</t>
  </si>
  <si>
    <t xml:space="preserve">P8XL</t>
  </si>
  <si>
    <t xml:space="preserve">108106</t>
  </si>
  <si>
    <t xml:space="preserve">Alpha-303i-H</t>
  </si>
  <si>
    <t xml:space="preserve">Vertical Furnace, MTO</t>
  </si>
  <si>
    <t xml:space="preserve">MTO</t>
  </si>
  <si>
    <t xml:space="preserve">108107</t>
  </si>
  <si>
    <t xml:space="preserve">Alpha-303i-K</t>
  </si>
  <si>
    <t xml:space="preserve">Vertical Furnace, DCS MTO</t>
  </si>
  <si>
    <t xml:space="preserve">DCS-MTO</t>
  </si>
  <si>
    <t xml:space="preserve">108108</t>
  </si>
  <si>
    <t xml:space="preserve">108109</t>
  </si>
  <si>
    <t xml:space="preserve">Formula</t>
  </si>
  <si>
    <t xml:space="preserve">108110</t>
  </si>
  <si>
    <t xml:space="preserve">108111</t>
  </si>
  <si>
    <t xml:space="preserve">Indy-A-L</t>
  </si>
  <si>
    <t xml:space="preserve">Vertical Furnace, LPRO</t>
  </si>
  <si>
    <t xml:space="preserve">LPRO, Top cover missing</t>
  </si>
  <si>
    <t xml:space="preserve">108112</t>
  </si>
  <si>
    <t xml:space="preserve">Indy-B-L</t>
  </si>
  <si>
    <t xml:space="preserve">N2O, NH3, SiH2Cl2, SiH4, PAC module</t>
  </si>
  <si>
    <t xml:space="preserve">108113</t>
  </si>
  <si>
    <t xml:space="preserve">Vertical Furnace, D-poly</t>
  </si>
  <si>
    <t xml:space="preserve">D-Poly</t>
  </si>
  <si>
    <t xml:space="preserve">108114</t>
  </si>
  <si>
    <t xml:space="preserve">108115</t>
  </si>
  <si>
    <t xml:space="preserve">Vertical Furnace, DCS Nitride</t>
  </si>
  <si>
    <t xml:space="preserve">DCS-Nitride</t>
  </si>
  <si>
    <t xml:space="preserve">108116</t>
  </si>
  <si>
    <t xml:space="preserve">Indy-I-L</t>
  </si>
  <si>
    <t xml:space="preserve">NH3, DCS, (SiGe), C2H4, HF, 20%F2 with N2, TiCl3 Liquid</t>
  </si>
  <si>
    <t xml:space="preserve">108117</t>
  </si>
  <si>
    <t xml:space="preserve">Vertical Furnace, LT ALD SIN</t>
  </si>
  <si>
    <t xml:space="preserve">LT ALD SiN</t>
  </si>
  <si>
    <t xml:space="preserve">108118</t>
  </si>
  <si>
    <t xml:space="preserve">Interface module</t>
  </si>
  <si>
    <t xml:space="preserve">For Mark7, Mark8</t>
  </si>
  <si>
    <t xml:space="preserve">108119</t>
  </si>
  <si>
    <t xml:space="preserve">LU-8209</t>
  </si>
  <si>
    <t xml:space="preserve">Auto refill system for TEL ALPHA-8S TEOS</t>
  </si>
  <si>
    <t xml:space="preserve">108120</t>
  </si>
  <si>
    <t xml:space="preserve">TE8500</t>
  </si>
  <si>
    <t xml:space="preserve">108126</t>
  </si>
  <si>
    <t xml:space="preserve">VMU-40-007</t>
  </si>
  <si>
    <t xml:space="preserve">Heater for Alpha 8SE furnace</t>
  </si>
  <si>
    <t xml:space="preserve">Overhaul</t>
  </si>
  <si>
    <t xml:space="preserve">103528</t>
  </si>
  <si>
    <t xml:space="preserve">EXPEDIUS</t>
  </si>
  <si>
    <t xml:space="preserve">DUMMY CLN</t>
  </si>
  <si>
    <t xml:space="preserve">91245</t>
  </si>
  <si>
    <t xml:space="preserve">TRIAS CHAMBER ONLY</t>
  </si>
  <si>
    <t xml:space="preserve">LT TIN (N2/NH3/N2/CIF3)</t>
  </si>
  <si>
    <t xml:space="preserve">93040</t>
  </si>
  <si>
    <t xml:space="preserve">VIGUS MASK</t>
  </si>
  <si>
    <t xml:space="preserve">ETCH</t>
  </si>
  <si>
    <t xml:space="preserve">93041</t>
  </si>
  <si>
    <t xml:space="preserve">93042</t>
  </si>
  <si>
    <t xml:space="preserve">91255</t>
  </si>
  <si>
    <t xml:space="preserve">ALPHA-303i</t>
  </si>
  <si>
    <t xml:space="preserve">H type / Poly</t>
  </si>
  <si>
    <t xml:space="preserve">83832</t>
  </si>
  <si>
    <t xml:space="preserve">028-016314-1</t>
  </si>
  <si>
    <t xml:space="preserve">FITTING TUBE...1016-0 8</t>
  </si>
  <si>
    <t xml:space="preserve">new and in original packing</t>
  </si>
  <si>
    <t xml:space="preserve">91256</t>
  </si>
  <si>
    <t xml:space="preserve">91258</t>
  </si>
  <si>
    <t xml:space="preserve">K type</t>
  </si>
  <si>
    <t xml:space="preserve">91259</t>
  </si>
  <si>
    <t xml:space="preserve">Telformula(ver.0)</t>
  </si>
  <si>
    <t xml:space="preserve">optimal thermal processing</t>
  </si>
  <si>
    <t xml:space="preserve">108929</t>
  </si>
  <si>
    <t xml:space="preserve">Alpha 8 SZ</t>
  </si>
  <si>
    <t xml:space="preserve">Vertical Furnace, Fast Thermal Oxidation process</t>
  </si>
  <si>
    <t xml:space="preserve">CONTROLLER TYPE TS4000Z
Software Version CPU-M: V07.03; CPU-P: V07.03; CPU-
T: VB7.00; CPU-S: V46.01; CPU-I/
O(P): V01.23; CPU-I/O(T): VB7.01
Handler System Wafer Transfer Sysytem 1 OK
Factory Interface SMIF 2 OK
Options System Gas utility Cabinet 1 OK
Others RCU System 1 OK
Others Power Unit 1 OK</t>
  </si>
  <si>
    <t xml:space="preserve">96386</t>
  </si>
  <si>
    <t xml:space="preserve">Lithius</t>
  </si>
  <si>
    <t xml:space="preserve">Lithography Coater Developer</t>
  </si>
  <si>
    <t xml:space="preserve">Please, see attached photos for more information</t>
  </si>
  <si>
    <t xml:space="preserve">93059</t>
  </si>
  <si>
    <t xml:space="preserve">Vertical Furnace K type / MTO</t>
  </si>
  <si>
    <t xml:space="preserve">93060</t>
  </si>
  <si>
    <t xml:space="preserve">2181</t>
  </si>
  <si>
    <t xml:space="preserve">TE 5480</t>
  </si>
  <si>
    <t xml:space="preserve">Nitride Plasma Reactive Ion Etch</t>
  </si>
  <si>
    <t xml:space="preserve">MISSING PARTS (ALREADY SOLD):
1. EDWARDS BACKING PUMP
2. TURBO PUMP
3. SMC PROCESS MODULE CHILLER
Tokyo Electron
TE-5480
Nitride etcher
s/n 4K2279
Deinstalled: 25-Nov-1998
Vintage: 21-dec-1992
Components included:
1.Mainframe.
Configured for dual loading of 6 inch cassettes.
Singel nitride fitted process chamber
MFC Configuration:-
STEC 4400MC N2 200 sccm
STEC 4400MC O2 100 sccm
STEC 4400MC SF6 200 sccm
STEC 4400MC He 1 slm
STEC 4400MC CF4 200 sccm
STEC 4400MC CHF3 200 sccm
TYLAN PV104C He 20 slm
Daihen Dauma 10SA with Daihen UIM-1-T1 display unit
TYLAN PC73 HeLIUM BACK PRESSURE MONITOR
2.Electronics rack
3.Turbo pump. Seiko Seki MG-STPH600C-T52A NOT INCLUDED
4.Pump controller rack with Seiko Seki MG-STPH600C-T54 turbo pump 
controller, 208V 3 Phase 12 KVA 190kg total power consumption.
6.Chamber backing pump Edwards CDP80 with Edwards gate valve model GVI 100M 
NOT INCLUDED
7.Power supply Transformer, I/P 208VAC 3 PH O/P 200VAC 5A dimensions 31cm x 
41cm x 42 cm (Height).
8. Chiller SMC Model INR-341-61A Triple Chiller NOT INCLUDED
Voltage= 200 3 phase 50/60 Hz 25A 350 kg dimensions 72 cm x 92 cm x 175 cm 
(height). NOT INCLUDED
-Deinstalled, warehoused.
-In working condition
-See photos for details
-Available for immediate consignment
-Can be inspected by appointment
-Located in Avezzano 67051 Italy</t>
  </si>
  <si>
    <t xml:space="preserve">103557</t>
  </si>
  <si>
    <t xml:space="preserve">ALPHA 303I</t>
  </si>
  <si>
    <t xml:space="preserve">K type / Nitride</t>
  </si>
  <si>
    <t xml:space="preserve">93062</t>
  </si>
  <si>
    <t xml:space="preserve">103558</t>
  </si>
  <si>
    <t xml:space="preserve">Poly / K type</t>
  </si>
  <si>
    <t xml:space="preserve">93063</t>
  </si>
  <si>
    <t xml:space="preserve">93064</t>
  </si>
  <si>
    <t xml:space="preserve">103560</t>
  </si>
  <si>
    <t xml:space="preserve">108936</t>
  </si>
  <si>
    <t xml:space="preserve">-Has CE mark
-Still installed and operational
-Can be demoed by appointment
-It is scheduled to be released for sale around June 2023.
-It can be booked for purchase now by paying a deposit.
-Price is open to your best offer.
-Right to left flow
-Fitted with 4 DEV , 1 TCT, 1 ICT, 1 BCT, 2 COT
-Please refer to the attached photos showing also block diagram.
Number of nozzles each unit:
3-2 COT Resist 6 nozzles
3-3 COT Resist 6 nozzles
3-4 BCT Resist 6 nozzles
3-5 ITC Resist  4 nozzles
4-1 TCT resist 1 en 2
4-2 t/m 4-5  DEV
Here follows a key explaining the abbreviation of the units:
Spin Tower(Common)
Coat Process Station(Common) : COT
Coat Process Station(Each module) : COT
Bottom Anti Reflection Coat Process Station(Common) : BCT
Bottom Anti Reflection Coat Process Station(Each module) : BCT
Top Anti Reflection Coat Process Station(Common) : TCT
Top Anti Reflection Coat Process Station(Each module) : TCT
Immersion Top Coat Process Station(Common) : ITC
Immersion Top Coat Process Station(Each module) : ITC
Immersion Top Remove Process Station(Common) : ITR
Immersion Top Remove Process Station(Each module) : ITR</t>
  </si>
  <si>
    <t xml:space="preserve">93065</t>
  </si>
  <si>
    <t xml:space="preserve">103561</t>
  </si>
  <si>
    <t xml:space="preserve">108937</t>
  </si>
  <si>
    <t xml:space="preserve">-Has CE mark
-Still installed and operational
-Can be demoed by appointment
-It is scheduled to be released for sale around December 2023.
-It can be booked for purchase now by paying a deposit.
-Price is open to your best offer.
-Right to left flow.
-Fitted with 1 DEV , 1 TCT, 1 ITR , 2 ICT, 1 BCT, 1 COT
-Please refer to the attached photos showing also block diagram.
Number of nozzles each unit:
2-2 ITC Resist  2 nozzles
2-3 Cot Resist  9 nozzles
2-4 BCT Resist 4 nozzles
2-5 ITC Resist 3 nozzles
3-2 ITR RRC Nozzle (Immersion Remover)
3-3 TCT Resist 2 nozzles
3-4 DEV
3-5 SRS
Here follows a key explaining the abbreviation of the units:
Spin Tower(Common)
Coat Process Station(Common) : COT
Coat Process Station(Each module) : COT
Bottom Anti Reflection Coat Process Station(Common) : BCT
Bottom Anti Reflection Coat Process Station(Each module) : BCT
Top Anti Reflection Coat Process Station(Common) : TCT
Top Anti Reflection Coat Process Station(Each module) : TCT
Immersion Top Coat Process Station(Common) : ITC
Immersion Top Coat Process Station(Each module) : ITC
Immersion Top Remove Process Station(Common) : ITR
Immersion Top Remove Process Station(Each module) : ITR</t>
  </si>
  <si>
    <t xml:space="preserve">103562</t>
  </si>
  <si>
    <t xml:space="preserve">ALPHA 303I-KVCN</t>
  </si>
  <si>
    <t xml:space="preserve">103564</t>
  </si>
  <si>
    <t xml:space="preserve">103565</t>
  </si>
  <si>
    <t xml:space="preserve">K type / Poly</t>
  </si>
  <si>
    <t xml:space="preserve">103566</t>
  </si>
  <si>
    <t xml:space="preserve">21135</t>
  </si>
  <si>
    <t xml:space="preserve">UPGRADE FOR SCCM OXIDE TOOL</t>
  </si>
  <si>
    <t xml:space="preserve">KIT FOR UPGRADE FOR SCCM OXIDE TOOL</t>
  </si>
  <si>
    <t xml:space="preserve">kit for upgrade of sccm oxide tel etcher. refer to the attached parts list 
for details</t>
  </si>
  <si>
    <t xml:space="preserve">103567</t>
  </si>
  <si>
    <t xml:space="preserve">103568</t>
  </si>
  <si>
    <t xml:space="preserve">FORMULA</t>
  </si>
  <si>
    <t xml:space="preserve">DCS SiN</t>
  </si>
  <si>
    <t xml:space="preserve">103569</t>
  </si>
  <si>
    <t xml:space="preserve">103570</t>
  </si>
  <si>
    <t xml:space="preserve">103571</t>
  </si>
  <si>
    <t xml:space="preserve">103572</t>
  </si>
  <si>
    <t xml:space="preserve">103573</t>
  </si>
  <si>
    <t xml:space="preserve">Vertical Diffusion Furnace</t>
  </si>
  <si>
    <t xml:space="preserve">103574</t>
  </si>
  <si>
    <t xml:space="preserve">103575</t>
  </si>
  <si>
    <t xml:space="preserve">108695</t>
  </si>
  <si>
    <t xml:space="preserve">TRIAS</t>
  </si>
  <si>
    <t xml:space="preserve">High K Metal CVD and ALD system, NiOx, HfOx process</t>
  </si>
  <si>
    <t xml:space="preserve">Tokyo Electron Trias High K CVD CVD System, 12” 45nm process Vintage 2012 
Chambers: CVD ALD Process: NiOx, HfOx Trias cluster: 2 Loadports LM Main 
power distribution (MPD) Transfer module, TM EX reactor, PM2 Plasma 
capability: No Includes: Ozonizer H20 Box 2 Touch screens ozonizer High-k 
CVD reactor PM4:Thermal based deposition Transformer box (Hi-K) option elec 
box: Machine is in as good as new condition ex R&amp;D facility PM2: Hafnium 
Nickel Titanium Vanadium PM4: Hafnium Nickel Titanium Ruthenium Strontium</t>
  </si>
  <si>
    <t xml:space="preserve">103576</t>
  </si>
  <si>
    <t xml:space="preserve">103577</t>
  </si>
  <si>
    <t xml:space="preserve">103578</t>
  </si>
  <si>
    <t xml:space="preserve">103579</t>
  </si>
  <si>
    <t xml:space="preserve">103580</t>
  </si>
  <si>
    <t xml:space="preserve">103581</t>
  </si>
  <si>
    <t xml:space="preserve">103582</t>
  </si>
  <si>
    <t xml:space="preserve">108707</t>
  </si>
  <si>
    <t xml:space="preserve">Tactras RLSA (Chamber)</t>
  </si>
  <si>
    <t xml:space="preserve">Polysilicon Dry Etch Chamber</t>
  </si>
  <si>
    <t xml:space="preserve">TEL Tactras RLSA Etch Chamber TactrasTM RLSATM provides an innovative, new 
plasma technology that TEL has been optimizing for years. Microwave 
technology provides high selectivity and excellent etch- profile control 
with low electron temperature of the radical-rich process by diffusion 
plasma. In addition, the output microwave stability, high repeatability, 
and process operation range has been improved with microwave broadband 
technology which enables precise control of the radical/ion ratio for high 
profile controllability. TactrasTM RLSATM has a high market share for a 
critical application in leading-edge logic devices. RLSA Chamber 
information :ESC for wafer with Dual He Cooling Nihon Koshuha Microwave 
Generator / Model is MKS 050B04C-OSC-V Turbo Pump:SHIMADZU / Model is 
FT2301D Generator Details:Top MKS-050B04 PS-V Bottom Daihen RGA-20C Gas Box 
Configuration : 1 N2 2 TSA 3 Ar 4 H2 5 NF3 6 SiH4</t>
  </si>
  <si>
    <t xml:space="preserve">108966</t>
  </si>
  <si>
    <t xml:space="preserve">DOUBLE BLOCK TRACK with 3 PCT, 1 COT, 4 DEV, R to L</t>
  </si>
  <si>
    <t xml:space="preserve">-Unused, Refurbished, well equipped and original packed TEL ACT12 double 
block track (R to L).
-Detailed pictures can be seen attached.
-The tool comes with a conversion kit for 300/200mm wafers and FOUP load 
ports.
-It is also capable to handle glass wafers.
-i-line resist
-Canon interface
-FOUP loaders
-Type 4 controller
-4 DEV
-3 PCT
-1 COT
-WEE
-ADH
-EIS
-See block diagram attached</t>
  </si>
  <si>
    <t xml:space="preserve">103597</t>
  </si>
  <si>
    <t xml:space="preserve">103598</t>
  </si>
  <si>
    <t xml:space="preserve">103599</t>
  </si>
  <si>
    <t xml:space="preserve">108207</t>
  </si>
  <si>
    <t xml:space="preserve">VIGUS_NEST</t>
  </si>
  <si>
    <t xml:space="preserve">Dry ETCHing System</t>
  </si>
  <si>
    <t xml:space="preserve">103600</t>
  </si>
  <si>
    <t xml:space="preserve">106416</t>
  </si>
  <si>
    <t xml:space="preserve">INDY-PLUS-B-M</t>
  </si>
  <si>
    <t xml:space="preserve">VERTICAL CVD FURNACE</t>
  </si>
  <si>
    <t xml:space="preserve">108208</t>
  </si>
  <si>
    <t xml:space="preserve">VIGUS_PX</t>
  </si>
  <si>
    <t xml:space="preserve">103601</t>
  </si>
  <si>
    <t xml:space="preserve">108209</t>
  </si>
  <si>
    <t xml:space="preserve">TEL Tokyo Electron </t>
  </si>
  <si>
    <t xml:space="preserve">LITHIUS</t>
  </si>
  <si>
    <t xml:space="preserve">High Reliability and Productivity Coater Developer (5C/5D)</t>
  </si>
  <si>
    <t xml:space="preserve">103602</t>
  </si>
  <si>
    <t xml:space="preserve">108210</t>
  </si>
  <si>
    <t xml:space="preserve">103603</t>
  </si>
  <si>
    <t xml:space="preserve">108211</t>
  </si>
  <si>
    <t xml:space="preserve">103604</t>
  </si>
  <si>
    <t xml:space="preserve">108212</t>
  </si>
  <si>
    <t xml:space="preserve">109236</t>
  </si>
  <si>
    <t xml:space="preserve">ALPHA-303i Anneal</t>
  </si>
  <si>
    <t xml:space="preserve">103605</t>
  </si>
  <si>
    <t xml:space="preserve">109237</t>
  </si>
  <si>
    <t xml:space="preserve">103606</t>
  </si>
  <si>
    <t xml:space="preserve">109238</t>
  </si>
  <si>
    <t xml:space="preserve">109239</t>
  </si>
  <si>
    <t xml:space="preserve">109240</t>
  </si>
  <si>
    <t xml:space="preserve">109241</t>
  </si>
  <si>
    <t xml:space="preserve">109242</t>
  </si>
  <si>
    <t xml:space="preserve">ALPHA-303i Nitride</t>
  </si>
  <si>
    <t xml:space="preserve">103611</t>
  </si>
  <si>
    <t xml:space="preserve">ALD High-K</t>
  </si>
  <si>
    <t xml:space="preserve">109243</t>
  </si>
  <si>
    <t xml:space="preserve">103612</t>
  </si>
  <si>
    <t xml:space="preserve">109244</t>
  </si>
  <si>
    <t xml:space="preserve">CLEAN TRACK ACT 12</t>
  </si>
  <si>
    <t xml:space="preserve">Multi Block (Resist Coater/Developer)</t>
  </si>
  <si>
    <t xml:space="preserve">103613</t>
  </si>
  <si>
    <t xml:space="preserve">INDY   </t>
  </si>
  <si>
    <t xml:space="preserve">Doped Poly</t>
  </si>
  <si>
    <t xml:space="preserve">109245</t>
  </si>
  <si>
    <t xml:space="preserve">Single Block (Resist Coater/Developer)</t>
  </si>
  <si>
    <t xml:space="preserve">103614</t>
  </si>
  <si>
    <t xml:space="preserve">109246</t>
  </si>
  <si>
    <t xml:space="preserve">CLEAN TRACK LITHIUS</t>
  </si>
  <si>
    <t xml:space="preserve">Coat only Track</t>
  </si>
  <si>
    <t xml:space="preserve">103615</t>
  </si>
  <si>
    <t xml:space="preserve">109247</t>
  </si>
  <si>
    <t xml:space="preserve">103616</t>
  </si>
  <si>
    <t xml:space="preserve">109248</t>
  </si>
  <si>
    <t xml:space="preserve">103617</t>
  </si>
  <si>
    <t xml:space="preserve">109249</t>
  </si>
  <si>
    <t xml:space="preserve">CLEAN TRACK LITHIUS Pro Z</t>
  </si>
  <si>
    <t xml:space="preserve">109250</t>
  </si>
  <si>
    <t xml:space="preserve">CLEAN TRACK LITHIUS SINGLE BLOCK</t>
  </si>
  <si>
    <t xml:space="preserve">Single Block (Coat/Develop)</t>
  </si>
  <si>
    <t xml:space="preserve">109251</t>
  </si>
  <si>
    <t xml:space="preserve">109252</t>
  </si>
  <si>
    <t xml:space="preserve">109253</t>
  </si>
  <si>
    <t xml:space="preserve">103622</t>
  </si>
  <si>
    <t xml:space="preserve">SINGLE BLOCK 2C/3D system (for NIKON S308)</t>
  </si>
  <si>
    <t xml:space="preserve">109254</t>
  </si>
  <si>
    <t xml:space="preserve">103623</t>
  </si>
  <si>
    <t xml:space="preserve">SINGLE BLOCK (for NIKON S205)</t>
  </si>
  <si>
    <t xml:space="preserve">109255</t>
  </si>
  <si>
    <t xml:space="preserve">Expedius+</t>
  </si>
  <si>
    <t xml:space="preserve">103624</t>
  </si>
  <si>
    <t xml:space="preserve">109256</t>
  </si>
  <si>
    <t xml:space="preserve">Tactras DRM3</t>
  </si>
  <si>
    <t xml:space="preserve">109257</t>
  </si>
  <si>
    <t xml:space="preserve">Tactras Vesta</t>
  </si>
  <si>
    <t xml:space="preserve">18890</t>
  </si>
  <si>
    <t xml:space="preserve">201345</t>
  </si>
  <si>
    <t xml:space="preserve">Operations manual</t>
  </si>
  <si>
    <t xml:space="preserve">103626</t>
  </si>
  <si>
    <t xml:space="preserve">High Reliability and Productivity Coater Developer </t>
  </si>
  <si>
    <t xml:space="preserve">109258</t>
  </si>
  <si>
    <t xml:space="preserve">18891</t>
  </si>
  <si>
    <t xml:space="preserve">201336</t>
  </si>
  <si>
    <t xml:space="preserve">103627</t>
  </si>
  <si>
    <t xml:space="preserve">109259</t>
  </si>
  <si>
    <t xml:space="preserve">TELFORMULA ALD High-K</t>
  </si>
  <si>
    <t xml:space="preserve">18892</t>
  </si>
  <si>
    <t xml:space="preserve">201341</t>
  </si>
  <si>
    <t xml:space="preserve">109260</t>
  </si>
  <si>
    <t xml:space="preserve">TELFORMULA Nitride</t>
  </si>
  <si>
    <t xml:space="preserve">18893</t>
  </si>
  <si>
    <t xml:space="preserve">201342</t>
  </si>
  <si>
    <t xml:space="preserve">91341</t>
  </si>
  <si>
    <t xml:space="preserve">TELIUS SCCM T-3044SS </t>
  </si>
  <si>
    <t xml:space="preserve">DRY ETCHER</t>
  </si>
  <si>
    <t xml:space="preserve">103629</t>
  </si>
  <si>
    <t xml:space="preserve">109261</t>
  </si>
  <si>
    <t xml:space="preserve">18894</t>
  </si>
  <si>
    <t xml:space="preserve">201339</t>
  </si>
  <si>
    <t xml:space="preserve">103630</t>
  </si>
  <si>
    <t xml:space="preserve">109262</t>
  </si>
  <si>
    <t xml:space="preserve">18895</t>
  </si>
  <si>
    <t xml:space="preserve">201335</t>
  </si>
  <si>
    <t xml:space="preserve">103631</t>
  </si>
  <si>
    <t xml:space="preserve">109263</t>
  </si>
  <si>
    <t xml:space="preserve">TELFORMULA Oxide</t>
  </si>
  <si>
    <t xml:space="preserve">18896</t>
  </si>
  <si>
    <t xml:space="preserve">103632</t>
  </si>
  <si>
    <t xml:space="preserve">109264</t>
  </si>
  <si>
    <t xml:space="preserve">TELINDY Nitride</t>
  </si>
  <si>
    <t xml:space="preserve">18897</t>
  </si>
  <si>
    <t xml:space="preserve">201346</t>
  </si>
  <si>
    <t xml:space="preserve">109265</t>
  </si>
  <si>
    <t xml:space="preserve">103634</t>
  </si>
  <si>
    <t xml:space="preserve">109266</t>
  </si>
  <si>
    <t xml:space="preserve">109267</t>
  </si>
  <si>
    <t xml:space="preserve">TELINDY Plus IRAD Oxide</t>
  </si>
  <si>
    <t xml:space="preserve">108500</t>
  </si>
  <si>
    <t xml:space="preserve">109268</t>
  </si>
  <si>
    <t xml:space="preserve">109269</t>
  </si>
  <si>
    <t xml:space="preserve">Telius 305 DRM</t>
  </si>
  <si>
    <t xml:space="preserve">109270</t>
  </si>
  <si>
    <t xml:space="preserve">109526</t>
  </si>
  <si>
    <t xml:space="preserve">ACT12 (4C4D)</t>
  </si>
  <si>
    <t xml:space="preserve">PHOTORESIST COATER AND DEVELOPER TRACK</t>
  </si>
  <si>
    <t xml:space="preserve">109271</t>
  </si>
  <si>
    <t xml:space="preserve">109272</t>
  </si>
  <si>
    <t xml:space="preserve">Telius SP 305 DRM</t>
  </si>
  <si>
    <t xml:space="preserve">108505</t>
  </si>
  <si>
    <t xml:space="preserve">Tactras RLSA Poly</t>
  </si>
  <si>
    <t xml:space="preserve">109273</t>
  </si>
  <si>
    <t xml:space="preserve">108506</t>
  </si>
  <si>
    <t xml:space="preserve">109274</t>
  </si>
  <si>
    <t xml:space="preserve">Telius SP-305 SCCM</t>
  </si>
  <si>
    <t xml:space="preserve">108507</t>
  </si>
  <si>
    <t xml:space="preserve">Tactras Vesta NV3</t>
  </si>
  <si>
    <t xml:space="preserve">109275</t>
  </si>
  <si>
    <t xml:space="preserve">108508</t>
  </si>
  <si>
    <t xml:space="preserve">108510</t>
  </si>
  <si>
    <t xml:space="preserve">Tactras Vigus</t>
  </si>
  <si>
    <t xml:space="preserve">108511</t>
  </si>
  <si>
    <t xml:space="preserve">Tactras Vigus - Chamber Only</t>
  </si>
  <si>
    <t xml:space="preserve">108513</t>
  </si>
  <si>
    <t xml:space="preserve">Tactras Vigus RK5</t>
  </si>
  <si>
    <t xml:space="preserve">108002</t>
  </si>
  <si>
    <t xml:space="preserve">Alpha 805</t>
  </si>
  <si>
    <t xml:space="preserve">VERTICAL CVD FURNACE, DRY OXIDE</t>
  </si>
  <si>
    <t xml:space="preserve">108003</t>
  </si>
  <si>
    <t xml:space="preserve">VERTICAL CVD FURNACE, TEOS PROCESS</t>
  </si>
  <si>
    <t xml:space="preserve">109027</t>
  </si>
  <si>
    <t xml:space="preserve">Alpha 8S-Z (AP)</t>
  </si>
  <si>
    <t xml:space="preserve">Vertical Furnace Oxide Process</t>
  </si>
  <si>
    <t xml:space="preserve">1  Process    Oxide
2  Wafer Size    200mm
3  Process Wafer Qty    XXX
4  Process Type    Oxide
5  I/O Port / Smif    I/O port
6  Load Lock    NO
7  Carrier Slot    25 Slot
8  boat type    Two boat
System Control   
1  System Controller    WAVES
2  Operation Screen    Touch Screen
3  Gas Flow Chart (Front &amp; Rear)   
4  Temperature Controller    M560
5  Vacuum Pressure Control    N/A
6  Controller Transformer    1 PHASE 100V
7  Heater Transformer    3 PHASE 440V
8  Oxygen Analyzer    N/A
9  HEC Pyro Ctl    YES
10 RCU BOX    YES
11 Power BOX    YES
Process Gas Configuration   
1   Process Gas 1    N/A
2   Process Gas 2    N2 30SLM
3   Process Gas 3    O2 10SLM
4   Process Gas 4    O2 30SLM
5   Process Gas 5    O2 10SLM
6   Process Gas 6    N/A
7   Process Gas 7    H2 10SLM
8   Process Gas 8    HCL 3SLM
9   Process Gas 9    N2 5SLM
10  Process Gas 10    N2 5SLM
Gas Distribution System   
1   Basic Style    Conventional
2   Tubing Material    SUS-316L
3   Tubing Finish    VCR
4   Manual Valve    N/A
5 Air-Operated Valve    Fujikin
6 MFC    STEC
Exhaust Distribution System   
1 Air-Operated Valve Type    VCR Connect
2 Main Valve    Fujikin
3 Cold Trap    NO
4 Pump Line    NO
Wafer/Cassette Handling   
1 Wafer Alignment    NO
2 Cassette Storage Qty    12
3 Cassette In/Out Port    YES
4 Cassette Handling Robot    YES
5 Wafer Transfer Type    1
6 Fork Material    Not known
7 Fork Qty    1
8 Fork Variable Pitch    NO
9 Fork Wafer Presence Sensor    NO
Elevator Handling   
1 Boat Elevator    YES
2 Auto Shutter    YES
3 Boat Rotation    YES
4 Mechanical Parts    YES
Heating Chamber   
1 Heater Type    VOS-40-107 (FTPS)
2 T/C Type    4
3 Spike T/C    4</t>
  </si>
  <si>
    <t xml:space="preserve">108004</t>
  </si>
  <si>
    <t xml:space="preserve">Alpha 8S</t>
  </si>
  <si>
    <t xml:space="preserve">VERTICAL CVD FURNACE, PYRO PROCESS</t>
  </si>
  <si>
    <t xml:space="preserve">108516</t>
  </si>
  <si>
    <t xml:space="preserve">TELFORMULA LPRO</t>
  </si>
  <si>
    <t xml:space="preserve">108005</t>
  </si>
  <si>
    <t xml:space="preserve">VERTICAL CVD FURNACE, POCL3 PROCESS</t>
  </si>
  <si>
    <t xml:space="preserve">108517</t>
  </si>
  <si>
    <t xml:space="preserve">108523</t>
  </si>
  <si>
    <t xml:space="preserve">109548</t>
  </si>
  <si>
    <t xml:space="preserve">P12XL</t>
  </si>
  <si>
    <t xml:space="preserve">63</t>
  </si>
  <si>
    <t xml:space="preserve">Qty 63 of TEL P12XL probers for immediate sale by bidding. Sales conditions 
"as is, where is", ex Factory. Inspection of these probers is welcomed  by 
appointment. They are not fitted with cold options. Offers for quantities 
of these probers less than the overall qty of 63 can be considered.</t>
  </si>
  <si>
    <t xml:space="preserve">86253</t>
  </si>
  <si>
    <t xml:space="preserve">2985-429208-W4</t>
  </si>
  <si>
    <t xml:space="preserve">ACT 12 2985-429208-W4 ADH SUB UNIT BASE ASSY ADHESIVE MODULE</t>
  </si>
  <si>
    <t xml:space="preserve">Tokyo Electron Hot Plate
Used for ACT12
 2985-429208-W4
300mm ACT 12 2985-429208-W4 ADH SUB UNIT BASE ASSY ADHESIVE MODULE
Used in good condition, needs testing/refurbishment, sold as-is
PACKAGED DIMENSIONS: 62 CM X 67 CM X 40 CM (H)
WEIGHT</t>
  </si>
  <si>
    <t xml:space="preserve">108525</t>
  </si>
  <si>
    <t xml:space="preserve">TELINDY Plus process TBD</t>
  </si>
  <si>
    <t xml:space="preserve">108527</t>
  </si>
  <si>
    <t xml:space="preserve">87287</t>
  </si>
  <si>
    <t xml:space="preserve">Vertical LPCVD Furnace</t>
  </si>
  <si>
    <t xml:space="preserve">EQUIPMENT DETAILS:
Tube Material:Quartz
Boat Material:Quartz
Production wafes:50
Pressure control:APC Valve
Process
Gas:DCS(F.S:200sccm),NH3(F.S:2slm),N2O(F.S:1slm),HF(F.S:5slm),20%F2/N2(F.S:20slm
),N2
MFC Maker:HITACHI-Metals
MFC Model:PAR78series
Process Temp:600-700deg
Missing or damaged parts: Not reported. Inspection is recommended to 
confirm.</t>
  </si>
  <si>
    <t xml:space="preserve">106744</t>
  </si>
  <si>
    <t xml:space="preserve">Nitride CVD Furnace</t>
  </si>
  <si>
    <t xml:space="preserve">108536</t>
  </si>
  <si>
    <t xml:space="preserve">Triase+ Ti/TiN</t>
  </si>
  <si>
    <t xml:space="preserve">106745</t>
  </si>
  <si>
    <t xml:space="preserve">108537</t>
  </si>
  <si>
    <t xml:space="preserve">Unity Me 85 DRM</t>
  </si>
  <si>
    <t xml:space="preserve">Deinstalled in October 2021, warehoused.
Can be inspected by appointment. Basic configuration:-
Unity Me Mainframe
Transfer Robot: Yaskawa Electric XU-BDB1300
Qty 1 - DRM Process Chamber
Bottom Electrode: 1D10-150053-11
Upper Electrode: 1D10-204338-13
Focus Ring: 1D10-350791-11
Plate Baffle: 1D10-102848-13
Shield Depo: 1D10-315183-15
Ring Insulator: 1D05-300354-11
Cover Bellows: 1D10-204418-12
Turbo Pump: STP-A1303W1
Process Gases: C4F8, O2, Ar, He, CHF3
Qty 1 - RF Rack
ENI GHW-25A
Qty 1 - Monitor Panel
Qty 1 - AC Rack
Qty 4 - Dry Pumps
Lot Vacuum HD120</t>
  </si>
  <si>
    <t xml:space="preserve">106746</t>
  </si>
  <si>
    <t xml:space="preserve">ALD High K FURNACE</t>
  </si>
  <si>
    <t xml:space="preserve">108538</t>
  </si>
  <si>
    <t xml:space="preserve">Unity Me 85 SCCM</t>
  </si>
  <si>
    <t xml:space="preserve">98299</t>
  </si>
  <si>
    <t xml:space="preserve">106747</t>
  </si>
  <si>
    <t xml:space="preserve">106748</t>
  </si>
  <si>
    <t xml:space="preserve">106749</t>
  </si>
  <si>
    <t xml:space="preserve">LITHIUS i+</t>
  </si>
  <si>
    <t xml:space="preserve">109565</t>
  </si>
  <si>
    <t xml:space="preserve">Unity SCCM Shin</t>
  </si>
  <si>
    <t xml:space="preserve">Oxide Etcher with qty 3 chambers</t>
  </si>
  <si>
    <t xml:space="preserve">-deinstalled and warehoused
-in excellent condition
-can be inspected by appointment
-Tool type: TSP-30555SSS
-EFEM with qty 3 load ports
-Fitted with qty 3 etch process chambers, each fitted with:
-Daihen AGA-50B 60 MHz 5KW
-Daihen DGP-120A2
-Daihen WGA-50E RF Gen Bottom 2 MHz 5 KW
-Vat gate valves
-Shimadzu Turbo Pumps
-Kyosan DC Power supplies</t>
  </si>
  <si>
    <t xml:space="preserve">98302</t>
  </si>
  <si>
    <t xml:space="preserve">106750</t>
  </si>
  <si>
    <t xml:space="preserve">TEL TRIAS</t>
  </si>
  <si>
    <t xml:space="preserve">CVD Cluster tool</t>
  </si>
  <si>
    <t xml:space="preserve">98303</t>
  </si>
  <si>
    <t xml:space="preserve">106751</t>
  </si>
  <si>
    <t xml:space="preserve">TEL TRIAS 200 SPA</t>
  </si>
  <si>
    <t xml:space="preserve">108881</t>
  </si>
  <si>
    <t xml:space="preserve">TELEMARK</t>
  </si>
  <si>
    <t xml:space="preserve">Electron Beam Source, Mounted on DN200CF Flange with HV, Water &amp; Instrumentation Feedthroughs</t>
  </si>
  <si>
    <t xml:space="preserve">108882</t>
  </si>
  <si>
    <t xml:space="preserve">TT-3</t>
  </si>
  <si>
    <t xml:space="preserve">Electron Beam Power Supply with TT-3/6 Control &amp; XY Sweep</t>
  </si>
  <si>
    <t xml:space="preserve">108883</t>
  </si>
  <si>
    <t xml:space="preserve">TEMESCAL</t>
  </si>
  <si>
    <t xml:space="preserve">BJD-1800</t>
  </si>
  <si>
    <t xml:space="preserve">E-Beam Evaporator with CV-14 Power Supply</t>
  </si>
  <si>
    <t xml:space="preserve">108884</t>
  </si>
  <si>
    <t xml:space="preserve">FCE-2500</t>
  </si>
  <si>
    <t xml:space="preserve">E-Beam Evaporator with Simba 2 Power Supply</t>
  </si>
  <si>
    <t xml:space="preserve">108885</t>
  </si>
  <si>
    <t xml:space="preserve">VES-2550</t>
  </si>
  <si>
    <t xml:space="preserve">83553</t>
  </si>
  <si>
    <t xml:space="preserve">TEMPTRONIC</t>
  </si>
  <si>
    <t xml:space="preserve">TP22-2</t>
  </si>
  <si>
    <t xml:space="preserve">TEMPERATURE TEMP SET</t>
  </si>
  <si>
    <t xml:space="preserve">83829</t>
  </si>
  <si>
    <t xml:space="preserve">THERMO SPOT </t>
  </si>
  <si>
    <t xml:space="preserve">THERMO SPOT HEATING HEAD</t>
  </si>
  <si>
    <t xml:space="preserve">WEIGHT: KG. 0,5
DIMENSION: 5 CM. X 5 CM. X 20 CM. (H) </t>
  </si>
  <si>
    <t xml:space="preserve">83575</t>
  </si>
  <si>
    <t xml:space="preserve">TENCOR INSTRUMENTS</t>
  </si>
  <si>
    <t xml:space="preserve">AC 100V</t>
  </si>
  <si>
    <t xml:space="preserve">POWER SW</t>
  </si>
  <si>
    <t xml:space="preserve">AC 100 V</t>
  </si>
  <si>
    <t xml:space="preserve">GPIB
TTY TERMINAL
KEY CASSETTE
STATE
LAMP
FUSE 3A
WEIGHT 6 KG.
DIMENSION: 40 CM. X 30 CM X 14 CM (H)
</t>
  </si>
  <si>
    <t xml:space="preserve">83576</t>
  </si>
  <si>
    <t xml:space="preserve">AC 100-120 V</t>
  </si>
  <si>
    <t xml:space="preserve">AC 100-120 V
TO COMPUTER
TO PRINTER
J1
J2
J6
J7
</t>
  </si>
  <si>
    <t xml:space="preserve">106752</t>
  </si>
  <si>
    <t xml:space="preserve">TERADYNE</t>
  </si>
  <si>
    <t xml:space="preserve">CATALYST</t>
  </si>
  <si>
    <t xml:space="preserve">82177</t>
  </si>
  <si>
    <t xml:space="preserve">Teradyne</t>
  </si>
  <si>
    <t xml:space="preserve">405-097-00</t>
  </si>
  <si>
    <t xml:space="preserve">Power-One Dual 5 V Power Supply 150 Amp, 230 VAC, for Teradyne J971 tester</t>
  </si>
  <si>
    <t xml:space="preserve">POWER-ONE
DC POWER SUPPLY P/N HPM5A2A2KS234
50-60 HZ 230V 23A INPUT
MODULE A2 +5V 150A OUTPUT
MODULE A2 -5V 150A OUTPUT
QTY 4 AVAILABLE</t>
  </si>
  <si>
    <t xml:space="preserve">106753</t>
  </si>
  <si>
    <t xml:space="preserve">106754</t>
  </si>
  <si>
    <t xml:space="preserve">108301</t>
  </si>
  <si>
    <t xml:space="preserve">Catalyst</t>
  </si>
  <si>
    <t xml:space="preserve">Mixed SIGNAL TEST SYSTEM</t>
  </si>
  <si>
    <t xml:space="preserve">Standard mixed signal tester 200MHz/256 channelsCOMPUTER HW/SW: Tester 
Computer : Suns ULTRA60 / 256 MB RAM User Computer : Suns ULTRA5 / 256 MB 
RAM HD : 8.5 GB Software : Solaris –OS rev. 5.5.1 IMAGE Rev. : 7.0 D8 
Tester DIG: Data rate : 200 MHZ DP CH : 256 CH Tester DC: DC SRC Matrix : 4 
CH DC DUT SRC : 8 CH AAPU PIN : 48 CH STORED DATA BITS : 48 CH System PPMU 
: 1 CH TESTER AC: PLFS/PLFD : 4CH VHF AWG400 : 1CH VHF DIG : 2CH PAC Card 
Cage : 3 VREG : 2 CH DOCKING/MANIPULATOR: Docking : SNR DOCKING Manipulator 
: UNIVERSAL Manipulator Input Power: Power Supply : 380 VAC, / 48 Amp 
50/60Hz, 3 phase Power Consumption Rate : 31.6 KVA (Max) There are failing 
resources (on higher pins).</t>
  </si>
  <si>
    <t xml:space="preserve">78361</t>
  </si>
  <si>
    <t xml:space="preserve">J971SP (Spares)</t>
  </si>
  <si>
    <t xml:space="preserve">Boards from VLSI test system</t>
  </si>
  <si>
    <t xml:space="preserve">The items which are available are all the boards from the system,.
The mainframe of the system has been scrapped.
Date: 2-24-97
De-installed, warehoused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</si>
  <si>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 xml:space="preserve">83497</t>
  </si>
  <si>
    <t xml:space="preserve">405-142-00</t>
  </si>
  <si>
    <t xml:space="preserve">Power Supply 150 Amp, 230 VAC</t>
  </si>
  <si>
    <t xml:space="preserve">    Power Supply 150 Amp, 230VAC 2-output, removed from working service 
from Teradyne J971 tester. Located in AVEZZANO 67051 ITALY
(S228) model, Teradyne P# 405-142-00
</t>
  </si>
  <si>
    <t xml:space="preserve">82231</t>
  </si>
  <si>
    <t xml:space="preserve">961-061-00</t>
  </si>
  <si>
    <t xml:space="preserve">Teradyne J971 Power Supply</t>
  </si>
  <si>
    <t xml:space="preserve">  Used Teradyne J971 power Supply
  Good condition, removed from deinstalled system
 </t>
  </si>
  <si>
    <t xml:space="preserve">82232</t>
  </si>
  <si>
    <t xml:space="preserve">961-128-00</t>
  </si>
  <si>
    <t xml:space="preserve">108607</t>
  </si>
  <si>
    <t xml:space="preserve">IP750EX</t>
  </si>
  <si>
    <t xml:space="preserve">AUTOMATED TEST EQUIPMENT For CMOS Image Sensor testing</t>
  </si>
  <si>
    <t xml:space="preserve">TRUNCATED: Equipment stored in warehouse. Inspection available upon request.
Please check the pictures below for more information.
The system is sold including the Nikon N-SIS V Illuminator, as shown in the 
photos.
Attached below is a full listing of the system configuration, and 
diagnostics report. These reports are also attached in a PDF file.
Test System for High-Speed, High-Quality Image Sensor Test
Characteristics:
-High performance/ high throughput.
-Low cost of test.
-high parallel test efficiency
-wide-ranging device test coverage from CCD and CIS, analog and digital 
capture, and concurrent image sensor and logic testing.--TeradyneIG-XL 
software environment allows fast test program development and easy 
maintenance.
APPLICATIONS
Still and Movie Cameras
    Smartphones and Media Tablets
    DSC cameras
    Security cameras
    Scanning imagery
    Space satellite cameras
Image Detecting Devices
    Automotive safety
    Sensors for body scanners
    X-rays
    Infrared thermograph
    Scanning imagery
ADVANTAGES
High Throughput
    Powerful CPU for image data processing for high pixel resolution device
    High speed data transfer at 40Gbps per instrument parallel
    Up to 96 sites in parallel test with 16 slot test head
    The highest parallelism with high parallel test efficiency.
Broad Device Coverage - up to 128M Pixels
    High versatility for testing a broad range of devices – VGA to 32M 
pixels with ICUA analog capture and MIPI LVDS capture capability using ICMD
    With custom LVDS protocol coverage
    SoC test capability with digital instrument for SoC type image sensor
Single Platform
    Built on Teradyne’s J750 test platform
    IP750 series can be upgraded on-site to IP750Ex-HD or J750Ex-HD.
Test Program Compatibility
    IP750EP/EMP test programs can run on IP750Ex/Ex-HD with minor 
conversion
IG-XL Software
CONFIGURATIONS
IP750Ex
    32 site system capable for wafer test
    ICMD 1.5Gbps MIPI D-Phy  image capture instrument
    Custom LVDS capture capability with ICMD
    ICUA2 up to 100MHz analog image capture instrument
    ICUD200 200MHz 32M pixel / Channel 24 bit depth/pixel
    HSD200 200MHz Digital instrument
    HDDPS 24/48Ch DC source
    20Gbps image data transfer 
    110mm diameter illuminator support
%JOB_START - Beginning CUB Calibration test on slot 18 at 11:29:14 AM on 
1/17/2020
Workbook Rev V7.60.40IP02 DC1116 IG-XL Version: 3.50.40IP02 DIB: P/N 
51745600
S/N xxxxxxx Rev 0901A
%INFO - 
-----------------------------------------------------------------------
%INFO - System IP750_ (IP750EX)
%INFO - IG-XL 3.50.40IP02, Build: 04.13.11.20.00
%INFO - Maintenance 7.60.40IP02, Build: 04.18.11.02.09
%INFO - 
-----------------------------------------------------------------------
- Starting Channel Drive Levels: Vih Vil
- Starting Channel Compare Levels: Voh Vol
- Finished Channel Calibration
%JOB_END - ****PASSED**** CUB Calibration of slot 18 (S/N:) at 11:29:14 AM
%JOB_START - Beginning Channel_Board_DIB Calibration test on slot(s) 0,1 at 
11:29:27 AM on
1/17/2020
Workbook Rev V7.60.40IP02 DC1116 IG-XL Version: 3.50.40IP02 DIB: P/N 
51745600
S/N xxxxxxx Rev 0901A
%INFO - 
-----------------------------------------------------------------------
%INFO - System IP750_ (IP750EX)
%INFO - IG-XL 3.50.40IP02, Build: 04.13.11.20.00
%INFO - Maintenance 7.60.40IP02, Build: 04.18.11.02.09
%INFO - 
-----------------------------------------------------------------------
- Starting DC Calibration on slot 0
- Systemwide functionality and continuity to slot 0
- Starting dib_test
- Temperature at PE Ch00 is 38 deg C
- Temperature at PE Ch60 is 37 deg C
- Temperature at TG Ch60 is 26 deg C
- Temperature at TG Ch00 is 48 deg C
- Starting BPMU Force Voltage
- Starting Bpmu Clamp Voltage
- Starting Bpmu Measure Voltage
- Starting Bpmu Measure Current
- Starting Bpmu Force current
- Starting Bpmu Limit current
- Starting Channel Drive Levels: Vih Vil
- Starting Channel Drive Levels: VT50ohm
- Starting Channel Compare Levels: Voh Vol
- Starting Channel Clamps: Vch Vcl
- Starting Channel Loads: Ioh Iol
- Starting Channel Load Threshold: Vt
- Starting HV Channel Drive Levels
- Starting HV Channel Drive Current
- Starting FHV Channel Drive Levels
- Ppmu Mi Warmup 11:31:34 AM
- Ppmu Mi Warmup 11:31:34 AM
- Starting Ppmu Force Voltage
- Starting Ppmu Measure Voltage
- Starting Ppmu Force Current Ppmu Force 200ua
- Starting Ppmu Force Current Ppmu Force 2ma
- Starting Ppmu Force Current Ppmu Force 50ma
- Starting Ppmu Force Current Ppmu Force 20ua
- Starting Ppmu Measure 2ma
- Continuing Ppmu Measure Current chan 15
- Continuing Ppmu Measure Current chan 31
- Continuing Ppmu Measure Current chan 47
- Continuing Ppmu Measure Current chan 63
- Starting Ppmu Measure 200ua
- Continuing Ppmu Measure Current chan 15
- Continuing Ppmu Measure Current chan 31
- Continuing Ppmu Measure Current chan 47
- Continuing Ppmu Measure Current chan 63
- Starting Ppmu Measure 20ua
- Continuing Ppmu Measure Current chan 15
- Continuing Ppmu Measure Current chan 31
- Continuing Ppmu Measure Current chan 47
- Continuing Ppmu Measure Current chan 63
- Starting Ppmu Measure 2ua
- Continuing Ppmu Measure Current chan 15
- Continuing Ppmu Measure Current chan 31
- Continuing Ppmu Measure Current chan 47
- Continuing Ppmu Measure Current chan 63
- Starting Ppmu Measure 50ma
- Continuing Ppmu Measure Current chan 15
- Continuing Ppmu Measure Current chan 31
- Continuing Ppmu Measure Current chan 47
- Continuing Ppmu Measure Current chan 63
- Finished Channel Calibration
- Finished DC Calibration on slot 0
- Starting DC Calibration on slot 1
- Systemwide functionality and continuity to slot 1
- Starting dib_test
- Temperature at PE Ch00 is 36 deg C
- Temperature at PE Ch60 is 36 deg C
- Temperature at TG Ch60 is 25 deg C
- Temperature at TG Ch00 is 45 deg C
- Starting BPMU Force Voltage
- Starting Bpmu Clamp Voltage
- Starting Bpmu Measure Voltage
- Starting Bpmu Measure Current
- Starting Bpmu Force current
- Starting Bpmu Limit current
- Starting Channel Drive Levels: Vih Vil
- Starting Channel Drive Levels: VT50ohm
- Starting Channel Compare Levels: Voh Vol
- Starting Channel Clamps: Vch Vcl
- Starting Channel Loads: Ioh Iol
- Starting Channel Load Threshold: Vt
- Starting HV Channel Drive Levels
- Starting HV Channel Drive Current
- Starting FHV Channel Drive Levels
- Ppmu Mi Warmup 11:37:11 AM
- Ppmu Mi Warmup 11:37:11 AM
- Starting Ppmu Force Voltage
- Starting Ppmu Measure Voltage
- Starting Ppmu Force Current Ppmu Force 200ua
- Starting Ppmu Force Current Ppmu Force 2ma
- Starting Ppmu Force Current Ppmu Force 50ma
- Starting Ppmu Force Current Ppmu Force 20ua
- Starting Ppmu Measure 2ma
- Continuing Ppmu Measure Current chan 79
- Continuing Ppmu Measure Current chan 95
- Continuing Ppmu Measure Current chan 111
- Continuing Ppmu Measure Current chan 127
- Starting Ppmu Measure 200ua
- Continuing Ppmu Measure Current chan 79
- Continuing Ppmu Measure Current chan 95
- Continuing Ppmu Measure Current chan 111
- Continuing Ppmu Measure Current chan 127
- Starting Ppmu Measure 20ua
- Continuing Ppmu Measure Current chan 79
- Continuing Ppmu Measure Current chan 95
- Continuing Ppmu Measure Current chan 111
- Continuing Ppmu Measure Current chan 127
- Starting Ppmu Measure 2ua
- Continuing Ppmu Measure Current chan 79
- Continuing Ppmu Measure Current chan 95
- Continuing Ppmu Measure Current chan 111
- Continuing Ppmu Measure Current chan 127
- Starting Ppmu Measure 50ma
- Continuing Ppmu Measure Current chan 79
- Continuing Ppmu Measure Current chan 95
- Continuing Ppmu Measure Current chan 111
- Continuing Ppmu Measure Current chan 127
- Finished Channel Calibration
- Finished DC Calibration on slot 1
%JOB_END - ****PASSED**** Channel_Board_DIB Calibration of slot(s) 0, 1 at 
11:40:41 AM
- PASS slot 0 (S/N )
- PASS slot 1 (S/N )
%JOB_START - Beginning DPS_DIB Calibration test on slot 22 at 11:40:54 AM 
on 1/17/2020
Workbook Rev V7.60.40IP02 DC1116 IG-XL Version: 3.50.40IP02 DIB: P/N 
51745600
S/N xxxxxxx Rev 0901A
%INFO - 
-----------------------------------------------------------------------
%INFO - System IP750_ (IP750EX)
%INFO - IG-XL 3.50.40IP02, Build: 04.13.11.20.00
%INFO - Maintenance 7.60.40IP02, Build: 04.18.11.02.09
%INFO - 
-----------------------------------------------------------------------
- Starting DPS Calibration on slot 22
- Calibrating DPS Voltage on slot 22
- Calibrating DPS Current Limit on slot 22
- Calibrating DPS Current Measure (50uA Range) on slot 22
- Calibrating DPS Current Measure (500uA Range) on slot 22
- Calibrating DPS Current Measure (10mA Range) on slot 22
- Calibrating DPS Current Measure (100mA Range) on slot 22
- Calibrating DPS Current Measure (1A Range) on slot 22
- Finished DPS Calibration on slot 22
%JOB_END - ****PASSED**** DPS_DIB Calibration of slot 22 (S/N:) at 11:41:17 
AM
%JOB_START - Beginning APMU Calibration test on slot 5 at 11:41:30 AM on 
1/17/2020
Workbook Rev V7.60.40IP02 DC1116 IG-XL Version: 3.50.40IP02 DIB: P/N 
51745600
S/N xxxxxxx Rev 0901A
%INFO - 
-----------------------------------------------------------------------
%INFO - System IP750_ (IP750EX)
%INFO - IG-XL 3.50.40IP02, Build: 04.13.11.20.00
%INFO - Maintenance 7.60.40IP02, Build: 04.18.11.02.09
%INFO - 
-----------------------------------------------------------------------
- Starting APMU IDPROM test
- APMU Mother Board - P/N:51740001 Rev:1012A S/N:
- APMU Relay Board - P/N:51740200 Rev:2060 S/N:
- APMU Rider Board - P/N:51740100 Rev:5200 S/N: 2
- APMU Rider Board - P/N:51740100 Rev:5200 S/N: 2
- APMU Rider Board - P/N:51740100 Rev:5200 S/N: 2
- APMU Rider Board - P/N:51740100 Rev:5200 S/N: 2
- APMU Rider Board - P/N:51740100 Rev:5200 S/N: 2
- APMU Rider Board - P/N:51740100 Rev:5200 S/N: 2
- APMU Rider Board - P/N:51740100 Rev:5200 S/N: 2
- APMU Rider Board - P/N:51740100 Rev:5200 S/N: 2
- Completed APMU IDPROM test
-
- Starting APMU Calibration on slot 5
- Completed APMU Calibration on slot 5
%JOB_END - ****PASSED**** APMU Calibration of slot 5 (S/N:4) at 11:43:48 AM
%JOB_START - Beginning ICUA Calibration test on slot 2 at 11:44:01 AM on 
1/17/2020
Workbook Rev V7.60.40IP02 DC1116 IG-XL Version: 3.50.40IP02 DIB: P/N 
51745600
S/N xxxxxxx Rev 0901A
%INFO - 
-----------------------------------------------------------------------
%INFO - System IP750_ (IP750EX)
%INFO - IG-XL 3.50.40IP02, Build: 04.13.11.20.00
%INFO - Maintenance 7.60.40IP02, Build: 04.18.11.02.09
%INFO - 
-----------------------------------------------------------------------
- Starting dib_test
- ICUA-2 P/N:51742601 Rev:738B S/N:4
- %INFO -- ADM on ICUA-2 Chan0 Slot2, ADM P/N:51740520 Rev:735C S/N:4
- %INFO -- ADM on ICUA-2 Chan1 Slot2, ADM P/N:51740520 Rev:735C S/N:4
- %INFO -- ADM on ICUA-2 Chan2 Slot2, ADM P/N:51740520 Rev:735C S/N:4
- %INFO -- ADM on ICUA-2 Chan3 Slot2, ADM P/N:51740520 Rev:735C S/N:4
- ICUA-2 Relay board P/N:51742800 Rev:515C S/N:4
- [ICUA Reference DAC Calibration]
- [ADM Range Calibration]
- - CDS Cal for AD9101
- - ICUA Chan 8 - (up to 1 min)
- - ICUA Chan 9 - (up to 1 min)
- - ICUA Chan 10 - (up to 1 min)
- - ICUA Chan 11 - (up to 1 min)
- [ADM DAC's Calibration]
- - ICUA Chan 8 -
- - ICUA Chan 9 -
- - ICUA Chan 10 -
- - ICUA Chan 11 -
- [Line Clamp Calibration]
- - ICUA Chan 8 -
- - ICUA Chan 8 -
- - ICUA Chan 9 -
- - ICUA Chan 9 -
- - ICUA Chan 10 -
- - ICUA Chan 10 -
- - ICUA Chan 11 -
- - ICUA Chan 11 -
- Complete ICUA Calibration 154.9 sec
%JOB_END - ****PASSED**** ICUA Calibration of slot 2 (S/N:4) at 11:46:36 AM
%JOB_START - Beginning AC Calibration at 11:46:48 AM on 1/17/2020 in High 
Accuracy Mode
Workbook Rev V7.60.40IP02 DC1116 IG-XL Version: 3.50.40IP02 DIB: P/N 
51745600
S/N xxxxxxx Rev 0901A
%INFO - 
-----------------------------------------------------------------------
%INFO - System IP750_ (IP750EX)
%INFO - IG-XL 3.50.40IP02, Build: 04.13.11.20.00
%INFO - Maintenance 7.60.40IP02, Build: 04.18.11.02.09
%INFO - 
-----------------------------------------------------------------------
- Beginning Digital Channel Timing Calibration
- Building List of Digital Channels
- Checking CalDIB AC Continuity for all Digital Channels
- Calibrating Super Linear Interpolator (SLI)
- Measuring Cub Round Trip Delay
- Measuring RF Matrix Delay
- Calibrating Drive Edges
- Calibrating Receive Edges
- Calibrating Receive Window
- Calibrating HFMux
- Calibrating Mux Drive
- Calibrating Receive Mux
- Completed Digital Channel Timing Calibration
%JOB_END - ****PASSED**** AC Calibration at 11:49:40 AM
- Writing to System Calibration file - Begin (up to 5 minutes)
- Writing to System Calibration file – End
%JOB_START - Beginning ICUL1G Quick Check test on slot 16 at 12:39:25 PM on 
1/17/2020
Workbook Rev V7.60.40IP02 DC1116 IG-XL Version: 3.50.40IP02 (P5) DIB:
P/N 51745600 S/N Rev 0901A
%INFO - 
-----------------------------------------------------------------------
%INFO - System IP750_(IP750EX)
%INFO - IG-XL 3.50.40IP02 (P5), Build: 10.23.14.08.52
%INFO - Maintenance Not installed,
%INFO - 
-----------------------------------------------------------------------
- Started ICUL1G test on slot 16
- Started ICUL1G Board IDPROM Test...
- ICUL1G Mother Board - P/N:51746301 Rev:1114A S/N:
- ICUL1G Rider Board - P/N:51746400 Rev:1039A S/N:
- Completed ICUL1G Board IDPROM Test.
- Active Device Set: HighSpeed1.1.1
- Started ICUL1G Temperature Test...
- ICUL1G Board TempSensor0 Temperature: 30.5 degrees C
- ICUL1G Board TempSensor1 Temperature: 30.5 degrees C
- ICUL1G Board TempSensor2 Temperature: 28.0 degrees C
- ICUL1G Board TempSensor3 Temperature: 32.0 degrees C
- ICUL1G Board TempSensor4 Temperature: 23.0 degrees C
- Completed ICUL1G Temperature Test.
- Started ICUL1G POL Test...
- Completed ICUL1G POL Test.
- Started ICUL1G FPGA Rev. Test...
- Misc FPGA Rev : 0xE
- Misc FPGA Firmware Rev : 0x34
- Channel FPGA Rev : 0x22
- Infiniband FPGA Rev : 0xD
- Infiniband FPGA Firmware Rev : 0x20B
- Completed ICUL1G FPGA Rev Test.
- Started ICUL1G AT23 Temperature Test...
- Completed ICUL1G AT23 Temperature Test.
- Started ICUL1G FPGA Temperature Test...
- Completed ICUL1G FPGA Temperature Test.
- Started PG Register Test
- Completed PG Register Test
- Started PG LVM BIST
- Completed PG LVM BIST
- Started PG SVM Test
- Completed PG SVM Test
- Started FPGA Register Test
- Completed FPGA Register Test
- Started Misc FPGA Register Test.
- Completed Misc FPGA Register Test.
- Started FPGA Level Set Memory Test
- Completed FPGA Level Set Memory Test
- Started SDRAM Data Test
- Completed SDRAM Data Test
- Started ICUL1G ADC BIT Test...
- Completed ICUL1G ADC BIT Test.
- Started ICUL1G AT23 Comparator Test...
- Testing DUT Chan 48-51
- Testing DUT Chan 52-55
- Testing DUT Chan 56-59
- Testing DUT Chan 60-63
- Testing DUT Chan 64-67
- Testing DUT Chan 68-71
- Completed ICUL1G AT23 Comparator Test.
- Started InfiniBand State Test
- Check IDPConfig and RPC Ethernet Communication
- == Running with Image Processing PC(IMGPC0) ==
- Testing HCA Status Test
- Testing TCA Status Test
- Testing IB Status Test
- Completed InfiniBand State Test
- Started ICUL1G Frequency Counter Test
- Testing DUT Chan 48
- Testing DUT Chan 49
- Testing DUT Chan 50
- Testing DUT Chan 51
- Testing DUT Chan 52
- Testing DUT Chan 53
- Testing DUT Chan 54
- Testing DUT Chan 55
- Completed ICUL1G Frequency Counter Test
- Started ICUL1G Sync Code Test
- Testing Pin Group 0(Ch48/Ch56)
- Testing Pin Group 1(Ch49/Ch57)
- Testing Pin Group 2(Ch50/Ch58)
- Testing Pin Group 3(Ch51/Ch59)
- Testing Pin Group 4(Ch52/Ch60)
- Testing Pin Group 5(Ch53/Ch61)
- Testing Pin Group 6(Ch54/Ch62)
- Testing Pin Group 7(Ch55/Ch63)
- Completed ICUL1G Sync Code Test
- Started ICUL1G Serial Capture Test
- Test in 100M/DDR/NormalCapture/Serial1/1 Lane
- Test in 100M/DDR/NormalCapture/Serial1/2 Lane
- Test in 100M/DDR/NormalCapture/Serial1/4 Lane
- Test in 100M/DDR/NormalCapture/Serial1/16 Lane
- Test in 100M/DDR/NormalCapture/Serial2/1 Lane
- Test in 100M/DDR/NormalCapture/Serial2/2 Lane
- Test in 100M/DDR/NormalCapture/Serial2/3 Lane
- Test in 100M/DDR/NormalCapture/Serial2/4 Lane
- Test in 100M/DDR/NormalCapture/Serial3/16 Lane
- Test in 100M/DDR/RawCapture/Serial2/1 Lane
- Test in 100M/DDR/RawCapture/Serial2/2 Lane
- Test in 100M/DDR/RawCapture/Serial2/3 Lane
- Test in 100M/DDR/RawCapture/Serial2/4 Lane
- Test in 100M/DDR/RawCapture/Serial3/16 Lane
- Test in 100M/DDR/NormalCapture/Serial1/10 Lane
- Test in 100M/DDR/NormalCapture/Serial3/10 Lane
- Test in 100M/DDR/RawCapture/Serial3/10 Lane
- Completed ICUL1G Serial Capture Test
- Started ICUL1G Differential Polarity Test
- Completed ICUL1G Differential Polarity Test
- Completed ICUL1G test on slot 16
- Run time: 0.7 min
%JOB_END - ****PASSED**** ICUL1G Quick Check of slot 16 (S/N:) at 12:40:09 
PM
%JOB_START - Beginning ICUL1G Calibration test on slot 16 at 12:40:30 PM on 
1/17/2020
Workbook Rev V7.60.40IP02 DC1116 IG-XL Version: 3.50.40IP02 (P5) DIB:
P/N 51745600 S/N Rev 0901A
%INFO - 
-----------------------------------------------------------------------
%INFO - System IP750_ (IP750EX)
%INFO - IG-XL 3.50.40IP02 (P5), Build: 10.23.14.08.52
%INFO - Maintenance Not installed,
%INFO - 
-----------------------------------------------------------------------
- ** Pre-Check before Calibration on slot 16 **
- Started ICUL1G Board IDPROM Test...
- ICUL1G Mother Board - P/N:51746301 Rev:1114A S/N:
- ICUL1G Rider Board - P/N:51746400 Rev:1039A S/N:
- Completed ICUL1G Board IDPROM Test.
- Active Device Set: HighSpeed1.1.1
- Started ICUL1G Temperature Test...
- ICUL1G Board TempSensor0 Temperature: 30.5 degrees C
- ICUL1G Board TempSensor1 Temperature: 30.5 degrees C
- ICUL1G Board TempSensor2 Temperature: 28.0 degrees C
- ICUL1G Board TempSensor3 Temperature: 32.0 degrees C
- ICUL1G Board TempSensor4 Temperature: 23.0 degrees C
- Completed ICUL1G Temperature Test.
- Started ICUL1G POL Test...
- Completed ICUL1G POL Test.
- Started ICUL1G FPGA Rev. Test...
- Misc FPGA Rev : 0xE
- Misc FPGA Firmware Rev : 0x34
- Channel FPGA Rev : 0x22
- Infiniband FPGA Rev : 0xD
- Infiniband FPGA Firmware Rev : 0x20B
- Completed ICUL1G FPGA Rev Test.
- Started ICUL1G AT23 Temperature Test...
- Completed ICUL1G AT23 Temperature Test.
- Started ICUL1G FPGA Temperature Test...
- Completed ICUL1G FPGA Temperature Test.
- ** Ended Pre-Check before Calibration **
- Started ICUL1G Calibration on slot 16
- Started CALBUS Cal
- Completed CALBUS Cal
-
- Started COMPDAC Cal
- Completed COMPDAC Cal
-
- Started PPMU FV Cal
- Completed PPMU FV Cal
-
- Started PPMU MV Cal
- Completed PPMU MV Cal
-
- Started PPMU IIOS Cal
- Completed PPMU IIOS Cal
-
- Started PPMU MI Cal
- Completed PPMU MI Cal
-
- Started PPMU FI Cal
- Completed PPMU FI Cal
-
- Started PE DRIVER Cal
- Completed PE DRIVER Cal
-
- Started PE IMPEDANCE Cal
- Completed PE IMPEDANCE Cal
-
- Started PE SE COMP Cal
- Completed PE SE COMP Cal
-
- Started PE DIFF COMP Cal
- Completed PE DIFF COMP Cal
-
- Started PPMU CURRENT-CLAMP Cal
- Completed PPMU CURRENT-CLAMP Cal
-
- Started PPMU VOLTAGE-CLAMP Cal
- Completed PPMU VOLTAGE-CLAMP Cal
-
- Started ICUL1G Walking Strobe Start Timing Calculation on slot 16
- Completed ICUL1G Walking Strobe Start Timing Calculation on slot 16
- Started ICUL1G Phase Adjustment SyncBit for Source and Capture on slot 16
- Completed ICUL1G Phase Adjustment SyncBit for Source and Capture on slot 
16
- Started ICUL1G Phase Adjustment Test between REFCLK and Drive Sync 
Capture Enable Bit on
slot 16
- Completed ICUL1G Phase Adjustment Test between REFCLK and Drive Sync 
Capture Enable Bit
on slot 16
- Started ICUL1G Walking Strobe Start Timing Calculation on slot 16
- Completed ICUL1G Walking Strobe Start Timing Calculation on slot 16
- Started ICUL1G External Delay Calibration on slot 16
- Completed ICUL1G External Delay Calibration on slot 16
- Started ICUL1G IDelay Calibration on slot 16
- Completed ICUL1G IDelay Calibration on slot 16
- Started ICUL1G Internal Path Calibration on slot 16
- Completed ICUL1G Internal Path Calibration on slot 16
- Started ICUL1G Slave Drive Calibration on slot 16
- Completed ICUL1G Slave Drive Calibration on slot 16
- Started ICUL1G Slave Receive Calibration on slot 16
- Completed ICUL1G Slave Receive Calibration on slot 16
- Started ICUL1G AC CALTREE TDT Calibration on slot 16
- Completed ICUL1G AC CALTREE TDT Calibration on slot 16
- Started ICUL1G Drive Calibration on slot 16
- Completed ICUL1G Drive Calibration on slot 16
- Started ICUL1G Data-Clock Capture Calibration on slot 16
- Completed ICUL1G Data-Clock Capture Calibration on slot 16
- Completed ICUL1G Calibration on slot 16
- Run time: 7.7 min
%JOB_END - ****PASSED**** ICUL1G Calibration of slot 16 (S/N:) at 12:48:12 
PM
- Writing to System Calibration file - Begin (up to 5 minutes)
- Writing to System Calibration file - End
%JOB_START - Beginning ICUL1G Module Check test on slot 16 at 12:48:39 PM 
on 1/17/2020
Workbook Rev V7.60.40IP02 DC1116 IG-XL Version: 3.50.40IP02 (P5) DIB:
P/N 51745600 S/N Rev 0901A
%INFO - 
-----------------------------------------------------------------------
%INFO - System IP750_ (IP750EX)
%INFO - IG-XL 3.50.40IP02 (P5), Build: 10.23.14.08.52
%INFO - Maintenance Not installed,
%INFO - 
-----------------------------------------------------------------------
- Started ICUL1G test on slot 16
- Started ICUL1G Board IDPROM Test...
- ICUL1G Mother Board - P/N:51746301 Rev:1114A S/N:
- ICUL1G Rider Board - P/N:51746400 Rev:1039A S/N:
- Completed ICUL1G Board IDPROM Test.
- Active Device Set: HighSpeed1.1.1
- Started ICUL1G Temperature Test...
- ICUL1G Board TempSensor0 Temperature: 30.5 degrees C
- ICUL1G Board TempSensor1 Temperature: 31.0 degrees C
- ICUL1G Board TempSensor2 Temperature: 28.5 degrees C
- ICUL1G Board TempSensor3 Temperature: 32.0 degrees C
- ICUL1G Board TempSensor4 Temperature: 23.5 degrees C
- Completed ICUL1G Temperature Test.
- Started ICUL1G POL Test...
- Completed ICUL1G POL Test.
- Started ICUL1G FPGA Rev. Test...
- Misc FPGA Rev : 0xE
- Misc FPGA Firmware Rev : 0x34
- Channel FPGA Rev : 0x22
- Infiniband FPGA Rev : 0xD
- Infiniband FPGA Firmware Rev : 0x20B
- Completed ICUL1G FPGA Rev Test.
- Started ICUL1G AT23 Temperature Test...
- Completed ICUL1G AT23 Temperature Test.
- Started ICUL1G FPGA Temperature Test...
- Completed ICUL1G FPGA Temperature Test.
- Started PG Register Test
- Completed PG Register Test
- Started PG LVM BIST
- takes about 1 min...
- Completed PG LVM BIST
- Started PG SVM Test
- Completed PG SVM Test
- Started FPGA Register Test
- Completed FPGA Register Test
- Started Misc FPGA Register Test.
- Completed Misc FPGA Register Test.
- Started FPGA Level Set Memory Test
- Completed FPGA Level Set Memory Test
- Started SDRAM Data Test
- takes about 10 sec...
- Completed SDRAM Data Test
- Started ICUL1G ADC BIT Test...
- Completed ICUL1G ADC BIT Test.
- Started ICUL1G AT23 Comparator Test...
- Testing DUT Chan 48-51
- Testing DUT Chan 52-55
- Testing DUT Chan 56-59
- Testing DUT Chan 60-63
- Testing DUT Chan 64-67
- Testing DUT Chan 68-71
- Completed ICUL1G AT23 Comparator Test.
- Started ICUL1G DUT Relay Test...
- Completed ICUL1G DUT Relay Test.
- Started PPMU FV Test
- Testing DUT Chan 48-51
- Testing DUT Chan 52-55
- Testing DUT Chan 56-59
- Testing DUT Chan 60-63
- Testing DUT Chan 64-67
- Testing DUT Chan 68-71
- Completed PPMU FV Test
- Started PPMU MV Test
- Testing DUT Chan 48-51
- Testing DUT Chan 52-55
- Testing DUT Chan 56-59
- Testing DUT Chan 60-63
- Testing DUT Chan 64-67
- Testing DUT Chan 68-71
- Completed PPMU MV Test
- Started PPMU FI Test
- Testing DUT Chan 48-51
- Testing DUT Chan 52-55
- Testing DUT Chan 56-59
- Testing DUT Chan 60-63
- Testing DUT Chan 64-67
- Testing DUT Chan 68-71
- Completed PPMU FI Test
- Started PPMU MI Test
- Testing DUT Chan 48-51
- Testing DUT Chan 52-55
- Testing DUT Chan 56-59
- Testing DUT Chan 60-63
- Testing DUT Chan 64-67
- Testing DUT Chan 68-71
- Completed PPMU MI Test
- Started PPMU V Clamp Test
- Testing DUT Chan 48-51
- Testing DUT Chan 52-55
- Testing DUT Chan 56-59
- Testing DUT Chan 60-63
- Testing DUT Chan 64-67
- Testing DUT Chan 68-71
- Completed PPMU V Clamp Test
- Started ICUL1G DGS Test...
- Completed ICUL1G DGS Test.
- Started InfiniBand State Test
- Check IDPConfig and RPC Ethernet Communication
- == Running with Image Processing PC(IMGPC0) ==
- Testing HCA Status Test
- Testing TCA Status Test
- Testing IB Status Test
- Completed InfiniBand State Test
- Started ICUL1G State Bus Test
- Check Capture_Enable/Disable U-code
- Testing NORMAL
- Testing EXTENDED
- Testing QUAD
- Check FrequencyCounter_Start U-code
- Testing NORMAL
- Testing EXTENDED
- Testing QUAD
- Completed ICUL1G State Bus Test
- Started XFER Test
- Testing Pin Group 0(Ch48/Ch56)
- Testing Pin Group 1(Ch49/Ch57)
- Testing Pin Group 2(Ch50/Ch58)
- Testing Pin Group 3(Ch51/Ch59)
- Testing Pin Group 4(Ch52/Ch60)
- Testing Pin Group 5(Ch53/Ch61)
- Testing Pin Group 6(Ch54/Ch62)
- Testing Pin Group 7(Ch55/Ch63)
- Completed XFER Test
- Started ICUL1G Frequency Counter Test
- Testing DUT Chan 48
- Testing DUT Chan 49
- Testing DUT Chan 50
- Testing DUT Chan 51
- Testing DUT Chan 52
- Testing DUT Chan 53
- Testing DUT Chan 54
- Testing DUT Chan 55
- Completed ICUL1G Frequency Counter Test
- Started ICUL1G Pixel/Line Size Test
- Testing Pin Group 0(Ch48/Ch56)
- Testing Pin Group 1(Ch49/Ch57)
- Testing Pin Group 2(Ch50/Ch58)
- Testing Pin Group 3(Ch51/Ch59)
- Testing Pin Group 4(Ch52/Ch60)
- Testing Pin Group 5(Ch53/Ch61)
- Testing Pin Group 6(Ch54/Ch62)
- Testing Pin Group 7(Ch55/Ch63)
- Completed ICUL1G Pixel/Line Size Test
- Started ICUL1G Frame Count Test
- Testing Pin Group 0(Ch48/Ch56)
- Testing Pin Group 1(Ch49/Ch57)
- Testing Pin Group 2(Ch50/Ch58)
- Testing Pin Group 3(Ch51/Ch59)
- Testing Pin Group 4(Ch52/Ch60)
- Testing Pin Group 5(Ch53/Ch61)
- Testing Pin Group 6(Ch54/Ch62)
- Testing Pin Group 7(Ch55/Ch63)
- Completed ICUL1G Frame Count Test
- Started ICUL1G Line HoldOff Test
- Testing Pin Group 0(Ch48/Ch56)
- Testing Pin Group 1(Ch49/Ch57)
- Testing Pin Group 2(Ch50/Ch58)
- Testing Pin Group 3(Ch51/Ch59)
- Testing Pin Group 4(Ch52/Ch60)
- Testing Pin Group 5(Ch53/Ch61)
- Testing Pin Group 6(Ch54/Ch62)
- Testing Pin Group 7(Ch55/Ch63)
- Completed ICUL1G Line HoldOff Test
- Started ICUL1G Frame HoldOff Test
- Testing Pin Group 0(Ch48/Ch56)
- Testing Pin Group 1(Ch49/Ch57)
- Testing Pin Group 2(Ch50/Ch58)
- Testing Pin Group 3(Ch51/Ch59)
- Testing Pin Group 4(Ch52/Ch60)
- Testing Pin Group 5(Ch53/Ch61)
- Testing Pin Group 6(Ch54/Ch62)
- Testing Pin Group 7(Ch55/Ch63)
- Completed ICUL1G Frame HoldOff Test
- Started ICUL1G Sync HoldOff Test
- Testing Pin Group 0(Ch48/Ch56)
- Testing Pin Group 1(Ch49/Ch57)
- Testing Pin Group 2(Ch50/Ch58)
- Testing Pin Group 3(Ch51/Ch59)
- Testing Pin Group 4(Ch52/Ch60)
- Testing Pin Group 5(Ch53/Ch61)
- Testing Pin Group 6(Ch54/Ch62)
- Testing Pin Group 7(Ch55/Ch63)
- Completed ICUL1G Sync HoldOff Test
- Started ICUL1G Sync Code Test
- Testing Pin Group 0(Ch48/Ch56)
- Testing Pin Group 1(Ch49/Ch57)
- Testing Pin Group 2(Ch50/Ch58)
- Testing Pin Group 3(Ch51/Ch59)
- Testing Pin Group 4(Ch52/Ch60)
- Testing Pin Group 5(Ch53/Ch61)
- Testing Pin Group 6(Ch54/Ch62)
- Testing Pin Group 7(Ch55/Ch63)
- Completed ICUL1G Sync Code Test
- Started ICUL1G Pixel Clipping Alarm Test
- Testing Pin Group 0(Ch48/Ch56)
- Testing Pin Group 1(Ch49/Ch57)
- Testing Pin Group 2(Ch50/Ch58)
- Testing Pin Group 3(Ch51/Ch59)
- Testing Pin Group 4(Ch52/Ch60)
- Testing Pin Group 5(Ch53/Ch61)
- Testing Pin Group 6(Ch54/Ch62)
- Testing Pin Group 7(Ch55/Ch63)
- Completed ICUL1G Pixel Clipping Alarm Test
- Started ICUL1G Line Clipping Alarm Test
- Testing Pin Group 0(Ch48/Ch56)
- Testing Pin Group 1(Ch49/Ch57)
- Testing Pin Group 2(Ch50/Ch58)
- Testing Pin Group 3(Ch51/Ch59)
- Testing Pin Group 4(Ch52/Ch60)
- Testing Pin Group 5(Ch53/Ch61)
- Testing Pin Group 6(Ch54/Ch62)
- Testing Pin Group 7(Ch55/Ch63)
- Completed ICUL1G Line Clipping Alarm Test
- Started ICUL1G Frequency Counter Alarm Test
- Testing DUT Chan 48
- Testing DUT Chan 49
- Testing DUT Chan 50
- Testing DUT Chan 51
- Testing DUT Chan 52
- Testing DUT Chan 53
- Testing DUT Chan 54
- Testing DUT Chan 55
- Completed ICUL1G Frequency Counter Alarm Test
- Started ICUL1G VSync Interval Alarm Test
- Testing Pin Group 0(Ch48/Ch56)
- Testing Pin Group 1(Ch49/Ch57)
- Testing Pin Group 2(Ch50/Ch58)
- Testing Pin Group 3(Ch51/Ch59)
- Testing Pin Group 4(Ch52/Ch60)
- Testing Pin Group 5(Ch53/Ch61)
- Testing Pin Group 6(Ch54/Ch62)
- Testing Pin Group 7(Ch55/Ch63)
- Completed ICUL1G VSync Interval Alarm Test
- Started ICUL1G Serial Capture Test
- Test in 100M/DDR/NormalCapture/Serial1/1 Lane
- Test in 300M/DDR/NormalCapture/Serial1/1 Lane
- Test in 100M/DDR/NormalCapture/Serial1/2 Lane
- Test in 300M/DDR/NormalCapture/Serial1/2 Lane
- Test in 100M/DDR/NormalCapture/Serial1/4 Lane
- Test in 300M/DDR/NormalCapture/Serial1/4 Lane
- Test in 100M/DDR/NormalCapture/Serial1/16 Lane
- Test in 300M/DDR/NormalCapture/Serial1/16 Lane
- Test in 100M/DDR/NormalCapture/Serial2/1 Lane
- Test in 300M/DDR/NormalCapture/Serial2/1 Lane
- Test in 100M/DDR/NormalCapture/Serial2/2 Lane
- Test in 300M/DDR/NormalCapture/Serial2/2 Lane
- Test in 100M/DDR/NormalCapture/Serial2/3 Lane
- Test in 300M/DDR/NormalCapture/Serial2/3 Lane
- Test in 100M/DDR/NormalCapture/Serial2/4 Lane
- Test in 300M/DDR/NormalCapture/Serial2/4 Lane
- Test in 100M/DDR/NormalCapture/Serial3/16 Lane
- Test in 300M/DDR/NormalCapture/Serial3/16 Lane
- Test in 100M/DDR/RawCapture/Serial2/1 Lane
- Test in 300M/DDR/RawCapture/Serial2/1 Lane
- Test in 100M/DDR/RawCapture/Serial2/2 Lane
- Test in 300M/DDR/RawCapture/Serial2/2 Lane
- Test in 100M/DDR/RawCapture/Serial2/3 Lane
- Test in 300M/DDR/RawCapture/Serial2/3 Lane
- Test in 100M/DDR/RawCapture/Serial2/4 Lane
- Test in 300M/DDR/RawCapture/Serial2/4 Lane
- Test in 100M/DDR/RawCapture/Serial3/16 Lane
- Test in 300M/DDR/RawCapture/Serial3/16 Lane
- Test in 100M/DDR/NormalCapture/Serial1/10 Lane
- Test in 300M/DDR/NormalCapture/Serial1/10 Lane
- Test in 10</t>
  </si>
  <si>
    <t xml:space="preserve">80215</t>
  </si>
  <si>
    <t xml:space="preserve">950-662-02/A</t>
  </si>
  <si>
    <t xml:space="preserve">Teradyne J971 PCB, Removed from working system, warehoused, additional numbers on board 60619 9341</t>
  </si>
  <si>
    <t xml:space="preserve">Teradyne J971 P.C.B. for immediate sale. qty 2 available.
De-installed from a working system. Located at our Avezzano 67051 Italy 
warehouse.</t>
  </si>
  <si>
    <t xml:space="preserve">78168</t>
  </si>
  <si>
    <t xml:space="preserve">950-656-00 rev B</t>
  </si>
  <si>
    <t xml:space="preserve">PCB from test system</t>
  </si>
  <si>
    <t xml:space="preserve">Teradyne 950-656-00 rev B PCB from teradyne J994 tester.
This board contains also the following sub-assemblies:
Qty 4 950-735-00 rev A
Qty 6 950-597-00 rev A
Weight 4 kg
Dims. 51.5 cm  x 38 cm x 10 cm
</t>
  </si>
  <si>
    <t xml:space="preserve">80216</t>
  </si>
  <si>
    <t xml:space="preserve">953-003-01</t>
  </si>
  <si>
    <t xml:space="preserve">Teradyne J971 PCB, Removed from working system, warehoused, additional numbers on board 7221 9720</t>
  </si>
  <si>
    <t xml:space="preserve">Teradyne J971 P.C.B. for immediate sale.
De-installed from a working system. Located at our Avezzano 67051 Italy 
warehouse.</t>
  </si>
  <si>
    <t xml:space="preserve">80217</t>
  </si>
  <si>
    <t xml:space="preserve">950-542-00</t>
  </si>
  <si>
    <t xml:space="preserve">Teradyne J971 PCB, Removed from working system, warehoused, additional numbers on board 30420 9208</t>
  </si>
  <si>
    <t xml:space="preserve">80218</t>
  </si>
  <si>
    <t xml:space="preserve">950-541-00 REV A</t>
  </si>
  <si>
    <t xml:space="preserve">Teradyne J971 PCB, Removed from working system, warehoused, additional numbers on board /A 53420 9208</t>
  </si>
  <si>
    <t xml:space="preserve">80219</t>
  </si>
  <si>
    <t xml:space="preserve">950-421-01/A</t>
  </si>
  <si>
    <t xml:space="preserve">Teradyne J971 PCB, Removed from working system, warehoused, additional numbers on board /A 61819 9517</t>
  </si>
  <si>
    <t xml:space="preserve">80220</t>
  </si>
  <si>
    <t xml:space="preserve">950-713-00</t>
  </si>
  <si>
    <t xml:space="preserve">Teradyne J971 PCB, Removed from working system, warehoused, additional numbers on board 2220 9702 Z18XX</t>
  </si>
  <si>
    <t xml:space="preserve">Teradyne J971 P.C.B.for immediate sale.
De-installed from a working system. Located at our Avezzano 67051 Italy 
warehouse.</t>
  </si>
  <si>
    <t xml:space="preserve">80221</t>
  </si>
  <si>
    <t xml:space="preserve">950-220-02 rev a</t>
  </si>
  <si>
    <t xml:space="preserve">Teradyne J971 PCB, Removed from working system, warehoused, additional numbers on board /A 42419 9251</t>
  </si>
  <si>
    <t xml:space="preserve">80222</t>
  </si>
  <si>
    <t xml:space="preserve">950-777-01</t>
  </si>
  <si>
    <t xml:space="preserve">Teradyne J971 PCB, Removed from working system, warehoused, additional numbers on board /A 46500L 9513</t>
  </si>
  <si>
    <t xml:space="preserve">80223</t>
  </si>
  <si>
    <t xml:space="preserve">950-572-04 Rev. A</t>
  </si>
  <si>
    <t xml:space="preserve">Teradyne J971 PCB, Removed from working system, warehoused, additional numbers on board /A 61219 9345</t>
  </si>
  <si>
    <t xml:space="preserve">80224</t>
  </si>
  <si>
    <t xml:space="preserve">950-569-03/A</t>
  </si>
  <si>
    <t xml:space="preserve">Teradyne J971 PCB, Removed from working system, warehoused, additional numbers on board /A 61419 9314</t>
  </si>
  <si>
    <t xml:space="preserve">80225</t>
  </si>
  <si>
    <t xml:space="preserve">950-212-03/B</t>
  </si>
  <si>
    <t xml:space="preserve">Teradyne J971 PCB, Removed from working system, warehoused, additional numbers on board /B 55119 9328</t>
  </si>
  <si>
    <t xml:space="preserve">80226</t>
  </si>
  <si>
    <t xml:space="preserve">950-687-01 rev D</t>
  </si>
  <si>
    <t xml:space="preserve">Teradyne J971 PCB, Removed from working system, warehoused, additional numbers on board /D 9752 L200</t>
  </si>
  <si>
    <t xml:space="preserve">80227</t>
  </si>
  <si>
    <t xml:space="preserve">950-561-04/A</t>
  </si>
  <si>
    <t xml:space="preserve">Teradyne J971 PCB, Removed from working system, warehoused, additional numbers on board /A 60620 9547</t>
  </si>
  <si>
    <t xml:space="preserve">84840</t>
  </si>
  <si>
    <t xml:space="preserve">880-751-10 /E</t>
  </si>
  <si>
    <t xml:space="preserve">Precision Measurement unit PCB, REV E</t>
  </si>
  <si>
    <t xml:space="preserve">Teradyne 880-751-10 /E Precision Measurement PCB
Removed from working unit, in static-sensitive wrap, and stored in our 
Texas warehouse. </t>
  </si>
  <si>
    <t xml:space="preserve">83561</t>
  </si>
  <si>
    <t xml:space="preserve">405-167-00</t>
  </si>
  <si>
    <t xml:space="preserve">Power Supply 8 Amp, 28V</t>
  </si>
  <si>
    <t xml:space="preserve">      Power Supply 8Amp, 28v 2-output, removed from working service from 
Teradyne J971 tester. Located in our Boerne, TX Warehouse    
</t>
  </si>
  <si>
    <t xml:space="preserve">83566</t>
  </si>
  <si>
    <t xml:space="preserve">405-096-00</t>
  </si>
  <si>
    <t xml:space="preserve">POWER ONE Power Supply 150 Amp, 230 VAC (S233)</t>
  </si>
  <si>
    <t xml:space="preserve">    Power Supply 150 Amp, 230VAC 2-output, removed from working service 
from Teradyne J971 tester. Located in AVEZZANO ITALY 
MANUFACTURER Power One
</t>
  </si>
  <si>
    <t xml:space="preserve">108912</t>
  </si>
  <si>
    <t xml:space="preserve">UltraFLEX</t>
  </si>
  <si>
    <t xml:space="preserve">De-installed, warehoused. Can be inspected by appointment.
-CE MARKED
-TUV SEMI S2 Certified
-HP Z800 P.C.
Date: JUN 2011
Pleae refer to the attached photos and diagnostic files for the 
configuration and the current equipment condition.</t>
  </si>
  <si>
    <t xml:space="preserve">81836</t>
  </si>
  <si>
    <t xml:space="preserve">961-129-01</t>
  </si>
  <si>
    <t xml:space="preserve">Teradyne J971 test system power control panel</t>
  </si>
  <si>
    <t xml:space="preserve">Used Teradyne J971 power control panel
  Good condition, removed from deinstalled system
 </t>
  </si>
  <si>
    <t xml:space="preserve">108213</t>
  </si>
  <si>
    <t xml:space="preserve">EDS/ TEST</t>
  </si>
  <si>
    <t xml:space="preserve">108987</t>
  </si>
  <si>
    <t xml:space="preserve">950-217-04 REV B</t>
  </si>
  <si>
    <t xml:space="preserve">PC BOARD FOR TERADYNE J971 SP</t>
  </si>
  <si>
    <t xml:space="preserve">PCB REMOVED FROM A WORKING SYSTEM
TERADYNE XTW217 REV B
WITH 950-533-00A TW533 REV A
WITH BURR BROWN DAC729 TO DAC73
SEE PHOTOS FOR DETAILS</t>
  </si>
  <si>
    <t xml:space="preserve">108988</t>
  </si>
  <si>
    <t xml:space="preserve">950-561-04 REV A</t>
  </si>
  <si>
    <t xml:space="preserve">PCB REMOVED FROM A WORKING J971 SP TEST SYSTEM
TERADYNE TW561 REV A
SEE PHOTOS FOR DETAILS</t>
  </si>
  <si>
    <t xml:space="preserve">108990</t>
  </si>
  <si>
    <t xml:space="preserve">950-562-00 REV A</t>
  </si>
  <si>
    <t xml:space="preserve">PCB REMOVED FROM A WORKING J971SP TESTER SYSTEM
TERADYNE TW562 REV A
SEE PHOTOS FOR DETAILS</t>
  </si>
  <si>
    <t xml:space="preserve">108991</t>
  </si>
  <si>
    <t xml:space="preserve">950-681-00 REV A</t>
  </si>
  <si>
    <t xml:space="preserve">PCB REMOVED FROM A WORKING J971 SP TESTER SYSTEM
TERADYNE TW681 REV A
SEE PHOTOS FOR DETAILS</t>
  </si>
  <si>
    <t xml:space="preserve">108992</t>
  </si>
  <si>
    <t xml:space="preserve">950-560-00 REV A</t>
  </si>
  <si>
    <t xml:space="preserve">PCB REMOVED FROM A WORKING J971 SP TESTER SYSTEM
TERADYNE TW560 REV A MM1 9930A
SEE PHOTOS FOR DETAILS</t>
  </si>
  <si>
    <t xml:space="preserve">80321</t>
  </si>
  <si>
    <t xml:space="preserve">880-751-10</t>
  </si>
  <si>
    <t xml:space="preserve">Teradyne J971 PCB, Removed from working system, warehoused, additional numbers on board 61720 9521</t>
  </si>
  <si>
    <t xml:space="preserve">Teradyne working J971 board, removed from working system
Will ship Fedex in static bags from our Boerne, TX 78006 Warehouse
</t>
  </si>
  <si>
    <t xml:space="preserve">80322</t>
  </si>
  <si>
    <t xml:space="preserve">950-421-01</t>
  </si>
  <si>
    <t xml:space="preserve">Teradyne J971 PCB, Removed from working system, warehoused, additional numbers on board /A 72019 9517</t>
  </si>
  <si>
    <t xml:space="preserve">Excellent condition Teradyne board, removed from working J971 Tester
Sold as-is and ships from our Boerne, TX 78006 Warehouse via FEDEX.
</t>
  </si>
  <si>
    <t xml:space="preserve">108994</t>
  </si>
  <si>
    <t xml:space="preserve">950-569-03 REV A</t>
  </si>
  <si>
    <t xml:space="preserve">PCB REMOVED FROM A WORKING J971 SP TESTER SYSTEM
TERADYNE TW569 REV A MM1 6025
WITH QTY 2 OF TERADYNE 950-571-13 REV A 6130L 9108 Z18XXIT
SEE PHOTOS FOR DETAILS</t>
  </si>
  <si>
    <t xml:space="preserve">80323</t>
  </si>
  <si>
    <t xml:space="preserve">950-574-01 REV A</t>
  </si>
  <si>
    <t xml:space="preserve">Teradyne J971 PCB, Removed from working system, warehoused, additional numbers on board /A 71620 8541 Z18xx</t>
  </si>
  <si>
    <t xml:space="preserve">Excellent condition Teradyne J971 tester board, removed from working system
Located at our Avezzano 67051 Italy warehouse.</t>
  </si>
  <si>
    <t xml:space="preserve">80324</t>
  </si>
  <si>
    <t xml:space="preserve">950-568-00</t>
  </si>
  <si>
    <t xml:space="preserve">Teradyne J971 PCB, Removed from working system, warehoused, additional numbers on board /A 73419 9710 TW568 REV A</t>
  </si>
  <si>
    <t xml:space="preserve">80325</t>
  </si>
  <si>
    <t xml:space="preserve">950-566-01</t>
  </si>
  <si>
    <t xml:space="preserve">Teradyne J971 PCB, Removed from working system, warehoused, additional numbers on board /A 60520 9448</t>
  </si>
  <si>
    <t xml:space="preserve">80326</t>
  </si>
  <si>
    <t xml:space="preserve">950-569-03</t>
  </si>
  <si>
    <t xml:space="preserve">80327</t>
  </si>
  <si>
    <t xml:space="preserve">950-558-00 REV A</t>
  </si>
  <si>
    <t xml:space="preserve">Teradyne J971 PCB, Removed from working system, warehoused, additional numbers on board /A 64620 9509</t>
  </si>
  <si>
    <t xml:space="preserve">Teradyne J971 PATTERN GENERATOR SUPPORT P.C.B. for immediate sale.
De-installed from a working system. Located at our Avezzano 67051 Italy 
warehouse.</t>
  </si>
  <si>
    <t xml:space="preserve">80328</t>
  </si>
  <si>
    <t xml:space="preserve">950-560-00</t>
  </si>
  <si>
    <t xml:space="preserve">Teradyne J971 PCB, Removed from working system, warehoused, additional numbers on board /A 93610 9918</t>
  </si>
  <si>
    <t xml:space="preserve">Excellent condition J971 tester board, removed from working tester
Ships FEDEX from our Boerne, TX 78006 Warehouse.
</t>
  </si>
  <si>
    <t xml:space="preserve">80329</t>
  </si>
  <si>
    <t xml:space="preserve">950-562-00</t>
  </si>
  <si>
    <t xml:space="preserve">Teradyne J971 PCB, Removed from working system, warehoused, additional numbers on board /A 75019 9226</t>
  </si>
  <si>
    <t xml:space="preserve">80330</t>
  </si>
  <si>
    <t xml:space="preserve">950-681-00</t>
  </si>
  <si>
    <t xml:space="preserve">Teradyne J971 PCB, Removed from working system, warehoused, additional numbers on board /A 74920 9319</t>
  </si>
  <si>
    <t xml:space="preserve">Excellent condition Teradyne J971 Tester board, removed from working system
Ships FEDEX from our Boerne, TX 78006 Warehouse
</t>
  </si>
  <si>
    <t xml:space="preserve">80331</t>
  </si>
  <si>
    <t xml:space="preserve">950-556-01 REV A</t>
  </si>
  <si>
    <t xml:space="preserve">Teradyne J971 PCB, Removed from working system, warehoused, additional numbers on board /A 80419 94222</t>
  </si>
  <si>
    <t xml:space="preserve">80332</t>
  </si>
  <si>
    <t xml:space="preserve">950-217-04</t>
  </si>
  <si>
    <t xml:space="preserve">Teradyne J971 PCB, </t>
  </si>
  <si>
    <t xml:space="preserve">Removed from working system, warehoused, additional numbers on board /B 
61820 9536
Excellent condition Teradyne J971 tester board, removed from working system
Ships FEDEX from our Boerne, TX 78006 Warehouse</t>
  </si>
  <si>
    <t xml:space="preserve">109006</t>
  </si>
  <si>
    <t xml:space="preserve">517-400-01</t>
  </si>
  <si>
    <t xml:space="preserve">APMU Board for J750 tester</t>
  </si>
  <si>
    <t xml:space="preserve">PLEASE CHECK PHOTOS FOR DETAILS ABOUT THE CONDITION. THE PART IS INCLUDING 
PASSING DATALOG.</t>
  </si>
  <si>
    <t xml:space="preserve">54232</t>
  </si>
  <si>
    <t xml:space="preserve">J994</t>
  </si>
  <si>
    <t xml:space="preserve">Qty 1 available. Configured  with 2 x test heads were used with TSK APM 90A 
probers Pin count 144 I/O, 640 Address/Clock Single Patgen Max freq. 60MHz 
Max Freq. Multiplexed 120MHz Edges Per I/O Pin 6 Timing Generator Per Pin 
X&amp;Y Address Lines 16X &amp; 16Y Timing Accuracy +/- 500ps Parallel Testing Up 
to 32 Devices Fail Vector Memory 256 deep (I/O pins only) Fail Vector 
Memory bits 3 bits per I/O pin PMU Per System 1 PPMU Per Pin (I/O pins 
only) DPS 32 Drivers 128 per head Supplier stated they run diags before 
switching them off: all passed. The systems are in very good conditions, as 
per pictures attached. With a Sun 4/370 as PC The systems are complete. 
POWER SUPPLIES LISTING INCLUDED WITH TERADYNE J994S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4 405-158-00 405-156-00 
405-157-00 405-096-00 405-158-00 405-156-00 405-157-00 405-097-00 
405-158-00 405-156-00 405-157-00 405-097-00 405-096-00 405-157-00 
405-156-00 405-158-00 405-158-00 405-158-00 405-156-00 405-156-00 
405-157-00 405-157-00 405-096-00 405-097-00 405-158-00 405-096-00 
405-156-00 405-157-00 405-157-00 405-156-00 405-097-00 405-158-00 
405-158-00 405-158-00 405-156-00 405-156-00 405-157-00 405-157-00 
405-096-00 405-097-00 405-158-00 405-096-00 405-156-00 405-157-00 
405-157-00 405-156-00 405-097-00 405-158-00
-Deinstalled, warehoused.
-In working condition
-See photos for details
-Available for immediate consignment
-Can be inspected by appointment
-Located in Avezzano 67051 Italy</t>
  </si>
  <si>
    <t xml:space="preserve">82925</t>
  </si>
  <si>
    <t xml:space="preserve">405-155-00</t>
  </si>
  <si>
    <t xml:space="preserve">    Power Supply 150 Amp, 230VAC 2-output, removed from working service 
from Teradyne J971 tester. Located in our Boerne, TX Warehouse    
</t>
  </si>
  <si>
    <t xml:space="preserve">108886</t>
  </si>
  <si>
    <t xml:space="preserve">TERRA UNIVERSAL</t>
  </si>
  <si>
    <t xml:space="preserve">8 Tank</t>
  </si>
  <si>
    <t xml:space="preserve">Stainless Steel Sink with 8ea 14" X 14" X 12" (d) Tanks</t>
  </si>
  <si>
    <t xml:space="preserve">108887</t>
  </si>
  <si>
    <t xml:space="preserve">1679-06-1</t>
  </si>
  <si>
    <t xml:space="preserve">SST Dessicator Cabinet , 2ea Available</t>
  </si>
  <si>
    <t xml:space="preserve">108888</t>
  </si>
  <si>
    <t xml:space="preserve">Desiccator Box, 12"x11"x12"</t>
  </si>
  <si>
    <t xml:space="preserve">108776</t>
  </si>
  <si>
    <t xml:space="preserve">Dessicator Box</t>
  </si>
  <si>
    <t xml:space="preserve">Static Dissipative PVC, 4 Shelves each 36"(w) x 25"(d) x 9" (h), 2 Doors</t>
  </si>
  <si>
    <t xml:space="preserve">108608</t>
  </si>
  <si>
    <t xml:space="preserve">TES</t>
  </si>
  <si>
    <t xml:space="preserve">CHALLENGER_ST</t>
  </si>
  <si>
    <t xml:space="preserve">Plasma-Enhanced CVD system</t>
  </si>
  <si>
    <t xml:space="preserve">80266</t>
  </si>
  <si>
    <t xml:space="preserve">TESCOM</t>
  </si>
  <si>
    <t xml:space="preserve">150</t>
  </si>
  <si>
    <t xml:space="preserve">REGULATORS PRESSURE</t>
  </si>
  <si>
    <t xml:space="preserve">THE PRICE IS FOR EACH</t>
  </si>
  <si>
    <t xml:space="preserve">70299</t>
  </si>
  <si>
    <t xml:space="preserve">Texwipe</t>
  </si>
  <si>
    <t xml:space="preserve">810-39234</t>
  </si>
  <si>
    <t xml:space="preserve">BRUSH, ELONGATED CORE EBARA (TEXWIPE)</t>
  </si>
  <si>
    <t xml:space="preserve">38 mm OD X 18 MM ID X 208 MM LENGTH
FOR EBARA FREX 200</t>
  </si>
  <si>
    <t xml:space="preserve">110548</t>
  </si>
  <si>
    <t xml:space="preserve">Thamway</t>
  </si>
  <si>
    <t xml:space="preserve">Sold Ex-Works, UK Office , Part Number:A161-6566B , Secondary P/N:20S0906C</t>
  </si>
  <si>
    <t xml:space="preserve">110549</t>
  </si>
  <si>
    <t xml:space="preserve">108214</t>
  </si>
  <si>
    <t xml:space="preserve">THERMAL</t>
  </si>
  <si>
    <t xml:space="preserve">GYE-12000</t>
  </si>
  <si>
    <t xml:space="preserve">Evaporator System</t>
  </si>
  <si>
    <t xml:space="preserve">91569</t>
  </si>
  <si>
    <t xml:space="preserve">Thermo Fisher</t>
  </si>
  <si>
    <t xml:space="preserve">ECO 1000</t>
  </si>
  <si>
    <t xml:space="preserve">FTIR System</t>
  </si>
  <si>
    <t xml:space="preserve">De-installed, warehoused. Can be inspected by appointment.
-Vintage: Jun 2000
-Dual open 8 inch cassette loader configuration
-The laser complied with DHHS/CDRH requirements of 21CFR Chapter 1, 
Subchapter J at the time of manufacture.
AC Voltage: 110-240 VAC, monophase.</t>
  </si>
  <si>
    <t xml:space="preserve">108609</t>
  </si>
  <si>
    <t xml:space="preserve">THERMONICS</t>
  </si>
  <si>
    <t xml:space="preserve">T-2500SEA</t>
  </si>
  <si>
    <t xml:space="preserve">Precision Temperature Forcing System</t>
  </si>
  <si>
    <t xml:space="preserve">108889</t>
  </si>
  <si>
    <t xml:space="preserve">T-2427</t>
  </si>
  <si>
    <t xml:space="preserve">Temperatuire Forcing System with DUT Cooling Shroud, Needs Compressor Work</t>
  </si>
  <si>
    <t xml:space="preserve">84243</t>
  </si>
  <si>
    <t xml:space="preserve">THK</t>
  </si>
  <si>
    <t xml:space="preserve">280L</t>
  </si>
  <si>
    <t xml:space="preserve">Linear Bearing and guide</t>
  </si>
  <si>
    <t xml:space="preserve">SRI5WIUUCI/280L
WEIGHT: 500 GR.
DIMENSION: 3,5 X 3 X 28,5 (H)</t>
  </si>
  <si>
    <t xml:space="preserve">84245</t>
  </si>
  <si>
    <t xml:space="preserve">LWHS15</t>
  </si>
  <si>
    <t xml:space="preserve">LINEAR WAY WITH SINGLE BEARING</t>
  </si>
  <si>
    <t xml:space="preserve">LWH 15 P S 2
Y7G097
WEIGHT 700 GR.
DIMENSION: 3,5 X 3 X 34 (H)
FOR EACH</t>
  </si>
  <si>
    <t xml:space="preserve">84246</t>
  </si>
  <si>
    <t xml:space="preserve">RSR 15</t>
  </si>
  <si>
    <t xml:space="preserve">LINEAR WAY WITH 7 BEARINGS</t>
  </si>
  <si>
    <t xml:space="preserve">RSR 15
WEIGHT 900 GR.
DIMENSION: 3 X 2 X 35 (H)
</t>
  </si>
  <si>
    <t xml:space="preserve">84247</t>
  </si>
  <si>
    <t xml:space="preserve">A6F 598</t>
  </si>
  <si>
    <t xml:space="preserve">ALF 598
WEIGHT 700 GR.
DIMENSION: 4 X 2 X 42,5 (H)
FOR EACH
</t>
  </si>
  <si>
    <t xml:space="preserve">84248</t>
  </si>
  <si>
    <t xml:space="preserve">HSRIZRI/UUM+490LM</t>
  </si>
  <si>
    <t xml:space="preserve">HSRIZRI/UUM+490LM
WEIGHT 500 GR.
DIMENSION: 3 X 2 X 50 (H)
</t>
  </si>
  <si>
    <t xml:space="preserve">84249</t>
  </si>
  <si>
    <t xml:space="preserve">ATHI240</t>
  </si>
  <si>
    <t xml:space="preserve">ATH1240
WEIGHT 300 GR.
DIMENSION: 3 X 1 X 47 (H)
</t>
  </si>
  <si>
    <t xml:space="preserve">84250</t>
  </si>
  <si>
    <t xml:space="preserve">Y8A31</t>
  </si>
  <si>
    <t xml:space="preserve">Y8A31
WEIGHT 750 GR.
DIMENSION: 3,5 X 2,5 X 40 (H)
</t>
  </si>
  <si>
    <t xml:space="preserve">84251</t>
  </si>
  <si>
    <t xml:space="preserve">A6 C II</t>
  </si>
  <si>
    <t xml:space="preserve">A6 C II
WEIGHT 750 GR.
DIMENSION: 3,5 X 2,5 X 40 (H)
</t>
  </si>
  <si>
    <t xml:space="preserve">84252</t>
  </si>
  <si>
    <t xml:space="preserve">689</t>
  </si>
  <si>
    <t xml:space="preserve">LINEAR WAY WITHOUT  BEARING</t>
  </si>
  <si>
    <t xml:space="preserve">689
WEIGHT 400 GR.
DIMENSION: 2 X 1 X 38,5 (H)
</t>
  </si>
  <si>
    <t xml:space="preserve">84253</t>
  </si>
  <si>
    <t xml:space="preserve">RSR12VM</t>
  </si>
  <si>
    <t xml:space="preserve">LINEAR WAY WITH 2 BEARINGS</t>
  </si>
  <si>
    <t xml:space="preserve">RSR12VM
WEIGHT 200 GR.
DIMENSION: 3 X 1 X 30 (H)
</t>
  </si>
  <si>
    <t xml:space="preserve">84257</t>
  </si>
  <si>
    <t xml:space="preserve">KS 3J22</t>
  </si>
  <si>
    <t xml:space="preserve">RELIANCE BEARING</t>
  </si>
  <si>
    <t xml:space="preserve">PRECISION PARTS
WEIGTH IN THE BOX: 1,75 KG.
DIMENSION: 18 X 88 X 7 (H)
</t>
  </si>
  <si>
    <t xml:space="preserve">70303</t>
  </si>
  <si>
    <t xml:space="preserve">LMT40UUM+489LFM</t>
  </si>
  <si>
    <t xml:space="preserve">LEADSCREW  FOR EBARA FREX 200</t>
  </si>
  <si>
    <t xml:space="preserve">LEAD SCREWS
FOR EBARA FREX 200
</t>
  </si>
  <si>
    <t xml:space="preserve">83877</t>
  </si>
  <si>
    <t xml:space="preserve">THK CO.,LCD</t>
  </si>
  <si>
    <t xml:space="preserve">OR17</t>
  </si>
  <si>
    <t xml:space="preserve">BLOCK SR-2V</t>
  </si>
  <si>
    <t xml:space="preserve">SR20V1UU (GK) BLOCK
WEIGHT: 200 GR.
DIMENSION: 6,5 CM. X 4,5 CM. X 2,5 CM. (H)
</t>
  </si>
  <si>
    <t xml:space="preserve">83878</t>
  </si>
  <si>
    <t xml:space="preserve">SC35uu</t>
  </si>
  <si>
    <t xml:space="preserve">LM CASE UNIT</t>
  </si>
  <si>
    <t xml:space="preserve">TBT ROBOT
BT ELEVATOR
B711
WEIGHT: 1 KG.
DIMENSION: 10 CM. X 7 CM. X 9 CM. (H) FOR EACH</t>
  </si>
  <si>
    <t xml:space="preserve">83879</t>
  </si>
  <si>
    <t xml:space="preserve">FBA 5</t>
  </si>
  <si>
    <t xml:space="preserve">FLAT BALL</t>
  </si>
  <si>
    <t xml:space="preserve">THK LM SYSTEM
FBA 5
FLAT BALL
WEIGHT: 200 GR.
DIMENSION: 14,5 CM. X 6 CM. X 5,5 CM. (H) FOR EACH</t>
  </si>
  <si>
    <t xml:space="preserve">108128</t>
  </si>
  <si>
    <t xml:space="preserve">TOK</t>
  </si>
  <si>
    <t xml:space="preserve">12262</t>
  </si>
  <si>
    <t xml:space="preserve">Wafer bonder</t>
  </si>
  <si>
    <t xml:space="preserve">108129</t>
  </si>
  <si>
    <t xml:space="preserve">12263</t>
  </si>
  <si>
    <t xml:space="preserve">Wafer Debonder</t>
  </si>
  <si>
    <t xml:space="preserve">83827</t>
  </si>
  <si>
    <t xml:space="preserve">TOKIMEC</t>
  </si>
  <si>
    <t xml:space="preserve">VA12134A</t>
  </si>
  <si>
    <t xml:space="preserve">DIRECTIONAL CONTROL VALVE</t>
  </si>
  <si>
    <t xml:space="preserve">VICKERS AC 100V
P.N. VA12134A
SOL B
SOL A
DG4V-3-OC-M-P2-T-T-50
VA 25/45
. X 5 CM. X 10 CM. (H)
WEIGHT: KG. 3
DIMENSION: 20 CM. X 5 CM. X 10 CM. (H)</t>
  </si>
  <si>
    <t xml:space="preserve">83828</t>
  </si>
  <si>
    <t xml:space="preserve">012-7</t>
  </si>
  <si>
    <t xml:space="preserve">VICKERS AC 100V
P.N. VA12134A
SOL B
DG4V-3-2A-M-P2-T-7-50
VA 25/45
. X 5 CM. X 10 CM. (H)
WEIGHT: KG. 1,6
DIMENSION: 17 CM. X 10 CM. X 10 CM. (H) FOR EACH
2 PIECES</t>
  </si>
  <si>
    <t xml:space="preserve">83831</t>
  </si>
  <si>
    <t xml:space="preserve">TOKYO ELECRON</t>
  </si>
  <si>
    <t xml:space="preserve">015</t>
  </si>
  <si>
    <t xml:space="preserve">RELAY</t>
  </si>
  <si>
    <t xml:space="preserve">RELAY
MY4ZN-D2 DC24
V
</t>
  </si>
  <si>
    <t xml:space="preserve">83833</t>
  </si>
  <si>
    <t xml:space="preserve">011</t>
  </si>
  <si>
    <t xml:space="preserve">SUPPORT.PCB..SQ-80</t>
  </si>
  <si>
    <t xml:space="preserve">PARTS 044-001528-1</t>
  </si>
  <si>
    <t xml:space="preserve">108039</t>
  </si>
  <si>
    <t xml:space="preserve">Tokyo Electron</t>
  </si>
  <si>
    <t xml:space="preserve">At this time, we have the following list of TEL Spare parts for sale.
Please refer to the list attached in excel and below in HTML:-
No. 	MAKER 	Part No. 	Description 	Q'TY 	Condition 	Remark
1 	TEL 	  	BACKPANEL PBP-201 R1MO 	1 	Used 	200mm
2 	TEL 	  	MVME 147-023 	1 	Used 	Unity 2E
3 	TEL 	881-620881-6 	H/A INT CONN 	2 	Used 	200mm
4 	TEL 	881-621470-1 	H/A CONT BOARD 	1 	Used 	200mm
5 	TEL 	881-520440-1 	tSBC-V30B 	1 	Used 	200mm
6 	TEL 	811-521490-1 	tSBC-V30SI V 	1 	Used 	200mm TE8500
7 	TEL 	1881-022066-11 	VAC INT CONN BOARD 	3 	Used 	200mm TE8500
8 	TEL 	1881-022019-14 	REPEATER BOARD 	1 	Used 	200mm TE8500
9 	TEL 	808-620890-1 	H/A ROT-EXT INTCONN 	2 	Used 	200mm TE8500
10 	TEL 	  	N16B-5801-0102 	1 	Used 	200mm TE8500
11 	TEL 	  	PSC 6118, DC Power DRIVER 	1 	Used 	 
12 	TEL 	881-621600-C 	CHILLER I/F BOARD 	1 	Used 	200mm TE8500
13 	TEL 	881-621600-1 	CHILLER I/F BOARD 	1 	Used 	200mm TE8500
14 	TEL 	881-521470-1 	GAS I/F BOARD 	1 	Used 	200mm TE8500
15 	TEL 	808-621570-2
881-620524-1
808-521470-1 	P/A CONT B/D
MOTOR CONTROLLER B/D
1
4
1 	Used 	SET
200mm TE8500
16 	TEL 	881-022035-1C 	INDEXER CONT BOARD 	1 	Used 	200mm TE8500
17 	TEL 	808-520250-2 	TSBC-EPD I/F BD 	1 	Used 	200mm TE8500
18 	TEL 	881-521630-9 	POWER CONTROL BOARD 	2 	Used 	200mm TE8500
19 	TEL 	1881-022003-1C 	OPERATOR I/F BD 	1 	Used 	200mm TE8500
20 	TEL 	881-621130-2 	OPE-PANE RELY BOARD 	1 	Used 	200mm TE8500
21 	TEL 	DSB-86/36A(9139) 	DSB-86/36A(9139) DENSAN CO LTD 	1 	Used 	200mm 
TE8500
22 	TEL 	1810-121857-12 	PLATE BLOCK 	2 	NEW 	S85DI-C
No. 	MAKER 	Part No. 	Description 	Q'TY 	Condition 	Remark
1 	TEL 	  	OMRON S8VS-01505 	1 	Used 	 
2 	TEL 	2184-020931-12 	TTLM02-11, MDIF5B 	1 	Used 	 
3 	TEL 	2184-020940-12 	TTLM01-11, MDIF2B 	1 	Used 	 
4 	TEL 	1181-000826-14 	DI016-3 	1 	Used 	 
5 	TEL 	2181-020069-17 	HSDL-VLV-I/F ,
(2108-020069-11) 	1 	Used 	200mm
6 	TEL 	3880-200121-12 	TTLA07-13, F-MFC_16,
(3895-120916-12) 	2 	Used 	 
7 	TEL 	2180-020559-13 	TTL-T0066 LPIF PCA 	1 	Used 	 
8 	TEL 	2184-020929-11 	PCA, RESET SW BOARD, TTL0033
/ 2181-020144-11 	3 	Used 	 
9 	TEL 	3880-200058-11 	TTLE29-11 CONNECT-D1
3895-120537-11 	4 	Used 	 
10 	TEL 	SBX93-100031-11 	SBX08-000019-11, IOP8 	12 	Used 	 
11 	TEL 	3880-200134-11 	MMI CONV2 PCB, I/F TTLE37-11 	1 	Used 	 
12 	TEL 	3880-200133-11 	MMI INTFC2 PCB 	2 	Used 	 
13 	TEL 	  	VEXTA DFC5107P DRIVER 	4 	Used 	 
14 	TEL 	EC80-000180-15 	TEB211-15 GRSO 	2 	Used 	INDY PLUS
300MM
15 	TEL 	EC80-000180-12 	TEB211-12 GRSO 	1 	Used 	INDY PLUS
300MM
16 	TEL 	2180-020932-11 	TTLD19-11 DIO IF B/D
(2195-125192-11) 	4 	Used 	INDY PLUS
300MM
17 	TEL 	2180-021107-11 	TTLM01-12, MDIF2B 	1 	Used 	 
18 	TEL 	2180-021108-12 	TTLM02-12, MDIF5B 	1 	Used 	 
19 	TEL 	2184-020943-11 	TTLD03-11 DSPP128B B/D,
(1181-000853-12) 	2 	Used 	 
20 	TEL 	2184-020942-12 	TTLD02-11, DSP224B 	1 	Used 	 
21 	TEL 	3880-200048-12 	GHOST-SQUARE-RS02, SH-2 PC0520-0 	4 	Used 	INDY 
PLUS
300MM
22 	TEL 	3880-200055-12 	GHOST-SQUARE-RS03, SH-2 PC0543-1 	2 	Used 	 
23 	TEL 	  	GHOST-SQUARE-RS07, SH-2 PC0500-1 	1 	Used 	 
24 	TEL 	2180-021298-11 	HEATER POWER CONTROLLER
-POWER CPU(TTLC04-11)
-POWER CONTROL(TTLA10-11) 	1 	Used 	INDY PLUS
300MM
25 	TEL 	3880-200122-12
3880-200122-13 	TTLA08-13, F-MFC_AI_4 PCB
(3895-120917-12 / 3895-120917-13) 	2
1 	Used 	INDY PLUS
300MM
26 	TEL 	2180-020891-13 	TTLI27-11 DIO INTLK PCB
(2195-125029-13) 	2 	Used 	INDY PLUS
300MM
27 	TEL 	3880-200057-12 	TTLE28-11, CONNECT-MFC
3895-120536-12 	1 	Used 	 
28 	TEL 	5180-000005-12 	PCB, IF TTLE48-11
PWR STATUS PCB 	2 	Used 	 
29 	TEL 	3881-020002-11 	3884-200093-11 	1 	Used 	 
30 	TEL 	3881-020001-12 	TTLE03-11, M780_CPU B/D
/ 3884-200092-11 	1 	Used 	 
31 	TEL 	2180-021123-13
2180-021125-12
2180-021124-13
COSEL P/S 	TTLC06-11 TEMP CTRL_CPU B/D
TTLE50-11 M560 AS1100 B/D
TTLA15-11 TEMP CTRL_A/D B/D
COSEL_PMC15E-1 	1
1
1
1 	Used 	M560A PARTS
32 	TEL 	2180-020932-11 	TTLD19-11 DIO IF B/D
2195-125192-11 	10 	Used 	 
33 	TEL 	
2180-020891-12
2180-020891-13 	TTLI27-11 DIO INTLK PCB
2195-125029-12
2195-125029-13 	
1
2 	Used 	 
34 	TEL 	3880-200061-11 	MODEL-780 TEMP CONTROLLER 	2 	Used 	VER. 2.10
35 	TEL 	3880-200061-12 	MODEL-780 TEMP CONTROLLER 	1 	Used 	VER. 2.10
36 	TEL 	3880-200061-19 	MODEL-780 TEMP CONTROLLER 	1 	Used 	VER. 3.00
37 	TEL 	3880-200206-17 	MODEL-781 TEMP CONTROLLER 	1 	Used 	 
38 	TEL 	3880-200146-17 	F-CPCI-V1 CONTROLLER
3887-224283 	1 	Used 	INDY
39 	TEL 	2180-021232-12 	CONTROL BOX 	2 	Used 	 
40 	TEL 	E239-010003-11 	UP017/001A 	1 	Used 	 
41 	TEL 	GRSO #11 	TEB211-15
GHOST-SQUARE-RS03
GHOST-SQUARE-RS02 	1
2
1 	Used 	 
42 	TEL 	5880-000036-12 	PCB GHOST-SQUARE-RS09
5895-100398-12 	1 	Used 	 
43 	TEL 	5880-000015-12 	TTLC19-11
GHOST-SQUARERS-08
5895-100018-12 	4 	Used 	 
44 	TEL 	3880-200121-12 	TTLA07-13, F-MFC-16 B/D 	3 	Used 	 
45 	TEL 	2180-020557-12 	RMT-DIO16-3 	3 	Used 	INDY PLUS
300MM
46 	TEL 	  	3986 16-CH N2 BIP CONNECT BOARD
&amp; MEGA 2560 R3 	2 	Used 	 
47 	TEL 	6180-000003-12 	ECAT DIO #3 	1 	Used 	 
48 	TEL 	6110-400224-X1 	ECAT AIO TTLA23-11 / 5195-101401- 	3 	Used 	 
49 	TEL 	5880-000029-11 	PCB I/O TTLD30-11 MODULE2 PCB
5895-100310-11 	2 	Used 	 
50 	TEL 	5880-00030-12 	SW300B/MIO-SB 	2 	Used 	 
51 	TEL 	3880-200064-11 	TTLE31-11 / FILTER-17 ASY
3895-120599-11 	2 	Used 	 
52 	TEL 	5880-000101-11 	TTLE69-11 / LSIF IO
5895-100526-11 	2 	Used 	 
53 	TEL 	5880-000130-16 	TTLC24 LSIF PCB
CPU_V2.07 / FPGA_V0100
5895-100641-16 	2 	Used 	 
54 	TEL 	GU-172-2A 	DR BOARD 	1 	Used 	 
55 	TEL 	GU-172-1A 	PT BOARD 	1 	Used 	 
56 	TEL 	UC10-525Y1 	COM-PL-02-D 	1 	Used 	 
No. 	MAKER 	Part No. 	Description 	Q'TY 	Condition 	Remark
1 	TEL 	2980-092680-11 	12" CERAMIC PINCETTE
FORK(12) ASSY 	5 	NEW 	ACT
4 	TEL 	2180-020932-11 	TTLD19-11 DIO IF B/D
(2195-125192-11) 	2 	Used 	LITHIUS
5 	TEL 	AP9Z-2370B 	TKB7240
BOARD, IO SPIN-G #01 	2 	Used 	LITHIUS
IMMERSION
6 	TEL 	AP9Z-2371A 	TKB7250
BOARD, ADD-ON SPIN-G #01 	2 	Used 	LITHIUS
IMMERSION
7 	TEL 	AP9Z-2252B 	TKB7180
BOARD, IO BST #01 	2 	Used 	LITHIUS
IMMERSION
8 	TEL 	IPC-T0075A-11 	TOB1076
BOARD, IF #01 	1 	Used 	LITHIUS
IMMERSION
9 	SANYO
DENKI 	PMDSB1S3P10 	PM DRIVER
PRS-4562C 	26 	Used 	LITHIUS
IMMERSION
 </t>
  </si>
  <si>
    <t xml:space="preserve">83641</t>
  </si>
  <si>
    <t xml:space="preserve">TOKYO ELECTRON</t>
  </si>
  <si>
    <t xml:space="preserve">1D10-317R09-12</t>
  </si>
  <si>
    <t xml:space="preserve">PLATE,GALDEN FLOW CHECKER</t>
  </si>
  <si>
    <t xml:space="preserve">NEW IN ORIGINAL PACKING MATERIALS.
PARTS NUMBER1 D10-317 R09-12
WEIGHT : KG. 0,8
DIMENSION: 40 CM. X 12 CM. X 4 CM. (H)</t>
  </si>
  <si>
    <t xml:space="preserve">83640</t>
  </si>
  <si>
    <t xml:space="preserve">TOKYO ELECTRON / CONTEC</t>
  </si>
  <si>
    <t xml:space="preserve">FC-SD70</t>
  </si>
  <si>
    <t xml:space="preserve">flow meter</t>
  </si>
  <si>
    <t xml:space="preserve">FLOW CHECKER</t>
  </si>
  <si>
    <t xml:space="preserve">PARTS 1D86-032029-12
ETER TOP
MAX 4.8 W
WEIGHT: 1 KG.
DIMENSION WITH PACKAGE : 28 CM. X 15 CM. X 10 CM. (H)
DIMENSION WITHOUT PACK : 16 CM. X 10 CM. X 10 CM. (H)</t>
  </si>
  <si>
    <t xml:space="preserve">77088</t>
  </si>
  <si>
    <t xml:space="preserve">Tolomatic</t>
  </si>
  <si>
    <t xml:space="preserve">11240741</t>
  </si>
  <si>
    <t xml:space="preserve">Tolomatic cylinder, replacement for AMI tools</t>
  </si>
  <si>
    <t xml:space="preserve">New in box</t>
  </si>
  <si>
    <t xml:space="preserve">108130</t>
  </si>
  <si>
    <t xml:space="preserve">TORAY</t>
  </si>
  <si>
    <t xml:space="preserve">FC3000L2</t>
  </si>
  <si>
    <t xml:space="preserve">FLIP CHIP Line</t>
  </si>
  <si>
    <t xml:space="preserve">loader + FC bonding + dispensing + snap cure +unloader. Configured for 2 
inch waffle packs</t>
  </si>
  <si>
    <t xml:space="preserve">103635</t>
  </si>
  <si>
    <t xml:space="preserve">Toray</t>
  </si>
  <si>
    <t xml:space="preserve">SP-500w</t>
  </si>
  <si>
    <t xml:space="preserve">Bump Height Measurement</t>
  </si>
  <si>
    <t xml:space="preserve">108304</t>
  </si>
  <si>
    <t xml:space="preserve">tosok</t>
  </si>
  <si>
    <t xml:space="preserve">EBD3570</t>
  </si>
  <si>
    <t xml:space="preserve">Die attach system</t>
  </si>
  <si>
    <t xml:space="preserve">108777</t>
  </si>
  <si>
    <t xml:space="preserve">TOWA</t>
  </si>
  <si>
    <t xml:space="preserve">CC-S</t>
  </si>
  <si>
    <t xml:space="preserve">Injection Molding Press, 2ea Available</t>
  </si>
  <si>
    <t xml:space="preserve">Towa
Model 	CC-S
Other Information 	
      * Serial Number CF9003
      * Lead Frame Size - 15mm~75mm W x 175mm~260mm L
      * Cycle Time - Min 70 sec (Machine Time 20 sec)
      * Clamping Capacity - 5 ton ~ 30 ton
      * Transfer Capacity - 0.3 ton ~ 2.4 ton
      * Injection Speed - 0.10 mm/sec ~ 15 mm/sec (10 Speed Setting)
Year of Manufacture 	2000</t>
  </si>
  <si>
    <t xml:space="preserve">108778</t>
  </si>
  <si>
    <t xml:space="preserve">Towa</t>
  </si>
  <si>
    <t xml:space="preserve">Injection Molding Press</t>
  </si>
  <si>
    <t xml:space="preserve">Lead Frame Size - 15mm~75mm W x 175mm~260mm L Cycle Time - Min 70 sec 
(Machine Time 20 sec) Clamping Capacity - 5 ton ~ 30 ton Transfer Capacity 
- 0.3 ton ~ 2.4 ton Injection Speed - 0.10 mm/sec ~ 15 mm/sec (10 Speed 
Setting)</t>
  </si>
  <si>
    <t xml:space="preserve">110550</t>
  </si>
  <si>
    <t xml:space="preserve">Trazar</t>
  </si>
  <si>
    <t xml:space="preserve">AMU10A-1</t>
  </si>
  <si>
    <t xml:space="preserve">109527</t>
  </si>
  <si>
    <t xml:space="preserve">TRAZAR</t>
  </si>
  <si>
    <t xml:space="preserve">AMU10E-2</t>
  </si>
  <si>
    <t xml:space="preserve">Part Number: 27-118072-00 Model Number: 3502-002</t>
  </si>
  <si>
    <t xml:space="preserve">110551</t>
  </si>
  <si>
    <t xml:space="preserve">AMU10B-1</t>
  </si>
  <si>
    <t xml:space="preserve">Sold Ex-Works, UK Office , Part Number: , Secondary P/N:2739-001</t>
  </si>
  <si>
    <t xml:space="preserve">109528</t>
  </si>
  <si>
    <t xml:space="preserve">AMU2-1</t>
  </si>
  <si>
    <t xml:space="preserve">Part Number: 27-032653-00</t>
  </si>
  <si>
    <t xml:space="preserve">110552</t>
  </si>
  <si>
    <t xml:space="preserve">109529</t>
  </si>
  <si>
    <t xml:space="preserve">SRN1-2</t>
  </si>
  <si>
    <t xml:space="preserve">110553</t>
  </si>
  <si>
    <t xml:space="preserve">AMU10D-4</t>
  </si>
  <si>
    <t xml:space="preserve">Sold Ex-Works, UK Office , Part Number:553-12708-00 , Secondary 
P/N:4032-001</t>
  </si>
  <si>
    <t xml:space="preserve">109530</t>
  </si>
  <si>
    <t xml:space="preserve">SRN1-3</t>
  </si>
  <si>
    <t xml:space="preserve">110554</t>
  </si>
  <si>
    <t xml:space="preserve">109531</t>
  </si>
  <si>
    <t xml:space="preserve">SRN2</t>
  </si>
  <si>
    <t xml:space="preserve">110555</t>
  </si>
  <si>
    <t xml:space="preserve">AMU10G-1</t>
  </si>
  <si>
    <t xml:space="preserve">Sold Ex-Works, UK Office , Part Number:27-05211-00 , Secondary P/N:2884-001</t>
  </si>
  <si>
    <t xml:space="preserve">110556</t>
  </si>
  <si>
    <t xml:space="preserve">AMU2B-1</t>
  </si>
  <si>
    <t xml:space="preserve">Sold Ex-Works, UK Office , Part Number:553-00848-00 , Secondary 
P/N:2218-002</t>
  </si>
  <si>
    <t xml:space="preserve">110557</t>
  </si>
  <si>
    <t xml:space="preserve">110558</t>
  </si>
  <si>
    <t xml:space="preserve">110559</t>
  </si>
  <si>
    <t xml:space="preserve">110560</t>
  </si>
  <si>
    <t xml:space="preserve">110561</t>
  </si>
  <si>
    <t xml:space="preserve">110562</t>
  </si>
  <si>
    <t xml:space="preserve">AMU2D-1</t>
  </si>
  <si>
    <t xml:space="preserve">Sold Ex-Works, UK Office , Part Number:27-113860-00 , Secondary 
P/N:3767-001</t>
  </si>
  <si>
    <t xml:space="preserve">110563</t>
  </si>
  <si>
    <t xml:space="preserve">AMU3-20</t>
  </si>
  <si>
    <t xml:space="preserve">Sold Ex-Works, UK Office , Part Number: , Secondary P/N:1739-001</t>
  </si>
  <si>
    <t xml:space="preserve">110564</t>
  </si>
  <si>
    <t xml:space="preserve">AMU5-1</t>
  </si>
  <si>
    <t xml:space="preserve">110565</t>
  </si>
  <si>
    <t xml:space="preserve">AMU5C-1</t>
  </si>
  <si>
    <t xml:space="preserve">Sold Ex-Works, UK Office , Part Number:2334-003 , Secondary P/N:60-0010</t>
  </si>
  <si>
    <t xml:space="preserve">110566</t>
  </si>
  <si>
    <t xml:space="preserve">110567</t>
  </si>
  <si>
    <t xml:space="preserve">AMU5D-1</t>
  </si>
  <si>
    <t xml:space="preserve">Sold Ex-Works, UK Office , Part Number: , Secondary P/N:2334-004</t>
  </si>
  <si>
    <t xml:space="preserve">110568</t>
  </si>
  <si>
    <t xml:space="preserve">ESC Control</t>
  </si>
  <si>
    <t xml:space="preserve">Sold Ex-Works, UK Office , Part Number:ECC4-4F , Secondary P/N:27-153218-00</t>
  </si>
  <si>
    <t xml:space="preserve">110569</t>
  </si>
  <si>
    <t xml:space="preserve">IG270</t>
  </si>
  <si>
    <t xml:space="preserve">Sold Ex-Works, UK Office , Part Number:6400-001</t>
  </si>
  <si>
    <t xml:space="preserve">110570</t>
  </si>
  <si>
    <t xml:space="preserve">RFS1-3 Switch Box</t>
  </si>
  <si>
    <t xml:space="preserve">Sold Ex-Works, UK Office , Part Number:27-041212-00 , Secondary 
P/N:61481-001</t>
  </si>
  <si>
    <t xml:space="preserve">110571</t>
  </si>
  <si>
    <t xml:space="preserve">RFS1-4 Switch Box</t>
  </si>
  <si>
    <t xml:space="preserve">Sold Ex-Works, UK Office , Part Number:02-103148-00 , Secondary 
P/N:61491-001</t>
  </si>
  <si>
    <t xml:space="preserve">110572</t>
  </si>
  <si>
    <t xml:space="preserve">110573</t>
  </si>
  <si>
    <t xml:space="preserve">110574</t>
  </si>
  <si>
    <t xml:space="preserve">110575</t>
  </si>
  <si>
    <t xml:space="preserve">110576</t>
  </si>
  <si>
    <t xml:space="preserve">110577</t>
  </si>
  <si>
    <t xml:space="preserve">Sold Ex-Works, UK Office , Part Number:27-045983-00 , Secondary 
P/N:1483-001</t>
  </si>
  <si>
    <t xml:space="preserve">110578</t>
  </si>
  <si>
    <t xml:space="preserve">Trazar (Phoenix)</t>
  </si>
  <si>
    <t xml:space="preserve">AMU10A-1S</t>
  </si>
  <si>
    <t xml:space="preserve">Sold Ex-Works, UK Office , Part Number: , Secondary P/N:1932-002</t>
  </si>
  <si>
    <t xml:space="preserve">110579</t>
  </si>
  <si>
    <t xml:space="preserve">110580</t>
  </si>
  <si>
    <t xml:space="preserve">110581</t>
  </si>
  <si>
    <t xml:space="preserve">Trikon</t>
  </si>
  <si>
    <t xml:space="preserve">Trikon M6</t>
  </si>
  <si>
    <t xml:space="preserve">Sold Ex-Works, UK Office , Part Number:M6HF</t>
  </si>
  <si>
    <t xml:space="preserve">110582</t>
  </si>
  <si>
    <t xml:space="preserve">110583</t>
  </si>
  <si>
    <t xml:space="preserve">108305</t>
  </si>
  <si>
    <t xml:space="preserve">Trumpf</t>
  </si>
  <si>
    <t xml:space="preserve">HL 101 P</t>
  </si>
  <si>
    <t xml:space="preserve">CNC laser cutter</t>
  </si>
  <si>
    <t xml:space="preserve">108306</t>
  </si>
  <si>
    <t xml:space="preserve">108307</t>
  </si>
  <si>
    <t xml:space="preserve">108308</t>
  </si>
  <si>
    <t xml:space="preserve">HL101P</t>
  </si>
  <si>
    <t xml:space="preserve">97079</t>
  </si>
  <si>
    <t xml:space="preserve">TruMicro 7240</t>
  </si>
  <si>
    <t xml:space="preserve">Laser source</t>
  </si>
  <si>
    <t xml:space="preserve">110584</t>
  </si>
  <si>
    <t xml:space="preserve">Trumpf </t>
  </si>
  <si>
    <t xml:space="preserve">TruPlasma RF1003</t>
  </si>
  <si>
    <t xml:space="preserve">Sold Ex-Works, UK Office , Part Number:2068898</t>
  </si>
  <si>
    <t xml:space="preserve">110585</t>
  </si>
  <si>
    <t xml:space="preserve">106551</t>
  </si>
  <si>
    <t xml:space="preserve">TT Vision</t>
  </si>
  <si>
    <t xml:space="preserve">T-224X</t>
  </si>
  <si>
    <t xml:space="preserve">TT Vision - Post Tape Inspection</t>
  </si>
  <si>
    <t xml:space="preserve">108890</t>
  </si>
  <si>
    <t xml:space="preserve">ULTRACISION</t>
  </si>
  <si>
    <t xml:space="preserve">860</t>
  </si>
  <si>
    <t xml:space="preserve">Manual Wafer Prober, for up to 200mm Wafers</t>
  </si>
  <si>
    <t xml:space="preserve">106553</t>
  </si>
  <si>
    <t xml:space="preserve">Ultratech</t>
  </si>
  <si>
    <t xml:space="preserve">4700</t>
  </si>
  <si>
    <t xml:space="preserve">Stepper</t>
  </si>
  <si>
    <t xml:space="preserve">Professionally deinstalled in August 2022 and moved to warehouse.</t>
  </si>
  <si>
    <t xml:space="preserve">106554</t>
  </si>
  <si>
    <t xml:space="preserve">6700</t>
  </si>
  <si>
    <t xml:space="preserve">103807</t>
  </si>
  <si>
    <t xml:space="preserve">Titan II</t>
  </si>
  <si>
    <t xml:space="preserve">Refurbished, and in working condition.
Ultratech Titan II stepper
Lens type: 1.0um
Illumination: Broadband (g/h-line)
Compatible with 150mm wafer
Alignment systems: Machine Vision System (MVS) and Wafer Alignment System 
(WAS)
Aperture / Field size: 44mm x 22mm
To use 5 x 5” reticles
Can be re-configured to meet your requirements.</t>
  </si>
  <si>
    <t xml:space="preserve">106557</t>
  </si>
  <si>
    <t xml:space="preserve">Ultron</t>
  </si>
  <si>
    <t xml:space="preserve">UH108</t>
  </si>
  <si>
    <t xml:space="preserve">Ultron Tabletop Laminator</t>
  </si>
  <si>
    <t xml:space="preserve">106559</t>
  </si>
  <si>
    <t xml:space="preserve">UHI08-12</t>
  </si>
  <si>
    <t xml:space="preserve">200 mm / 300 MM</t>
  </si>
  <si>
    <t xml:space="preserve">109604</t>
  </si>
  <si>
    <t xml:space="preserve">Ulvac</t>
  </si>
  <si>
    <t xml:space="preserve">Enviro</t>
  </si>
  <si>
    <t xml:space="preserve">Downstream Microwave Asher</t>
  </si>
  <si>
    <t xml:space="preserve">106567</t>
  </si>
  <si>
    <t xml:space="preserve">FRE200E</t>
  </si>
  <si>
    <t xml:space="preserve">XeF2 Etching System</t>
  </si>
  <si>
    <t xml:space="preserve">108903</t>
  </si>
  <si>
    <t xml:space="preserve">Ceraus ZX-1000</t>
  </si>
  <si>
    <t xml:space="preserve">De-installed, warehoused. Can be inspected by appointment. Further details 
are available on request
Detailed configuration:-
ULVAC 	S/N 	SE96-96XX-X 	Vintage 	 
Ceraus ZX-1000 	Machine ID 	  	wafer size 	8"
One single arm robot 	Two Cassette stage with Mapping fuction.
Rorze RP700L 	 
Two Load/Unload chambers 	Turbo pump 	SHIMAZU 	TMP202
  	  	  	  	  	  	  	Turbo pump 	SHIMAZU 	TMP202
Robot 	KEYTRAN-II 	Turbo pump 	SHIMAZU 	TMP202
M-2 	REFLOW 	Process 	REFLOW
M-3 	PVD 	Ti/TiN
M-4 	Degas 	Degas
M-5 	PVD 	Al
M-6 	PVD 	Al
M-2 	SHIMATZU 	TMP 1002 	Refrigerator 	RS5
M-3 	SHIMATZU 	TMP 1002 	RS5
M-4 	SHIMATZU 	TMP 202 	N/A
M-5 	SHIMATZU 	TMP 1003 	RS5
M-6 	SHIMATZU 	TMP 1002 	RS5
M-3 	Kyosan 	  	 
M-5 	Kyosan 	  	 
M-6 	Kyosan 	  	 
Neslab 	SYSTEM III 	He Compressor 	Ulvac 	C30ZR
M-1 	Missing
M-2 	Missing
M-3 	Missing
M-4 	Missing
M-5 	Missing
M-6 	Missing
M-7 	Missing
 </t>
  </si>
  <si>
    <t xml:space="preserve">108913</t>
  </si>
  <si>
    <t xml:space="preserve">De-installed, warehoused. Can be inspected by appointment. Further details 
are available on request.
Basic Config:-Reflow x 1, Ti/TiN LTS x1, Degas x 1, Ti x 1, Al x 1 Cryo 
Pump: Cryo-T8PN w/ RS5Refrigerator x 4set Turbo Pump:TMP 202LM x1set
Detailed Configuration:-
Maker 	ULVAC 	S/N 	SE96-96XX-X 	Vintage 	 
Model 	Ceraus ZX-1000 	Machine ID 	  	wafer size 	8"
Auto Loader 	One single arm robot 	Two Cassette stage with Mapping fuction.
Rorze RP700L 	 
Load lock 	Two Load/Unload chambers 	Turbo pump 	SHIMAZU 	TMP202
  	  	  	  	  	  	  	Turbo pump 	SHIMAZU 	TMP202
Transfer Chamber 	Robot 	KEYTRAN-II 	Turbo pump 	SHIMAZU 	TMP202
Chamber Type 	M-2 	REFLOW 	Process 	REFLOW
M-3 	PVD 	Ti/TiN
M-4 	Degas 	Degas
M-5 	PVD 	Ti
M-6 	PVD 	Al
Turbo Pump 	M-2 	SHIMATZU 	TMP 1002 	Refrigerator 	RS5
M-3 	SHIMATZU 	TMP 1002 	RS5
M-4 	SHIMATZU 	TMP 1002 	N/A
M-5 	SHIMATZU 	TMP 1002 	RS5
M-6 	SHIMATZU 	TMP 1002 	RS5
DC Power Supply 	M-3 	Kyosan 	  	 
M-5 	Kyosan 	  	 
M-6 	Kyosan 	  	 
Chiller 	Neslab 	SYSTEM III 	He Compressor 	Ulvac 	C30ZR
Dry Pump type 	M-1 	Missing
M-2 	Missing
M-3 	Missing
M-4 	Missing
M-5 	Missing
M-6 	Missing
M-7 	Missing
 </t>
  </si>
  <si>
    <t xml:space="preserve">108914</t>
  </si>
  <si>
    <t xml:space="preserve">De-installed, warehoused. Can be inspected by appointment.
Configuration:-
Maker 	ULVAC 	S/N 	ME95-45xx 	Vintage 	 
Model 	Ceraus ZX-1000 	  	  	wafer size 	8"
Auto Loader 	One single arm robot 	Two Cassette stage with Mapping fuction.
Rorze RP700L 	 
Load lock 	Two Load/Unload chambers 	Turbo pump 	SHIMADZU 	TMP203
  	  	  	  	  	  	  	Turbo pump 	SHIMADZU 	TMP202
Transfer Chamber 	Robot 	KEYTRAN-II 	Turbo pump 	SHIMADZU 	TMP202
Chamber Type 	M-2 	REFLOW 	Process 	REFLOW
M-3 	PVD 	Ti/TiN
M-4 	Degas 	Degas
M-5 	PVD 	Al
M-6 	PVD 	Al
Turbo Pump 	M-2 	SHIMADZU 	TMP 1002 	Refrigerator 	RS10
M-3 	SHIMADZU 	TMP 1002 	RS10
M-4 	SHIMADZU 	TMP 202 	N/A
M-5 	SHIMADZU 	TMP 1002 	RS5
M-6 	SHIMADZU 	TMP 1003 	RS5
DC Power Supply 	M-3 	Kyosan 	  	 
M-5 	Kyosan 	  	 
M-6 	Kyosan 	  	 
Chiller 	Neslab 	SYSTEM III 	He Compressor 	Ulvac 	C30ZR
Dry Pump type 	M-1 	Missing
M-2 	Missing
M-3 	Missing
M-4 	Missing
M-5 	Missing
M-6 	Missing
M-7 	Missing
 </t>
  </si>
  <si>
    <t xml:space="preserve">108915</t>
  </si>
  <si>
    <t xml:space="preserve">De-installed, warehoused. Can be inspected by appointment. (See attached 
photos for details.).</t>
  </si>
  <si>
    <t xml:space="preserve">108947</t>
  </si>
  <si>
    <t xml:space="preserve">Entron-EX W300</t>
  </si>
  <si>
    <t xml:space="preserve">PVD (Physical Vapor Deposition) cluster tool, 3 chamber</t>
  </si>
  <si>
    <t xml:space="preserve">-De-installed, warehoused, can be inspected by appointment
-Was in working condition prior to de-installation
-Parts included: EFEM, Main Body, 2x PVD Chamber, 1x PC, Parts and Racks
-See attached photos for details of the current condition.
-Pumps: Shimadzu MP403LM and MP1003LM (Chamber pumps)
-Load Ports: Rorze 31RS72131-104-201 qty 3
-Vacuum Robots: KRC-4000Z qty 2
-Cryo Compressor: C30PZ(8HEAD)
Process chambers:
F1 Degas
F3 Etch RFG Type: ENI
R1 DC, HPK 15ZI qty 2
R1 DC, HPK 15ZI qty 2
Missing/Broken parts: None recorded
System Power Rating: 3 Phase,AC200V, 142A, 49 KVA 50/60 Hz
Fab Interface Configuration: 3 Load Ports
</t>
  </si>
  <si>
    <t xml:space="preserve">108948</t>
  </si>
  <si>
    <t xml:space="preserve">PVD (Physical Vapor Deposition) cluster tool, 3 x PVD chambers+ support chambers</t>
  </si>
  <si>
    <t xml:space="preserve">-De-installed, warehoused, can be inspected by appointment
-Was in working condition prior to de-installation
-Parts included: EFEM, Main Body, 3x PVD Chamber, 1x PC, Parts and Racks
-See attached photos for details of the current condition.
-Pumps: Shimadzu MP403LM and MP2003LM (Chamber pumps)
-Load Ports: Rorze BMM9-CLB-19095-61-11 qty 3
-Vacuum Robots: KRC-4000Z qty 2
-CHILLER 1: IASON
-CHILLER 2: UNISEM RCS500B
Process chambers:
F4 DC PSU TYPE HPK 15ZI QTY 2
R1 DC PSU TYPE HPK 15ZI QTY 2
R2 DC PSU TYPE HPK 15ZI QTY 2
R3 DC PSU TYPE HPK 15ZI QTY 2
Missing/Broken parts: None recorded
System Power Rating: 3 Phase,AC200V, 142A, 49 KVA 50/60 Hz
Fab Interface Configuration: 3 Load Ports
</t>
  </si>
  <si>
    <t xml:space="preserve">109276</t>
  </si>
  <si>
    <t xml:space="preserve">Entron-EX: Aluminum Interconnect</t>
  </si>
  <si>
    <t xml:space="preserve">108610</t>
  </si>
  <si>
    <t xml:space="preserve">UNAXIS</t>
  </si>
  <si>
    <t xml:space="preserve">SLR-720</t>
  </si>
  <si>
    <t xml:space="preserve">RIE</t>
  </si>
  <si>
    <t xml:space="preserve">109532</t>
  </si>
  <si>
    <t xml:space="preserve">REACTIVE ION ETCHER</t>
  </si>
  <si>
    <t xml:space="preserve">102642</t>
  </si>
  <si>
    <t xml:space="preserve">Unaxis/Balzers</t>
  </si>
  <si>
    <t xml:space="preserve">ZH620 Alumina Fill</t>
  </si>
  <si>
    <t xml:space="preserve">Fill Sputter Deposition System</t>
  </si>
  <si>
    <t xml:space="preserve">Main Features:
high rate cavity filling Al2O3 process, 2 targets, DC and RF, Onboard 
Cryogenic pump, backside cooling, 5“ wafer size.
Tool Status: Professionally deinstalled from operational condition and 
moved to the warehouse.
Please check pictures below for more information
Chuck XY Stage (Programmable)
Travel range 310 mm x 310 mm (12.2 x 12.2 in)
Resolution 0.5 µm
Accuracy ± 2.0 µm (0.08 mils)
Repeatability ± 1.0 µm
XY stage drive Closed-loop high precision stepper motors
Speed* Slowest: 10 μm / sec | Fastest: 50 mm / sec
Chuck Z Stage (Programmable)
Travel range 30 mm (1.18 in)
Resolution 0.2 µm
Accuracy ± 2.0 µm
Repeatability ± 1.0 µm
Z stage drive Closed-loop high precision stepper motor
Speed* Slowest: 10 μm / sec | Fastest: 50 mm / sec
Guider Precision ball bearings
Chuck Theta Stage (Programmable)
Travel range ± 5.0°
Resolution 0.0001° (0.24 μm @ 300mm edge)
Accuracy &lt; 2.0 µm (measured at the edge of the 300 mm chuck)
Repeatabilty &lt; 1.0 µm
Theta stage drive High resolution stepper motor with linear encoder 
feedback system
XYZ Stage (Programmable)
Travel range (X x Y x Z)* 50 mm x 50 mm x 140 mm
(2.0 in. x 2.0 in. x 5.5 in.)
Resolution, X-Y axis 1 µm (0.04 mils)
Repeatability, X-Y axis ≤ 2 µm (0.08mils)
Accuracy, X-Y axis ≤ 5 µm (0.2 mils)
Resolution, Z axis 0.05 µm (0.002 mils)
Repeatability, Z axis ≤ 2 µm (0.08mils)
Accuracy, Z axis ≤ 4 µm (0.016 mils)
PROBE PLATEN Specifications
Material Nickel plated steel
Chuck to platen height 50 ± 0.5 mm
Platen cooling Fully integrated CDA cooling, by using the chiller CDA
Configuration Probe card holder 4.5 x 7” and/or MicroPositioners
Max. No. of MicroPositioners 8x DC MicroPositioners or 4x DC + 4x RF 
MicroPositioner Setup
RF MicroPositioner mounting Magnetic with guided rail
DC MicroPositioner mounting Magnetic
Stored in air-conditioned facility
 </t>
  </si>
  <si>
    <t xml:space="preserve">84078</t>
  </si>
  <si>
    <t xml:space="preserve">UNIPHASE</t>
  </si>
  <si>
    <t xml:space="preserve">1103P-0187</t>
  </si>
  <si>
    <t xml:space="preserve">HE NE Laser</t>
  </si>
  <si>
    <t xml:space="preserve">LASER
WEIGHT: 0,3 KG.
DIMENSION: 3 X3 X 36 (H)</t>
  </si>
  <si>
    <t xml:space="preserve">87615</t>
  </si>
  <si>
    <t xml:space="preserve">United Detector Technology, Inc.</t>
  </si>
  <si>
    <t xml:space="preserve">40X</t>
  </si>
  <si>
    <t xml:space="preserve">Laser Power Meter</t>
  </si>
  <si>
    <t xml:space="preserve">Warehoused
-Location: Avezzano (AQ) , 67051, Italy
Packaged weight and dimensions:-
18 cm x 20 cm x 24 cm 9h), weight 1.7 kg
</t>
  </si>
  <si>
    <t xml:space="preserve">106560</t>
  </si>
  <si>
    <t xml:space="preserve">V-Tek</t>
  </si>
  <si>
    <t xml:space="preserve">TM-330</t>
  </si>
  <si>
    <t xml:space="preserve">108891</t>
  </si>
  <si>
    <t xml:space="preserve">V-TEK</t>
  </si>
  <si>
    <t xml:space="preserve">TM-50 </t>
  </si>
  <si>
    <t xml:space="preserve">Manual Taping Machine</t>
  </si>
  <si>
    <t xml:space="preserve">110586</t>
  </si>
  <si>
    <t xml:space="preserve">Vante </t>
  </si>
  <si>
    <t xml:space="preserve">Sold Ex-Works, UK Office , Part Number:4600</t>
  </si>
  <si>
    <t xml:space="preserve">110587</t>
  </si>
  <si>
    <t xml:space="preserve">110588</t>
  </si>
  <si>
    <t xml:space="preserve">110589</t>
  </si>
  <si>
    <t xml:space="preserve">109584</t>
  </si>
  <si>
    <t xml:space="preserve">Varian</t>
  </si>
  <si>
    <t xml:space="preserve">Vista PLAD</t>
  </si>
  <si>
    <t xml:space="preserve">EFEM Unit Only</t>
  </si>
  <si>
    <t xml:space="preserve">-JUL 2006
-DEINSTALLED AND WAREHOUSED
-CAN BE INSPECTED BY APPOINTMENT
-INCLUDED BROOKS DBM2706-V2 ROBOT, VARIAN P/N E400001719, BROOKS P/N 
6-0000-4396-PC
-INCLUDED BROOKS 6-0000-4085-PC CONTROLLER
-INCLUDED EDC-2800BT,
-INCLUDED QTY 4 BROOKS Fixload SMIF PODS</t>
  </si>
  <si>
    <t xml:space="preserve">92468</t>
  </si>
  <si>
    <t xml:space="preserve">E11040440 Rev 7</t>
  </si>
  <si>
    <t xml:space="preserve">Secondary workstation for implanter</t>
  </si>
  <si>
    <t xml:space="preserve">-The remote PC cart for a Varian implanter
-It is mssing the PC
-Parts included:
-Trolley P/N E11040440 Rev 7
-HP Deskjet 560C Printer Varian P/N E20000085
-Varain p/n E20000053</t>
  </si>
  <si>
    <t xml:space="preserve">110658</t>
  </si>
  <si>
    <t xml:space="preserve">3190</t>
  </si>
  <si>
    <t xml:space="preserve">3 Target mini-quantums
RF Etch
VIPS (Vacuum Isolated Processing Station)
Residual Gas Analyzer</t>
  </si>
  <si>
    <t xml:space="preserve">99404</t>
  </si>
  <si>
    <t xml:space="preserve">350D (Spares)</t>
  </si>
  <si>
    <t xml:space="preserve">Implanter (Spare Parts)</t>
  </si>
  <si>
    <t xml:space="preserve">-A selection of used spares parts for a Varian 350D implanter
Varian Exterion Parts (For Implanter)
Model
S/N
Description
Qty
A403/56
50268
Power Supply
1
A403/56
WC141G5
Power Supply
1
 HP 2323A
09787
Analyzer Magnet Current
1
EH4152-1
W—22482
Uniformity Monitor
1
Assy # 108588002
A055155
Dose Processor
1
Assy # 080047601 Rev.N
D-12002116 Rev. J
020065
Scan Monitor
1
Assy#F0746001 Rev. C
W-17550
High Voltage Stack(COIL)
Lot of PCBs
Lot of unique components (both mechanicals and Electrical)
Many Manuals ,Users manuals , Maintenance and Schematics and many other
 </t>
  </si>
  <si>
    <t xml:space="preserve">108892</t>
  </si>
  <si>
    <t xml:space="preserve">VARIAN</t>
  </si>
  <si>
    <t xml:space="preserve">929-0081</t>
  </si>
  <si>
    <t xml:space="preserve">Star Cell Ion Pump Power Unit</t>
  </si>
  <si>
    <t xml:space="preserve">91249</t>
  </si>
  <si>
    <t xml:space="preserve">MBB</t>
  </si>
  <si>
    <t xml:space="preserve">W CVD</t>
  </si>
  <si>
    <t xml:space="preserve">84082</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</si>
  <si>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</si>
  <si>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</si>
  <si>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</si>
  <si>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95409</t>
  </si>
  <si>
    <t xml:space="preserve">72133</t>
  </si>
  <si>
    <t xml:space="preserve">E17015570</t>
  </si>
  <si>
    <t xml:space="preserve">SCANACT,COUNTER WEIGHT</t>
  </si>
  <si>
    <t xml:space="preserve">At the warehouse of Fabsurplus Italy, location Avezzano 67051 Italy.See 
attached photos for condition.
qty 2 available.</t>
  </si>
  <si>
    <t xml:space="preserve">72134</t>
  </si>
  <si>
    <t xml:space="preserve">E11002430</t>
  </si>
  <si>
    <t xml:space="preserve">WAFER COOLING CONTROLLER</t>
  </si>
  <si>
    <t xml:space="preserve">72136</t>
  </si>
  <si>
    <t xml:space="preserve">E17064301</t>
  </si>
  <si>
    <t xml:space="preserve">BEAM SHIELD</t>
  </si>
  <si>
    <t xml:space="preserve">72138</t>
  </si>
  <si>
    <t xml:space="preserve">E17032320</t>
  </si>
  <si>
    <t xml:space="preserve">CHASIS GUIDE M FRME ESSERV</t>
  </si>
  <si>
    <t xml:space="preserve">72140</t>
  </si>
  <si>
    <t xml:space="preserve">E11001320 REV B</t>
  </si>
  <si>
    <t xml:space="preserve">TARGET, FOCUS, FARADAY</t>
  </si>
  <si>
    <t xml:space="preserve">72141</t>
  </si>
  <si>
    <t xml:space="preserve">E11002183</t>
  </si>
  <si>
    <t xml:space="preserve">PEDESTAL ASSY,MULTI 150/200MM</t>
  </si>
  <si>
    <t xml:space="preserve">72143</t>
  </si>
  <si>
    <t xml:space="preserve">E17026720         </t>
  </si>
  <si>
    <t xml:space="preserve">PLATE,GROUND,GRAPHSCAN-SCAN             </t>
  </si>
  <si>
    <t xml:space="preserve">72144</t>
  </si>
  <si>
    <t xml:space="preserve">E17026680         </t>
  </si>
  <si>
    <t xml:space="preserve">PLATE,GROUND,GRAPHSCAN                  </t>
  </si>
  <si>
    <t xml:space="preserve">72145</t>
  </si>
  <si>
    <t xml:space="preserve">E17101600</t>
  </si>
  <si>
    <t xml:space="preserve">COVER,DUAL VAPORIZER</t>
  </si>
  <si>
    <t xml:space="preserve">72146</t>
  </si>
  <si>
    <t xml:space="preserve">72147</t>
  </si>
  <si>
    <t xml:space="preserve">VARIAN GRAPHITES</t>
  </si>
  <si>
    <t xml:space="preserve">72148</t>
  </si>
  <si>
    <t xml:space="preserve">SOURCE COVER</t>
  </si>
  <si>
    <t xml:space="preserve">72149</t>
  </si>
  <si>
    <t xml:space="preserve">MKS HPS VALVE 62161</t>
  </si>
  <si>
    <t xml:space="preserve">72150</t>
  </si>
  <si>
    <t xml:space="preserve">ISOLATION VALVE PARTS</t>
  </si>
  <si>
    <t xml:space="preserve">72151</t>
  </si>
  <si>
    <t xml:space="preserve">various</t>
  </si>
  <si>
    <t xml:space="preserve">VARIAN SOURCE PARTS</t>
  </si>
  <si>
    <t xml:space="preserve">72152</t>
  </si>
  <si>
    <t xml:space="preserve">MKS HPS VALVE 69542</t>
  </si>
  <si>
    <t xml:space="preserve">109277</t>
  </si>
  <si>
    <t xml:space="preserve">VIISta 810</t>
  </si>
  <si>
    <t xml:space="preserve">92387</t>
  </si>
  <si>
    <t xml:space="preserve">E11030450 REV 3</t>
  </si>
  <si>
    <t xml:space="preserve">VERT SCAN ACTUATOR</t>
  </si>
  <si>
    <t xml:space="preserve">QTY 2
DIMS IN BOX: 60 CM X 37 CM X 38 CM 9H)
WEIGHT 20 KG</t>
  </si>
  <si>
    <t xml:space="preserve">108779</t>
  </si>
  <si>
    <t xml:space="preserve">SD331</t>
  </si>
  <si>
    <t xml:space="preserve">Mechanical Vacuum Pump, 2ea Available</t>
  </si>
  <si>
    <t xml:space="preserve">108780</t>
  </si>
  <si>
    <t xml:space="preserve">936-70 SP</t>
  </si>
  <si>
    <t xml:space="preserve">Helium Leak Detector</t>
  </si>
  <si>
    <t xml:space="preserve"> 
Model
936-70 SP
High Vacuum Pump Type
Turbomolecular Pump
Internal Calibrated Leak
Included
Built-In Roughing Pump
Included
Liquid Nitrogen Trap
Included
Other Information
    * PFEIFFER BALZER TPH240 Turbo Pump
    * PFEIFFER BALZER TCP120 Turbo Controller – 50/60 Hz
    * 2ea VARIAN SD-200 Rough Pumps
    * EDWARDS EMF20 Oil Mist Filter
    * PM 011 232-X Turbo Cable
    * Calibrated Helium Leak 5.5 X 10-8
    * 115V 1 Phase 60 Hz 2300 Watts
Power Requirements
115 V     60 Hz     1 Phase
 </t>
  </si>
  <si>
    <t xml:space="preserve">108540</t>
  </si>
  <si>
    <t xml:space="preserve">VIISta HC</t>
  </si>
  <si>
    <t xml:space="preserve">High Current Implanter</t>
  </si>
  <si>
    <t xml:space="preserve">still operational. It will be available for removal in january 2024</t>
  </si>
  <si>
    <t xml:space="preserve">110590</t>
  </si>
  <si>
    <t xml:space="preserve">Varian </t>
  </si>
  <si>
    <t xml:space="preserve">Sold Ex-Works, UK Office , Part Number:VPW2870P5-S , Secondary P/N:04716797</t>
  </si>
  <si>
    <t xml:space="preserve">110591</t>
  </si>
  <si>
    <t xml:space="preserve">Varian Match</t>
  </si>
  <si>
    <t xml:space="preserve">Sold Ex-Works, UK Office , Part Number:04-705530-01D</t>
  </si>
  <si>
    <t xml:space="preserve">102593</t>
  </si>
  <si>
    <t xml:space="preserve">Various</t>
  </si>
  <si>
    <t xml:space="preserve">Vacuum Valves</t>
  </si>
  <si>
    <t xml:space="preserve">Various Vacuum valves (MKS, Varian, Fuji Seiki) and fittings</t>
  </si>
  <si>
    <t xml:space="preserve">Different Gate Valves for Sale. 
Manufacturer
Model
Description
Quantity
MDC
Kav-100
Pneumatic Valve
2
Fuji Seiki
1100204
Industrial Pump Valve
4
Varian
L6280601
Aluminium Block Valve
2
Nupro/Swagelok
SS-4Bk-1C
Bellows Sealed Valves
7
 </t>
  </si>
  <si>
    <t xml:space="preserve">77210</t>
  </si>
  <si>
    <t xml:space="preserve">various MFCs</t>
  </si>
  <si>
    <t xml:space="preserve">MFC LOT</t>
  </si>
  <si>
    <t xml:space="preserve">Qualiflow, Brooks 5850 Cracked/broken MFCs for refurb.</t>
  </si>
  <si>
    <t xml:space="preserve">Qualiflow AFC 50D 10 SLM N2 Cracked top
Chinese make D07 1 SLM bad ??
qty 2 Brooks 5850 2SALM  N2 bad corrosion
selling all 4 as one LOT
Sold as-is, located in Boerne Warehouse 
 </t>
  </si>
  <si>
    <t xml:space="preserve">80175</t>
  </si>
  <si>
    <t xml:space="preserve">VAT</t>
  </si>
  <si>
    <t xml:space="preserve">PM-5</t>
  </si>
  <si>
    <t xml:space="preserve">Adaptive Pressure controller</t>
  </si>
  <si>
    <t xml:space="preserve">  Like New, PM-5 series pressure controller powers up, display looks great 
some writing and scuff marks on outside, but seems to work fine Located in 
our Avezzano, Italy warehouse.</t>
  </si>
  <si>
    <t xml:space="preserve">101025</t>
  </si>
  <si>
    <t xml:space="preserve">14040-je24-0004</t>
  </si>
  <si>
    <t xml:space="preserve">HV Gate Valve</t>
  </si>
  <si>
    <t xml:space="preserve">101026</t>
  </si>
  <si>
    <t xml:space="preserve">101027</t>
  </si>
  <si>
    <t xml:space="preserve">84408</t>
  </si>
  <si>
    <t xml:space="preserve">14046-PE44-1016</t>
  </si>
  <si>
    <t xml:space="preserve">Gate Valve 8"</t>
  </si>
  <si>
    <t xml:space="preserve">Used, Untested AMAT VAT Valve
14046-PE44-1016</t>
  </si>
  <si>
    <t xml:space="preserve">107011</t>
  </si>
  <si>
    <t xml:space="preserve">Veeco</t>
  </si>
  <si>
    <t xml:space="preserve">Dektak 200 Si</t>
  </si>
  <si>
    <t xml:space="preserve">Contact Profilometer - for spares use (Not operational condition)</t>
  </si>
  <si>
    <t xml:space="preserve">Deinstalled, warehoused..
Located in Europe. This therefore has European voltage set up and CE mark.
The tool had an electronic problem and was not operational before it was 
removed.</t>
  </si>
  <si>
    <t xml:space="preserve">106007</t>
  </si>
  <si>
    <t xml:space="preserve">VEECO</t>
  </si>
  <si>
    <t xml:space="preserve">E475 Turbodisc</t>
  </si>
  <si>
    <t xml:space="preserve">MOCVD System configured for AsP use</t>
  </si>
  <si>
    <t xml:space="preserve">Configuration of the tool:-
MOCVD
E475 AsP MOCVD Reactor
Metal Organic Chem. Vapor Dep. Equipment
VEECO TURBODISC -ENTERPRISE E475 As/P PLATFORM
TurboDisc®E475 As/P Growth Chamber - 1085709-2009
    • E475 Stainless Steel High Efficiency Growth Chamber.
    • Water cooled E475 Flow Flange assembly with linear alkyl injection 
manifold and hydride distribution.
    • Three zone resistive heater assembly with heat shields, electrical 
connectors and insulators.
    • Veeco® Turbo disc® susceptor for wafer carriers with solid spindle.
    • Integrated magnetofluidic rotation mechanism,motor,and drive 
assembly.
    • Front view port and pass-through with pneumatic shutter.
    • Water cooled base plate assembly with electrical and thermocouple 
feedthroughs and temperature regulation.
    • Low differential pressure MFCs for alkyl and hydride distribution and 
standard MFC's for hydrogen shroud flow distribution.
    • Pushflow MFC for inner alkyl zone.
    • Needle valves for hydrogen purge of rectangular Flow Flange view 
ports, side view ports, and loadlock passthrough.
    • Mechanical Switch gauge for over pressure monitoring.
    • DCPower Supplies for heater power.
    • Dual differential pumped o-ring seals for reactor flanges with pump 
and pressure monitor.
Turbo Disc E450/E475 Growth Chamber Exhaust System - 1083701-1004
    • Ebara ESA70W-D process exhaust pump with water cooled motors, 
nitrogen purge system, microprocessor with alarm/control via digital 
interface.
    • 4"exhaustline.
    • Manual ISO-100 (4" ) ballvalve.
    • Dual disposable high temperature particle filter.
    • Pneumatic KF-40 ballvalve.
    • KF-40 leak detector port.
    • Electronic pressure transducer.
    • Throttling gate valve.
    • Overpressure protection via switch gauge.
Turbo DiscE475 As/P Load lock &amp; Platter Transfer    1080622-1005
    • High vacuum stainless steel load lock chamber with viewports and two 
dwell-stations for high throughput capability.
    • Pneumatically controlled, interlocked gate valve for isolation 
between growth chamber and loadlock chamber.
    • Vacuum robot for wafer carrier transfer with stainless steel end 
effector.
    • Pressure measurement of load lock Chamber.
    • Toxic gas sampling port.
    • Mechanical switch gauge for over pressure monitoring.
Turbo Disc E450/E475 Loadlock Exhaust System - 1090205-1001
    • Turbomolecular pump for high vacuum.
    • Dry scroll pump.
    • Pneumatic isolation 3"gate-valve.
    • ISO-100 protective stainless steel screen.
    • High vacuum ion gauge.
    • High   vacuum convectron gauge.
    • Low   pressure  nitrogen regulator.
    • KF-25 leak checkport.
    • Alkyl evacuation line.
TurboDisc E450/E475 Glovebox - 1084018-1008
    • Integrated glovebox wafer loading chamber with turntable for easy 
wafer loading.
    • Regenerable Nitrogen purifier/recirculation system with automated 
control for dry loading environment.
· Interlocked, pneumatically controlled gate valve for isolation
between loadlock chamber and glovebox.
·Automated antechamber with dedicated pump for wafer transfer to and
from system.
·Moisture monitoring with alarm capability.
·Storage shelves for extra wafer carriers and substrates.
·Ergonomically designed platform to assist operator w ith platter load
and unload access.
Water Cooling Assembly - 1086550-1011
SS Manifold &amp; SS Fittings
Facility Connection: Bottom Feed
Dual Phosphorous Trap Assembly
·Water cooled phosphorous trap.
·KF-40 1.5" fitting connections.
·Four (4) KF-40 manual ball valves.
System Electronics and Control Modules - 380V 1095284-1001
·Veeco standard control modules for Substrate Rotation, React or
Temperature Control, React or Pressure, System Logic Control, and Pump
Activation.
·Integrated pow er load center with Emergency Pow er Off sw itch.
·Microprocessor unit with analog and digital control boards, input boards,
and Ethernet port for communication.
DeviceNet Control System
·Digital devices connected into a digital network.
·Allen Bradley PLC.
·Compliant to ODVA standard.
Hydrogen Detector
·Dual solid state sensor transmitters located above reactor and gas
panel.
·Rack mounted readout with alarm output.
EpiView Control and Monitoring Program
·EpiView Control and Monitoring Software.
·Graphical display windows for all gas panel, growth chamber, and
exhaust components.
·User-configurable parameters for valve states, analog scales and set
points.
·Data logging and viewing with configurable data rate and signal
selection.
·Export of data files to Microsoft Excel for analysis and presentation,
with automatic data compression.
·Deviation alarms to identify non-appropriate activities.
·On-line help.
·Advanced troubleshooting and diagnostic tools, automated maintenance.
·Report generator for run analysis.
·Event recording of system status and alarms.
·Definable levels for system security.
Epiview Local Control Interface - 1092594-1001
·Dell PowerEdge 2950 Industrial Server
·3.0GHz/2MB Cache, Xeon
·800MHz Front Side Bus
·1GB DDR2 400MHz (2X512MB) Single Ranked DIMMs
.Dual Removable 73GB, SCSI, 10K Drives w ith RAID1
.1.44MB Floppy Drive
.24X IDE CD-RW/DVD ROM Drive
.Three Ethernet ports (one available for Customer interface)
.Microsoft Window s 2000 SP4
.Microsoft Office Basic (Word &amp; Excel)
.High Resolution 17" LCD Monitor
In-Situ Monitoring System 1096010-1060
RealTemp 200 Monitoring System - Quantity = 3
·Combined pyrometer and reflectometer unit to enable Emissivity
Corrected temperature measurement and control.
·Accurate reflectance and temperature measurement of individual wafers.
·Advanced software package for data analysis.
·Dedicated computer and electronics.
IDRT/RT Local Control Assembly - 1097878-1001
·High Resolution 17" Monitor
.Swing Arm for Monitor
Consumables Package
·Consumable items to support initial basic maintenance activity. This
package may not be all-inclusive, depending on maintenance activity.
Step Up Platform
·Ergonomically designed platform assists operator w ith tool load and
unload access.
Liquid Refrigerator Bath - Quantity = 7
·Water cooled version.
·Operating temperature range: -30 degrees C to 200 degrees C.
·Adjustable over-temperature protection.
·Bath cavity dimensions: 8.5" x 8.5" x 9.8"
1/8" SS Bubbler Legs - Quantity = 9
sets
E450 / E475 As/P Standard Material Demo - Solar Cells
Veeco Specification #1092623
Custom Gas Panel for E475 LDM
Veeco P/N 1200182 and GSD3560
Bubbler #1: DETe
Dilution Network Source Manifold (Single Bubbler)
.Five Valve High-Purity Welded Manifold.
.Metal Sealed Mass Flow controller for source, carrier push and
dilution gas.
.Metal Sealed Integrated Pressure Controller.
.Integrated Spool piece for Binary Gas Monitor.
Bubbler #2: DMZn
Dilution Netw ork Source Manifold (Single Bubbler)
.Five Valve High-Purity Welded Manifold.
.Metal Sealed Mass Flow controller for source, carrier push and
dilution gas.
.Metal Sealed Integrated Pressure Controller.
.Integrated Spool piece for Binary Gas Monitor.
Bubbler #3: TMIn
Standard Source Manifold (Single Bubbler)
.Five Valve High-Purity Welded Manifold.
.Metal Sealed Mass Flow controller.
.Metal Sealed Integrated Pressure Controller.
.Integrated Spool piece for Binary Gas Monitor.
Bubbler #4: TMIn
Standard Source Manifold (Single Bubbler)
.Five Valve High-Purity Welded Manifold.
.Metal Sealed Mass Flow controller.
.Metal Sealed Integrated Pressure Controller.
.Integrated Spool piece for Binary Gas Monitor.
Bubbler #5: TMGa
Standard Source Manifold (Single Bubbler)
.Five Valve High-Purity Welded Manifold.
.Metal Sealed Mass Flow controller.
.Metal Sealed Integrated Pressure Controller.
.Integrated Spool piece for Binary Gas Monitor.
Bubbler #6: TMGa
Standard Source Manifold (Single Bubbler)
.Five Valve High-Purity Welded Manifold.
.Metal Sealed Mass Flow controller.
.Metal Sealed Integrated Pressure Controller.
.Integrated Spool piece for Binary Gas Monitor.
Bubbler #7: TMAl
Standard Source Manifold (Single Bubbler)
.Five Valve High-Purity Welded Manifold.
.Metal Sealed Mass Flow controller.
.Metal Sealed Integrated Pressure Controller.
.Integrated Spool piece for Binary Gas Monitor.
Bubbler #8: CBr4
Standard Source Manifold (Single Bubbler)
.Five Valve High-Purity Welded Manifold.
.Metal Sealed Mass Flow controller.
.Metal Sealed Integrated Pressure Controller.
.Integrated Spool piece for Binary Gas Monitor.
Bubbler #9: TBA
Standard Source Manifold (Single Bubbler)
.Five Valve High-Purity Welded Manifold.
.Metal Sealed Mass Flow controller.
.Metal Sealed Integrated Pressure Controller.
.Integrated Spool piece for Binary Gas Monitor.
Hydride Dopant #1: Disilane
Dual Input Hydride with One Standard and One Dilution Network
Manifold
.High purity welded manifold with interlocked source and purge
valves.
.Metal sealed source calibrated MFCs with carrier gas calibrated
dilution network on one line
Dopant #2: Customer Specified Dopant
Single Input Hydride
.High purity welded manifold with interlocked source and
valves.
.Metal sealed source calibrated MFC.
Unit
Price
purge
AsH3 Dual Input Hydride
.High purity welded manifold with interlocked source and purge
valves.
.Metal sealed source calibrated MFCs
PH3 Single Input Hydride
.High purity welded manifold with interlocked source and purge
valves.
.Metal sealed source calibrated MFC.
Phantom Line for Alkyl Injector Block
.Direct Input Metal Sealed MFC to injector block.
Phantom Line for Hydride Injector Block
.Direct Input Metal Sealed MFC to injector block.
1087990-1005
WAFER CARRIER 15X4, 75DEG, 0.028DP, E475
1087990-1004
WAFER CARRIER 15X4, 75DEG, 0.017DP, E475
</t>
  </si>
  <si>
    <t xml:space="preserve">108331</t>
  </si>
  <si>
    <t xml:space="preserve">Dimension 7000</t>
  </si>
  <si>
    <t xml:space="preserve">Atomic Force Microscope (AFM)</t>
  </si>
  <si>
    <t xml:space="preserve">Buyer is responsible for all costs of, and associated with, any required 
deinstallation, rigging, packing, crating, transportation and insurance. 
For rigging, Buyer must use only the designated and approved rigging 
company.</t>
  </si>
  <si>
    <t xml:space="preserve">109116</t>
  </si>
  <si>
    <t xml:space="preserve">Vx340 Dimension</t>
  </si>
  <si>
    <t xml:space="preserve">Atomic Force Proflier</t>
  </si>
  <si>
    <t xml:space="preserve">-Fitted with dual 300 mm foup loaders
The Dimension Vx340 Atomic Force Profiler (AFP) is an automated metrology 
system for characterization and control of multiple processes. It is a 
versatile system that is designed to replace standard profilers with 
improved AFM resolution and faster throughput.
The Vx340 enables depth measurements for shallow trench isolation, dual 
damascene etch and planarity for copper, low-k and STI CMP on devices with 
with features as small as 65 nm. In addition, the Vx340 provides 
productivity enhancements in throughput with the resolution of an atomic 
force microscope and the long-scan capability of a profiler.
-Low contact chuck
-Dual Brooks FOUP Load ports</t>
  </si>
  <si>
    <t xml:space="preserve">108893</t>
  </si>
  <si>
    <t xml:space="preserve">AP-150</t>
  </si>
  <si>
    <t xml:space="preserve">Automtic Four Point Probe, for up to 6" Wafers</t>
  </si>
  <si>
    <t xml:space="preserve">2” to 6” (dia.) Wafer Capability
Sheet Resistance Range: 1.1 mΩ/sq to 450 KΩ/sq
Slice Resistivity Range: 4.19 x 10-2 mΩ -cm to 17.1 KΩ -cm
V/I Range: 0.25 mΩ to 99.9 KΩ
Al Thickness Range: 20 Å to 243 KÅ
Automatic P-N Type Testing
Automatic Retest
Guaranteed fully functional at consignment: 30 days warranty on parts
Price includes credit card surcharge of 2.6%</t>
  </si>
  <si>
    <t xml:space="preserve">108894</t>
  </si>
  <si>
    <t xml:space="preserve">Dektak 3030ST</t>
  </si>
  <si>
    <t xml:space="preserve">108916</t>
  </si>
  <si>
    <t xml:space="preserve">Dimension X3D</t>
  </si>
  <si>
    <t xml:space="preserve">Model 340 Atomic Force Microscope</t>
  </si>
  <si>
    <t xml:space="preserve">1 Port (Asyst ISO Port)
Brooks (Robot and Aligner)
De-installed, warehoused. Can be inspected by appointment. Further details 
are available on request</t>
  </si>
  <si>
    <t xml:space="preserve">108781</t>
  </si>
  <si>
    <t xml:space="preserve">MS-35T</t>
  </si>
  <si>
    <t xml:space="preserve">Turbopumped Leak Detector</t>
  </si>
  <si>
    <t xml:space="preserve">109600</t>
  </si>
  <si>
    <t xml:space="preserve">Veeco Dimension</t>
  </si>
  <si>
    <t xml:space="preserve">Atomic Force Microscope</t>
  </si>
  <si>
    <t xml:space="preserve">106563</t>
  </si>
  <si>
    <t xml:space="preserve">Veeco Wyko</t>
  </si>
  <si>
    <t xml:space="preserve">NT3300</t>
  </si>
  <si>
    <t xml:space="preserve">3D Bump Height (Veeco)</t>
  </si>
  <si>
    <t xml:space="preserve">83907</t>
  </si>
  <si>
    <t xml:space="preserve">VERIFLO CORP.</t>
  </si>
  <si>
    <t xml:space="preserve">42800147</t>
  </si>
  <si>
    <t xml:space="preserve">WEIGHT: GR.200
DIMENSION: 12 CM. X 2 CM. X 5,5 CM. (H)</t>
  </si>
  <si>
    <t xml:space="preserve">103383</t>
  </si>
  <si>
    <t xml:space="preserve">Vero Electronics</t>
  </si>
  <si>
    <t xml:space="preserve">116-010069H</t>
  </si>
  <si>
    <t xml:space="preserve">Monovolt PK120 Power Supply, +5V 20A</t>
  </si>
  <si>
    <t xml:space="preserve">VIN 115/230 VAC
F IN 47-63 HZ,
I IN 2,5/1,35 A CE MARKED</t>
  </si>
  <si>
    <t xml:space="preserve">110592</t>
  </si>
  <si>
    <t xml:space="preserve">Sold Ex-Works, UK Office , Part Number:ST800-CC50-M2-OTZ</t>
  </si>
  <si>
    <t xml:space="preserve">107010</t>
  </si>
  <si>
    <t xml:space="preserve">1600-34</t>
  </si>
  <si>
    <t xml:space="preserve">Spin Rinse Dryer (Single Stack)</t>
  </si>
  <si>
    <t xml:space="preserve">Deinstalled, warehoused..
120V 50 HZ SETUP</t>
  </si>
  <si>
    <t xml:space="preserve">15619</t>
  </si>
  <si>
    <t xml:space="preserve">VERTEQ</t>
  </si>
  <si>
    <t xml:space="preserve">FLUOROCARBON RD4500 CLASSIC</t>
  </si>
  <si>
    <t xml:space="preserve">SRD</t>
  </si>
  <si>
    <t xml:space="preserve">CAN BE OFFERED "AS IS" OR OPERATIONAL TO OEM SPECIFICATIONS WAFER SIZE- 4" 
OR 100mm POWER- 110V, 60 Hz SEPARATE VOLTAGE TRANSFORMER FROM 220 V TO 110 
V IS INCLUDED MANUAL-TECHNICAL MANUAL: RD4500 CLASSIC RINSER DRYER. 
OPTIONS- RESISTIVITY M4515, M4510 BOWL WASH M4520 STATIC ELIMINATOR M4530 
CLEANCOIL M4540 . SYSTEM USED FOR- UNIT IS USED FOR SPIN DRYING OF 
PHOTORESIST COATED WAFERS AFTER ACID DIPS.
-Deinstalled, warehoused.
-In working condition
-See photos for details
-Available for immediate consignment
-Can be inspected by appointment
-Located in Avezzano 67051 Italy</t>
  </si>
  <si>
    <t xml:space="preserve">107028</t>
  </si>
  <si>
    <t xml:space="preserve">Double Stack Spin Rinse Dryer</t>
  </si>
  <si>
    <t xml:space="preserve">Deinstalled, warehoused.
120V 50 HZ SETUP
see photos for details.</t>
  </si>
  <si>
    <t xml:space="preserve">108973</t>
  </si>
  <si>
    <t xml:space="preserve">Superclean 1600-55M</t>
  </si>
  <si>
    <t xml:space="preserve">-Verteq Superclean 1600-55M Double stack SRD for sale
-Vintage Feb 1999
-in excellent , operational condition
-Has CE mark
-See attached photos for details of condition.
-Has drums for wafers sizes 4 inch, M0 and M2.</t>
  </si>
  <si>
    <t xml:space="preserve">108215</t>
  </si>
  <si>
    <t xml:space="preserve">SUPERCLEAN 1600</t>
  </si>
  <si>
    <t xml:space="preserve">Spin Rinser Dryer</t>
  </si>
  <si>
    <t xml:space="preserve">83826</t>
  </si>
  <si>
    <t xml:space="preserve">VEXTA</t>
  </si>
  <si>
    <t xml:space="preserve">UPH569H-B</t>
  </si>
  <si>
    <t xml:space="preserve">new, unused, VEXTA STEPPING MOTOR
5-PHASE
0.72/STEP
DC 2.8A
1 OMEGA
SW8 00765
WEIGHT: 1,4 KG.
DIMENSION: 6 CM. X 6 CM. X 13 CM. (H)</t>
  </si>
  <si>
    <t xml:space="preserve">69817</t>
  </si>
  <si>
    <t xml:space="preserve">UDK5114NA</t>
  </si>
  <si>
    <t xml:space="preserve">5-PHASE DRIVER</t>
  </si>
  <si>
    <t xml:space="preserve">5 PHASE DRIVER AND MOTOR VEXTA PK564-NAC IN ORIGINAL  PACKAGING</t>
  </si>
  <si>
    <t xml:space="preserve">103382</t>
  </si>
  <si>
    <t xml:space="preserve">Vexta</t>
  </si>
  <si>
    <t xml:space="preserve">BLD1024H</t>
  </si>
  <si>
    <t xml:space="preserve">Brushless DC Motor Driver, DC24V</t>
  </si>
  <si>
    <t xml:space="preserve">-Removed from a working Applied Materials RTP Chamber
-Includes insulating bracket part number 0020-36782 P1
-See attached photos for details
-Thought to be in working condition</t>
  </si>
  <si>
    <t xml:space="preserve">108611</t>
  </si>
  <si>
    <t xml:space="preserve">Vision Semicon</t>
  </si>
  <si>
    <t xml:space="preserve">VSP-88A(H)</t>
  </si>
  <si>
    <t xml:space="preserve">Oven</t>
  </si>
  <si>
    <t xml:space="preserve">108612</t>
  </si>
  <si>
    <t xml:space="preserve">VSP-88H</t>
  </si>
  <si>
    <t xml:space="preserve">108613</t>
  </si>
  <si>
    <t xml:space="preserve">106755</t>
  </si>
  <si>
    <t xml:space="preserve">VISTEC </t>
  </si>
  <si>
    <t xml:space="preserve">LWM9000</t>
  </si>
  <si>
    <t xml:space="preserve">CD SEM for 65 nm mask measurement</t>
  </si>
  <si>
    <t xml:space="preserve">Reticle / 150 mm</t>
  </si>
  <si>
    <t xml:space="preserve">Deinstalled, warehoused. Can be inspected by appointment.A SEM-based CD 
measurement system for 65 nm mask technology, the LWM 9000 SEM was 
developed in 2004 . The system's long-term stability of &lt;1 nm (3 sigma) is 
achieved by almost completely avoiding the effect of electron charging and 
substrate contamination. Further notable features are a high precision 
scanning stage (with a laser interferometer) and the user-friendly software 
developed similar to the LMS IPRO3 software, which substantially reduces 
user training needs for the manufacturer.The standard system can be 
configured for manual loading or SMIF handling.
-This system is fitted with a single 6 inch SMIF loader
-Was removed from working condition the fab in November 2021
-Parts included:-
1 MAIN BODY
2 USER INTERFACE
3 EFEM
4 POWER SUPPLY
5 OZONE GENERATOR</t>
  </si>
  <si>
    <t xml:space="preserve">84233</t>
  </si>
  <si>
    <t xml:space="preserve">Viton</t>
  </si>
  <si>
    <t xml:space="preserve">43-2-131</t>
  </si>
  <si>
    <t xml:space="preserve">O-ring seal, Roth &amp; Rau</t>
  </si>
  <si>
    <t xml:space="preserve">Pack of 3 used, Viton Roth &amp; Rau 43-2-131 seals
For use with Chamber cover 1+2+5
pack of 3</t>
  </si>
  <si>
    <t xml:space="preserve">108895</t>
  </si>
  <si>
    <t xml:space="preserve">VLSI STANDARDS INC.</t>
  </si>
  <si>
    <t xml:space="preserve">Step Height Standards, Various Models, 12ea Available</t>
  </si>
  <si>
    <t xml:space="preserve">108309</t>
  </si>
  <si>
    <t xml:space="preserve">Votsch</t>
  </si>
  <si>
    <t xml:space="preserve">VT 7018</t>
  </si>
  <si>
    <t xml:space="preserve">Thermal Shock Chamber</t>
  </si>
  <si>
    <t xml:space="preserve">108310</t>
  </si>
  <si>
    <t xml:space="preserve">108311</t>
  </si>
  <si>
    <t xml:space="preserve">108312</t>
  </si>
  <si>
    <t xml:space="preserve">VT 7030 S2</t>
  </si>
  <si>
    <t xml:space="preserve">Thermal Shock Chamber Manufacturer: V�tsch Exposure area: 300 l Max. 
specimen size (H x W x D, in cm): approx. 77 x 60 x 62 Warm chamber 
temperature range: +50 to +220 �C Temperature fluctuation in the warm 
chamber (over time, in the middle of the work space): �1 K Cold chamber 
temperature range: -75 to +70 �C Temperature fluctuation cold chamber (over 
time, in the middle of the usable space): �1 K Mass of test object: max. 50 
kg in the lifting basket Transfer time: &lt; 10 s 2. Accredited testing area 
Cold chamber: down to -80 �C Warm chamber: up to +220 �C 3.Test standards 
EN/IEC 60068-2-14 EN ISO 2819 MIL 810 MIL883</t>
  </si>
  <si>
    <t xml:space="preserve">108313</t>
  </si>
  <si>
    <t xml:space="preserve">108314</t>
  </si>
  <si>
    <t xml:space="preserve">106756</t>
  </si>
  <si>
    <t xml:space="preserve">WAFER MASTERS</t>
  </si>
  <si>
    <t xml:space="preserve">SAO-302LP</t>
  </si>
  <si>
    <t xml:space="preserve">TSV Cu Anneal</t>
  </si>
  <si>
    <t xml:space="preserve">77171</t>
  </si>
  <si>
    <t xml:space="preserve">WARNER LINEAR</t>
  </si>
  <si>
    <t xml:space="preserve">K2G20-24V-BR-10lsc</t>
  </si>
  <si>
    <t xml:space="preserve">LINEAR ACTUATOR , 24V DC</t>
  </si>
  <si>
    <t xml:space="preserve">   
WARNER LINEAR K2G20-24V-BR-10lsc
LINEAR ACTUATOR , 24V DC
New in Box, Ships from our Boerne, TX Warehouse</t>
  </si>
  <si>
    <t xml:space="preserve">77164</t>
  </si>
  <si>
    <t xml:space="preserve">Wasco</t>
  </si>
  <si>
    <t xml:space="preserve">SV129-31W3A/2065</t>
  </si>
  <si>
    <t xml:space="preserve">Vacuum pressure switch 75 Torr</t>
  </si>
  <si>
    <t xml:space="preserve">   Wasco SV129-31WA/2065
75 Torr Vacuum Switch
1A 115V
Ships from our Boerne, TX Warehouse</t>
  </si>
  <si>
    <t xml:space="preserve">98475</t>
  </si>
  <si>
    <t xml:space="preserve">Watkin Johnson</t>
  </si>
  <si>
    <t xml:space="preserve">UTC 800</t>
  </si>
  <si>
    <t xml:space="preserve">atmospheric wafer handling robot( WJ-999)</t>
  </si>
  <si>
    <t xml:space="preserve">Deinstalled, warehoused: tested and in full working condition.
Can be inspected by appointment</t>
  </si>
  <si>
    <t xml:space="preserve">108981</t>
  </si>
  <si>
    <t xml:space="preserve">Watkins Johnston</t>
  </si>
  <si>
    <t xml:space="preserve">903169-001 rev D</t>
  </si>
  <si>
    <t xml:space="preserve">WJ 952 MFC REGULATION PCB</t>
  </si>
  <si>
    <t xml:space="preserve">DEINSTALLED, WAREHOUSED.
LOCATED AT OUR AVEZZANO (aq) 67051 ITALY WAREHOUSE</t>
  </si>
  <si>
    <t xml:space="preserve">77165</t>
  </si>
  <si>
    <t xml:space="preserve">WATLOW</t>
  </si>
  <si>
    <t xml:space="preserve">DC10-40P0-0000</t>
  </si>
  <si>
    <t xml:space="preserve">SOLID STATE POWER CONTROL, AMP: 55 AMPS, NEW</t>
  </si>
  <si>
    <t xml:space="preserve">     WATLOW DC10-40P0-0000 SOLID STATE POWER CONTROL, AMP: 55 AMPS, NEW   
New in Box, Ships from our Boerne, TX Warehouse</t>
  </si>
  <si>
    <t xml:space="preserve">82219</t>
  </si>
  <si>
    <t xml:space="preserve">WAVECREST</t>
  </si>
  <si>
    <t xml:space="preserve">DTS-2070C (-52)</t>
  </si>
  <si>
    <t xml:space="preserve">Credence Duo Wavecrest digital time controller</t>
  </si>
  <si>
    <t xml:space="preserve">qty 2 Wavecrest digital time controllers, removed from working Credence Duo 
SX testers.
Boxed, located in our Boerne, TX Warehouse.
CE marked
VREF 4.991 VDC
FREQ 100 MHz</t>
  </si>
  <si>
    <t xml:space="preserve">105856</t>
  </si>
  <si>
    <t xml:space="preserve">Weir</t>
  </si>
  <si>
    <t xml:space="preserve">HSS 100/5</t>
  </si>
  <si>
    <t xml:space="preserve">Weir power Supply
In good condition.
See attached photos for details.</t>
  </si>
  <si>
    <t xml:space="preserve">105857</t>
  </si>
  <si>
    <t xml:space="preserve">Switching Power Supply Unit AC to DC</t>
  </si>
  <si>
    <t xml:space="preserve">Weir power Supply
In good condition.
See attached photos for details.
Outputs: +24v 3a, +5.1V 12A, -12V 3a, -5.2v 2a</t>
  </si>
  <si>
    <t xml:space="preserve">100712</t>
  </si>
  <si>
    <t xml:space="preserve">Weiss</t>
  </si>
  <si>
    <t xml:space="preserve">VT 7012 S2</t>
  </si>
  <si>
    <t xml:space="preserve">Temperature Shock Test Chamber</t>
  </si>
  <si>
    <t xml:space="preserve">80238</t>
  </si>
  <si>
    <t xml:space="preserve">TS130</t>
  </si>
  <si>
    <t xml:space="preserve">Thermal shock testing chamber</t>
  </si>
  <si>
    <t xml:space="preserve">-Removed from service in 2014
-Warehoused
-Located in Italy
-Can be inspected by appointment
-Can be sold 'as is' or refurbished with buy-off.
Shipping information:
-Weight 950 kg
-External dimensions: 2990 mm x 1820 mm x 1155 mm
s/n 224/17903
CE marked
Number of hours on the hour meter: 5,884.431 hours
Product Features:-
The temperature shock test chamber is made of two internal chambers 
arranged one on top of the other, with an automatic lifting basket.
The frame is made from corrosion-resistant galvanised sheet steel and is 
finished in RAL 5000 blue and RAL 9002 white grey.
Insulation-mineral wool-located between the internal and external casing.
The chambers are made in vapour-tight stainless steel.
Air volume changes caused by temperature variations during the test cycles 
are compensated for by means of a integrated expansion device.
The test basket is transported from the cold chamber to the hot chamber by 
an  electric motor coupled to a mechanical drive.
The vertical opening ergonomic sliding door of the hot chamber saves space 
in front of the chamber.
The window in the door allows optimal observation of the test basket.
Why Thermal shock testing ?
Thermal shock testing simulates the effects of temperature change on 
electronic systems.
International standards and test specifications used in the automotive, 
aerospace and electronics industries define how electronic systems must 
perform during certain give temperatures changes.
The tests aim to find out if sudden temperature changes will influence the 
long-term reliability of a product and if the product will operate safely.
Failures in parts and workmanship can be induced during Environmental 
Stress Screening (ESS) tests.
How the tests are carried out
The testing system is constructed with one hot and one cold chamber, 
independently temperature controlled, one on top of the other.
Quick temperature changes are simulated by moving the samples from one 
chamber to another.
A smooth air flow in the chambers is achieved using axial fans to blow the 
air over the heater or the chiller element.
Table of test methods:-
Test method 	Upper temperature 	Lower temperature 	Number
of temperature
  	°C 	Dwell time (h) 	Δ
(°C) 	°C 	Dwell time (h) 	Δ
(°C)
DIN-IEC 68-2-14 Na 1987 edition 	+40 . . . +220 	0.5 . . . 3 	3 % 	–10 . . 
. –65 	0.5 . . . 3 	8 % 	5
MIL-STD 202F/107G 3/84 edition 	+85 . . . +200 	0.25 . . . 8 	±0 	–55 . . . 
–65 	0.25 . . . 8 	0/–5 	5 / 25 / 50 / 100
MIL-STD 750C method 1051.5
4/92 edition 	+85 . . . +200 	10 mins 	±15/0 	–55 . . . –65 	10 mins 	
±0/–10 	20
MIL-STD 810F method 503.4
3/98 edition 	upon agreement
MIL-STD 883G method 1010.8
conditions A, B, C, [D, F]* 02/06 edition 	+85 . . . +200 	min.10 mins upon 
specimen reach. setpoint 	±15/0 	–55 . . . –65 	min.10 mins upon specimen 
reach. setpoint 	0/–10 	at least 10
MIL-STD 331B Test 113.1/C7
3/97 edition 	+71 	&gt;4 	  	–54 	&gt;4 	  	3
DEF 5011 4/71 edition 	+70 . . . +200 	1 	±3 	–25 . . . –65 	1 	±3 	10
DEF 133 dry 8/71 edition 	+55 	3 	±2 	–40 	3 	±3 	dry by agreement
Technical specifications of the test chamber:-
Model 	TS 130
Test basket volume 	approx. 130 l
Test basket dimensions Height
Width Depth 	approx. 430 mm
approx. 500 mm
approx. 600 mm
External dimensions Height
Width
Width inclusive of door hinge Depth without door
Depth with removable door Depth of notebook swivel 	approx. 1,990 mm
approx. 1,820 mm
approx. 1,850 mm
approx. 900 mm
approx. 1,155 mm
approx. 170 mm
Window in the sliding door Height
Width 	approx. 450 mm
approx. 500 mm
Temp. range (refer to working range) Hot chamber
Cold chamber 	approx. +60 . . . +220 °C
approx. –10 . . . –80 °C
Temperature constancy, in time 	approx. ±1 K
Changeover time 	approx. 10 secs
Max. specimen weight 	approx. 20 kg
Temperature change of 10 kg ICs in 	15 mins
Electrical connection 	3/N/PE AC 400 V ±10 % 50 Hz
CEE 32A connector
Max. power consumption 	approx. 28 A
Connected load 	approx. 14 kW
Paint finish 	RAL 5000 (blue) / RAL 9002 (grey)
Sound pressure level free field 1 m distance from front of unit 	approx. 61 
dB (A)
Weight 	approx. 950 kg
 </t>
  </si>
  <si>
    <t xml:space="preserve">108782</t>
  </si>
  <si>
    <t xml:space="preserve">WENTWORTH LABS</t>
  </si>
  <si>
    <t xml:space="preserve">HOP "Hands Off Probe"</t>
  </si>
  <si>
    <t xml:space="preserve">Micropositioner, 2ea Available</t>
  </si>
  <si>
    <t xml:space="preserve">109033</t>
  </si>
  <si>
    <t xml:space="preserve">WEST BOND</t>
  </si>
  <si>
    <t xml:space="preserve">10490</t>
  </si>
  <si>
    <t xml:space="preserve">Convertible Bonder , Wedge to Ball</t>
  </si>
  <si>
    <t xml:space="preserve">-Still installed and operational
-Located in USA
-See attached photos showing current condition.
-Can be inspected by appointment</t>
  </si>
  <si>
    <t xml:space="preserve">109034</t>
  </si>
  <si>
    <t xml:space="preserve">2416B</t>
  </si>
  <si>
    <t xml:space="preserve">-Still installed and operational
-Located in USA
-See attached photos showing current conditions
-Can be inspected by appointment</t>
  </si>
  <si>
    <t xml:space="preserve">108783</t>
  </si>
  <si>
    <t xml:space="preserve">WEST-BOND</t>
  </si>
  <si>
    <t xml:space="preserve">7200A</t>
  </si>
  <si>
    <t xml:space="preserve">Manual Epoxy Die Bonder</t>
  </si>
  <si>
    <t xml:space="preserve">Excellent refurbished fully working condition, comes with Bausch &amp; Lomb 
StereoZoom 4 microscope.
Workholder can be supplied with tool at additional cost if required.</t>
  </si>
  <si>
    <t xml:space="preserve">84100</t>
  </si>
  <si>
    <t xml:space="preserve">Wiha</t>
  </si>
  <si>
    <t xml:space="preserve">368 3 SW</t>
  </si>
  <si>
    <t xml:space="preserve">Ball end screw driver</t>
  </si>
  <si>
    <t xml:space="preserve">Wiha classis Qualitat 368 3 SW ball end screw driver
made in germany
used, good condition</t>
  </si>
  <si>
    <t xml:space="preserve">105863</t>
  </si>
  <si>
    <t xml:space="preserve">WIKA</t>
  </si>
  <si>
    <t xml:space="preserve">233.50.100</t>
  </si>
  <si>
    <t xml:space="preserve">-1 BAR PRESSURE GAUGE G1/2A D1001/2"</t>
  </si>
  <si>
    <t xml:space="preserve">* New unused
OIL FILLED VACUUM GUAGE ERZEUGNI 9020802</t>
  </si>
  <si>
    <t xml:space="preserve">93087</t>
  </si>
  <si>
    <t xml:space="preserve">Woollam</t>
  </si>
  <si>
    <t xml:space="preserve">94605</t>
  </si>
  <si>
    <t xml:space="preserve">Xantrex</t>
  </si>
  <si>
    <t xml:space="preserve">XFR 40-70 NV8200P</t>
  </si>
  <si>
    <t xml:space="preserve">DC Power Supply Magnet</t>
  </si>
  <si>
    <t xml:space="preserve">53033</t>
  </si>
  <si>
    <t xml:space="preserve">Yamatake honeywell</t>
  </si>
  <si>
    <t xml:space="preserve">WLS302</t>
  </si>
  <si>
    <t xml:space="preserve">switch</t>
  </si>
  <si>
    <t xml:space="preserve">Temporized switch, see pictures for details
 </t>
  </si>
  <si>
    <t xml:space="preserve">106835</t>
  </si>
  <si>
    <t xml:space="preserve">Yaskawa </t>
  </si>
  <si>
    <t xml:space="preserve">XU RC350D-C31+ERCR-RS09-A003</t>
  </si>
  <si>
    <t xml:space="preserve">atmospheric wafer robot( DNS SU-3000)</t>
  </si>
  <si>
    <t xml:space="preserve">106836</t>
  </si>
  <si>
    <t xml:space="preserve">XU RC350D-C61+ERCR-RS10-C003</t>
  </si>
  <si>
    <t xml:space="preserve">106837</t>
  </si>
  <si>
    <t xml:space="preserve">XU RC350D-K01+ERCR-RS09-A003</t>
  </si>
  <si>
    <t xml:space="preserve">atmospheric wafer robot( DNS SU-3100)</t>
  </si>
  <si>
    <t xml:space="preserve">106838</t>
  </si>
  <si>
    <t xml:space="preserve">XU RCM9205 with ERCR-NS01-A003 controller</t>
  </si>
  <si>
    <t xml:space="preserve">atmospheric wafer robot for KLA </t>
  </si>
  <si>
    <t xml:space="preserve">106839</t>
  </si>
  <si>
    <t xml:space="preserve">XU RCM9206 robot alone</t>
  </si>
  <si>
    <t xml:space="preserve">106840</t>
  </si>
  <si>
    <t xml:space="preserve">XU RSM53E0 with XU-CM6180 controller</t>
  </si>
  <si>
    <t xml:space="preserve">atmospheric wafer robot( Ebara Frex 300 CMP)</t>
  </si>
  <si>
    <t xml:space="preserve">98498</t>
  </si>
  <si>
    <t xml:space="preserve">Yaskawa</t>
  </si>
  <si>
    <t xml:space="preserve">XU RCM9206</t>
  </si>
  <si>
    <t xml:space="preserve">atmospheric wafer robot( KLA 2835i)</t>
  </si>
  <si>
    <t xml:space="preserve">106979</t>
  </si>
  <si>
    <t xml:space="preserve">YASKAWA</t>
  </si>
  <si>
    <t xml:space="preserve">ERCR-RS10-C003</t>
  </si>
  <si>
    <t xml:space="preserve">CONTROLLER FOR DNS SU3000 ROBOT</t>
  </si>
  <si>
    <t xml:space="preserve">This is the controller for the Yaskawa robot type XU RC300D-C61.
This robot is used in the DNS SU-3000 wet wafer cleaning system.
Qty 3 available. In used, working condition. Please refer to attached 
photos for details.</t>
  </si>
  <si>
    <t xml:space="preserve">109608</t>
  </si>
  <si>
    <t xml:space="preserve">Yield Engineering</t>
  </si>
  <si>
    <t xml:space="preserve">YES-450PB6-2P</t>
  </si>
  <si>
    <t xml:space="preserve">Polyimide Bake Oven</t>
  </si>
  <si>
    <t xml:space="preserve">109609</t>
  </si>
  <si>
    <t xml:space="preserve">YES-450PB</t>
  </si>
  <si>
    <t xml:space="preserve">109614</t>
  </si>
  <si>
    <t xml:space="preserve">YES-15</t>
  </si>
  <si>
    <t xml:space="preserve">HMDS Vapor Prime Oven</t>
  </si>
  <si>
    <t xml:space="preserve">109616</t>
  </si>
  <si>
    <t xml:space="preserve">58</t>
  </si>
  <si>
    <t xml:space="preserve">109617</t>
  </si>
  <si>
    <t xml:space="preserve">15F</t>
  </si>
  <si>
    <t xml:space="preserve">109618</t>
  </si>
  <si>
    <t xml:space="preserve">LP#-M3</t>
  </si>
  <si>
    <t xml:space="preserve">109619</t>
  </si>
  <si>
    <t xml:space="preserve">109621</t>
  </si>
  <si>
    <t xml:space="preserve">58SM</t>
  </si>
  <si>
    <t xml:space="preserve">106757</t>
  </si>
  <si>
    <t xml:space="preserve">YOKOGAWA</t>
  </si>
  <si>
    <t xml:space="preserve">TS6700</t>
  </si>
  <si>
    <t xml:space="preserve">LCD DRIVER TESTER</t>
  </si>
  <si>
    <t xml:space="preserve">108056</t>
  </si>
  <si>
    <t xml:space="preserve">Yokogawa</t>
  </si>
  <si>
    <t xml:space="preserve">AL6095</t>
  </si>
  <si>
    <t xml:space="preserve">ONLY FOR SPARES USE</t>
  </si>
  <si>
    <t xml:space="preserve">100692</t>
  </si>
  <si>
    <t xml:space="preserve">ST6730A</t>
  </si>
  <si>
    <t xml:space="preserve">Logic Tester</t>
  </si>
  <si>
    <t xml:space="preserve">102577</t>
  </si>
  <si>
    <t xml:space="preserve">TS670</t>
  </si>
  <si>
    <t xml:space="preserve">Tester</t>
  </si>
  <si>
    <t xml:space="preserve">108545</t>
  </si>
  <si>
    <t xml:space="preserve">Zeiss</t>
  </si>
  <si>
    <t xml:space="preserve">Axiospect 300</t>
  </si>
  <si>
    <t xml:space="preserve">Optical Review System</t>
  </si>
  <si>
    <t xml:space="preserve">110600</t>
  </si>
  <si>
    <t xml:space="preserve">ZEISS</t>
  </si>
  <si>
    <t xml:space="preserve">Stemi 2000</t>
  </si>
  <si>
    <t xml:space="preserve">Stereozoom Microscope</t>
  </si>
  <si>
    <t xml:space="preserve">Stereomicroscope Zeiss Stemi 2000 (new, unused) with cold light source, 
incidence light and ,as an option, the seldom available transmitted light 
function. Includes also many accessories, manuals.
Stemi 2000 stereomicroscopes meet your expectations in two respects:
They offer the cost advantage of the Greenough design, while boasting 
surprising performance features.
The ultimate in 3D imaging
Thanks to their excellent optics, Stemi 2000 stereomicroscopes provide 
brilliant, sharp, distortion-free and highly resolved images – even at low 
magnifications.
Spectacular zoom factor of 7.7
If you are keen on minute structures, you will enjoy the 7.7:1 zoom range. 
Zoom in on details, either continuously or by click stops.
The commanding overview
The wide field of view already offered by the basic configuration lets you 
overview an object area greater than 35 mm in diameter.
The 0.3x supplementary lens expands this to 118 mm.
Carl Zeiss Stemi 2000 Stereomicroscopes are indisputably among the best in 
their class.
Their excellence in contrast, depth of field and resolving power makes them 
the number one choice for inspecting three-dimensional objects in nature 
and technology, as well as in specimen preparation for research and 
teaching.</t>
  </si>
  <si>
    <t xml:space="preserve">84242</t>
  </si>
  <si>
    <t xml:space="preserve">corygon 2.8/60mm</t>
  </si>
  <si>
    <t xml:space="preserve">2.8/60mm objective lens</t>
  </si>
  <si>
    <t xml:space="preserve">used,good condition</t>
  </si>
  <si>
    <t xml:space="preserve">83738</t>
  </si>
  <si>
    <t xml:space="preserve">Axiotron (spare Parts)</t>
  </si>
  <si>
    <t xml:space="preserve">Axiotron microscope spare parts</t>
  </si>
  <si>
    <t xml:space="preserve">Good Condition used assorted Zeiss Axiotron spare parts, lenses, etc.
See photos and make your best offer</t>
  </si>
  <si>
    <t xml:space="preserve">84077</t>
  </si>
  <si>
    <t xml:space="preserve">C35</t>
  </si>
  <si>
    <t xml:space="preserve">35mm Camera with microscope attachments</t>
  </si>
  <si>
    <t xml:space="preserve">Good  Condition Carl Zeiss C35 35mm camera 
With Microscope attachments
</t>
  </si>
  <si>
    <t xml:space="preserve">84097</t>
  </si>
  <si>
    <t xml:space="preserve">AxioMAT screws</t>
  </si>
  <si>
    <t xml:space="preserve">AxioMAT Thumbscrews, spare parts</t>
  </si>
  <si>
    <t xml:space="preserve">Good Condition used assorted Zeiss AxioMAT Thumbscrews, precision, for 
Zeiss Axiotron axiomat and others
qty 9 available
Price for all 9</t>
  </si>
  <si>
    <t xml:space="preserve">84101</t>
  </si>
  <si>
    <t xml:space="preserve">Turret</t>
  </si>
  <si>
    <t xml:space="preserve">Turret 4 position for Zeiss, Leica and others, good condition</t>
  </si>
  <si>
    <t xml:space="preserve">    Good used condition 4-position Turret for Zeiss, Leica and others.
</t>
  </si>
  <si>
    <t xml:space="preserve">83861</t>
  </si>
  <si>
    <t xml:space="preserve">910137</t>
  </si>
  <si>
    <t xml:space="preserve">Microscope illumination transformer</t>
  </si>
  <si>
    <t xml:space="preserve">  Good Condition used Zeiss transformer with plugs, etc, working condition
Setup for 110V USA voltage plug
910137-900
   </t>
  </si>
  <si>
    <t xml:space="preserve">83864</t>
  </si>
  <si>
    <t xml:space="preserve">990634-5100</t>
  </si>
  <si>
    <t xml:space="preserve">Joystick, Carl Zeiss</t>
  </si>
  <si>
    <t xml:space="preserve">  Good Condition used Zeiss Joystick working condition
Zeiss 990634-5100
   </t>
  </si>
  <si>
    <t xml:space="preserve">83865</t>
  </si>
  <si>
    <t xml:space="preserve">477473-0207</t>
  </si>
  <si>
    <t xml:space="preserve">Cover plate</t>
  </si>
  <si>
    <t xml:space="preserve">                
Brand new cover plate, Zeiss 477473-0207
still sealed
(Joystick cover plate?)</t>
  </si>
  <si>
    <t xml:space="preserve">83866</t>
  </si>
  <si>
    <t xml:space="preserve">475690-0206</t>
  </si>
  <si>
    <t xml:space="preserve">Joint plate</t>
  </si>
  <si>
    <t xml:space="preserve">                
Brand new joint plate, Zeiss 475690-0206-000-000
still sealed
(for Axiomat?)</t>
  </si>
  <si>
    <t xml:space="preserve">108972</t>
  </si>
  <si>
    <t xml:space="preserve">Axiospect</t>
  </si>
  <si>
    <t xml:space="preserve">-still installed and operational
-has been used only very lightly in an R and D environment
-with SMIF wafer loader
-see attached photo for details</t>
  </si>
  <si>
    <t xml:space="preserve">108216</t>
  </si>
  <si>
    <t xml:space="preserve">ZEISS </t>
  </si>
  <si>
    <t xml:space="preserve">AXIOTRON</t>
  </si>
  <si>
    <t xml:space="preserve">Inspection Micro Scope</t>
  </si>
  <si>
    <t xml:space="preserve">108217</t>
  </si>
  <si>
    <t xml:space="preserve">108218</t>
  </si>
  <si>
    <t xml:space="preserve">AXIOTRON </t>
  </si>
  <si>
    <t xml:space="preserve">High Perfomance Micro Scope</t>
  </si>
  <si>
    <t xml:space="preserve">83939</t>
  </si>
  <si>
    <t xml:space="preserve">Stage part</t>
  </si>
  <si>
    <t xml:space="preserve">moveable x,y stage part</t>
  </si>
  <si>
    <t xml:space="preserve">Used, good condition Carl Zeiss stage part
Unknown we think it was for Zeiss AxioMAT
</t>
  </si>
  <si>
    <t xml:space="preserve">71497</t>
  </si>
  <si>
    <t xml:space="preserve">ZENITH</t>
  </si>
  <si>
    <t xml:space="preserve">ZPS-400</t>
  </si>
  <si>
    <t xml:space="preserve">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</si>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</sst>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
      <sz val="8"/>
      <name val="Noto Sans CJK SC"/>
      <family val="2"/>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44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1" activeCellId="0" sqref="M1"/>
    </sheetView>
  </sheetViews>
  <sheetFormatPr defaultColWidth="9.0546875" defaultRowHeight="15.65" zeroHeight="false" outlineLevelRow="0" outlineLevelCol="0"/>
  <cols>
    <col collapsed="false" customWidth="true" hidden="false" outlineLevel="0" max="1" min="1" style="0" width="50.15"/>
    <col collapsed="false" customWidth="true" hidden="false" outlineLevel="0" max="2" min="2" style="0" width="6.81"/>
    <col collapsed="false" customWidth="true" hidden="false" outlineLevel="0" max="3" min="3" style="0" width="18.47"/>
    <col collapsed="false" customWidth="true" hidden="false" outlineLevel="0" max="4" min="4" style="0" width="29.73"/>
    <col collapsed="false" customWidth="true" hidden="false" outlineLevel="0" max="5" min="5" style="0" width="40.85"/>
    <col collapsed="false" customWidth="true" hidden="false" outlineLevel="0" max="6" min="6" style="0" width="5.28"/>
    <col collapsed="false" customWidth="true" hidden="false" outlineLevel="0" max="7" min="7" style="0" width="14.72"/>
    <col collapsed="false" customWidth="true" hidden="false" outlineLevel="0" max="10" min="10" style="0" width="11.66"/>
    <col collapsed="false" customWidth="true" hidden="false" outlineLevel="0" max="12" min="12" style="0" width="107.12"/>
    <col collapsed="false" customWidth="true" hidden="false" outlineLevel="0" max="1024" min="1006" style="0" width="11.52"/>
  </cols>
  <sheetData>
    <row r="1" customFormat="false" ht="15.65" hidden="false" customHeight="true" outlineLevel="0" collapsed="false">
      <c r="A1" s="1" t="s">
        <v>0</v>
      </c>
      <c r="B1" s="1" t="s">
        <v>1</v>
      </c>
      <c r="C1" s="1" t="s">
        <v>2</v>
      </c>
      <c r="D1" s="1" t="s">
        <v>3</v>
      </c>
      <c r="E1" s="1" t="s">
        <v>4</v>
      </c>
      <c r="F1" s="1" t="s">
        <v>5</v>
      </c>
      <c r="G1" s="1" t="s">
        <v>6</v>
      </c>
      <c r="H1" s="1" t="s">
        <v>7</v>
      </c>
      <c r="I1" s="1" t="s">
        <v>8</v>
      </c>
      <c r="J1" s="1" t="s">
        <v>9</v>
      </c>
      <c r="K1" s="1" t="s">
        <v>10</v>
      </c>
      <c r="L1" s="1" t="s">
        <v>11</v>
      </c>
    </row>
    <row r="2" customFormat="false" ht="15.65" hidden="false" customHeight="true" outlineLevel="0" collapsed="false">
      <c r="A2" s="2" t="str">
        <f aca="false">HYPERLINK("https://www.fabsurplus.com/sdi_catalog/salesItemDetails.do?id=54859")</f>
        <v>https://www.fabsurplus.com/sdi_catalog/salesItemDetails.do?id=54859</v>
      </c>
      <c r="B2" s="2" t="s">
        <v>12</v>
      </c>
      <c r="C2" s="2" t="s">
        <v>13</v>
      </c>
      <c r="D2" s="2" t="s">
        <v>14</v>
      </c>
      <c r="E2" s="2" t="s">
        <v>15</v>
      </c>
      <c r="F2" s="2" t="s">
        <v>16</v>
      </c>
      <c r="G2" s="2" t="s">
        <v>17</v>
      </c>
      <c r="H2" s="2" t="s">
        <v>18</v>
      </c>
      <c r="I2" s="3" t="n">
        <v>38657</v>
      </c>
      <c r="J2" s="2" t="s">
        <v>19</v>
      </c>
      <c r="K2" s="2" t="s">
        <v>20</v>
      </c>
      <c r="L2" s="4" t="s">
        <v>21</v>
      </c>
    </row>
    <row r="3" customFormat="false" ht="15.65" hidden="false" customHeight="true" outlineLevel="0" collapsed="false">
      <c r="A3" s="5" t="str">
        <f aca="false">HYPERLINK("https://www.fabsurplus.com/sdi_catalog/salesItemDetails.do?id=106039")</f>
        <v>https://www.fabsurplus.com/sdi_catalog/salesItemDetails.do?id=106039</v>
      </c>
      <c r="B3" s="5" t="s">
        <v>22</v>
      </c>
      <c r="C3" s="5" t="s">
        <v>23</v>
      </c>
      <c r="D3" s="5" t="s">
        <v>24</v>
      </c>
      <c r="E3" s="5" t="s">
        <v>25</v>
      </c>
      <c r="F3" s="5" t="s">
        <v>16</v>
      </c>
      <c r="G3" s="5" t="s">
        <v>26</v>
      </c>
      <c r="H3" s="5" t="s">
        <v>18</v>
      </c>
      <c r="I3" s="6" t="n">
        <v>38504</v>
      </c>
      <c r="J3" s="5" t="s">
        <v>19</v>
      </c>
      <c r="K3" s="5" t="s">
        <v>20</v>
      </c>
      <c r="L3" s="7" t="s">
        <v>27</v>
      </c>
    </row>
    <row r="4" customFormat="false" ht="15.65" hidden="false" customHeight="true" outlineLevel="0" collapsed="false">
      <c r="A4" s="2" t="str">
        <f aca="false">HYPERLINK("https://www.fabsurplus.com/sdi_catalog/salesItemDetails.do?id=98785")</f>
        <v>https://www.fabsurplus.com/sdi_catalog/salesItemDetails.do?id=98785</v>
      </c>
      <c r="B4" s="2" t="s">
        <v>28</v>
      </c>
      <c r="C4" s="2" t="s">
        <v>29</v>
      </c>
      <c r="D4" s="2" t="s">
        <v>14</v>
      </c>
      <c r="E4" s="2" t="s">
        <v>30</v>
      </c>
      <c r="F4" s="2" t="s">
        <v>16</v>
      </c>
      <c r="G4" s="2" t="s">
        <v>31</v>
      </c>
      <c r="H4" s="2" t="s">
        <v>32</v>
      </c>
      <c r="I4" s="3" t="n">
        <v>39569</v>
      </c>
      <c r="J4" s="2" t="s">
        <v>19</v>
      </c>
      <c r="K4" s="2" t="s">
        <v>20</v>
      </c>
      <c r="L4" s="4" t="s">
        <v>33</v>
      </c>
    </row>
    <row r="5" customFormat="false" ht="15.65" hidden="false" customHeight="true" outlineLevel="0" collapsed="false">
      <c r="A5" s="5" t="str">
        <f aca="false">HYPERLINK("https://www.fabsurplus.com/sdi_catalog/salesItemDetails.do?id=109082")</f>
        <v>https://www.fabsurplus.com/sdi_catalog/salesItemDetails.do?id=109082</v>
      </c>
      <c r="B5" s="5" t="s">
        <v>34</v>
      </c>
      <c r="C5" s="5" t="s">
        <v>35</v>
      </c>
      <c r="D5" s="5" t="s">
        <v>24</v>
      </c>
      <c r="E5" s="5" t="s">
        <v>36</v>
      </c>
      <c r="F5" s="5" t="s">
        <v>37</v>
      </c>
      <c r="G5" s="5" t="s">
        <v>38</v>
      </c>
      <c r="H5" s="5" t="s">
        <v>32</v>
      </c>
      <c r="I5" s="6" t="n">
        <v>35947</v>
      </c>
      <c r="J5" s="5" t="s">
        <v>19</v>
      </c>
      <c r="K5" s="5" t="s">
        <v>20</v>
      </c>
      <c r="L5" s="7" t="s">
        <v>39</v>
      </c>
    </row>
    <row r="6" customFormat="false" ht="15.65" hidden="false" customHeight="true" outlineLevel="0" collapsed="false">
      <c r="A6" s="2" t="str">
        <f aca="false">HYPERLINK("https://www.fabsurplus.com/sdi_catalog/salesItemDetails.do?id=108975")</f>
        <v>https://www.fabsurplus.com/sdi_catalog/salesItemDetails.do?id=108975</v>
      </c>
      <c r="B6" s="2" t="s">
        <v>40</v>
      </c>
      <c r="C6" s="2" t="s">
        <v>35</v>
      </c>
      <c r="D6" s="2" t="s">
        <v>24</v>
      </c>
      <c r="E6" s="2" t="s">
        <v>41</v>
      </c>
      <c r="F6" s="2" t="s">
        <v>16</v>
      </c>
      <c r="G6" s="2" t="s">
        <v>38</v>
      </c>
      <c r="H6" s="2" t="s">
        <v>18</v>
      </c>
      <c r="I6" s="3" t="n">
        <v>35947</v>
      </c>
      <c r="J6" s="2" t="s">
        <v>42</v>
      </c>
      <c r="K6" s="2" t="s">
        <v>20</v>
      </c>
      <c r="L6" s="4" t="s">
        <v>43</v>
      </c>
    </row>
    <row r="7" customFormat="false" ht="15.65" hidden="false" customHeight="true" outlineLevel="0" collapsed="false">
      <c r="A7" s="5" t="str">
        <f aca="false">HYPERLINK("https://www.fabsurplus.com/sdi_catalog/salesItemDetails.do?id=108645")</f>
        <v>https://www.fabsurplus.com/sdi_catalog/salesItemDetails.do?id=108645</v>
      </c>
      <c r="B7" s="5" t="s">
        <v>44</v>
      </c>
      <c r="C7" s="5" t="s">
        <v>45</v>
      </c>
      <c r="D7" s="5" t="s">
        <v>46</v>
      </c>
      <c r="E7" s="5" t="s">
        <v>47</v>
      </c>
      <c r="F7" s="5" t="s">
        <v>48</v>
      </c>
      <c r="G7" s="5" t="s">
        <v>49</v>
      </c>
      <c r="H7" s="5" t="s">
        <v>32</v>
      </c>
      <c r="I7" s="6" t="n">
        <v>38504</v>
      </c>
      <c r="J7" s="5" t="s">
        <v>19</v>
      </c>
      <c r="K7" s="5" t="s">
        <v>20</v>
      </c>
      <c r="L7" s="7" t="s">
        <v>50</v>
      </c>
    </row>
    <row r="8" customFormat="false" ht="15.65" hidden="false" customHeight="true" outlineLevel="0" collapsed="false">
      <c r="A8" s="2" t="str">
        <f aca="false">HYPERLINK("https://www.fabsurplus.com/sdi_catalog/salesItemDetails.do?id=108221")</f>
        <v>https://www.fabsurplus.com/sdi_catalog/salesItemDetails.do?id=108221</v>
      </c>
      <c r="B8" s="2" t="s">
        <v>51</v>
      </c>
      <c r="C8" s="2" t="s">
        <v>52</v>
      </c>
      <c r="D8" s="2" t="s">
        <v>53</v>
      </c>
      <c r="E8" s="2" t="s">
        <v>54</v>
      </c>
      <c r="F8" s="2" t="s">
        <v>55</v>
      </c>
      <c r="G8" s="2" t="s">
        <v>56</v>
      </c>
      <c r="H8" s="2"/>
      <c r="I8" s="3" t="n">
        <v>42156</v>
      </c>
      <c r="J8" s="2" t="s">
        <v>19</v>
      </c>
      <c r="K8" s="2"/>
      <c r="L8" s="2"/>
    </row>
    <row r="9" customFormat="false" ht="15.65" hidden="false" customHeight="true" outlineLevel="0" collapsed="false">
      <c r="A9" s="5" t="str">
        <f aca="false">HYPERLINK("https://www.fabsurplus.com/sdi_catalog/salesItemDetails.do?id=109540")</f>
        <v>https://www.fabsurplus.com/sdi_catalog/salesItemDetails.do?id=109540</v>
      </c>
      <c r="B9" s="5" t="s">
        <v>57</v>
      </c>
      <c r="C9" s="5" t="s">
        <v>52</v>
      </c>
      <c r="D9" s="5" t="s">
        <v>58</v>
      </c>
      <c r="E9" s="5" t="s">
        <v>59</v>
      </c>
      <c r="F9" s="5" t="s">
        <v>60</v>
      </c>
      <c r="G9" s="5" t="s">
        <v>61</v>
      </c>
      <c r="H9" s="5" t="s">
        <v>32</v>
      </c>
      <c r="I9" s="6" t="n">
        <v>38473</v>
      </c>
      <c r="J9" s="5" t="s">
        <v>19</v>
      </c>
      <c r="K9" s="5" t="s">
        <v>20</v>
      </c>
      <c r="L9" s="5"/>
    </row>
    <row r="10" customFormat="false" ht="15.65" hidden="false" customHeight="true" outlineLevel="0" collapsed="false">
      <c r="A10" s="2" t="str">
        <f aca="false">HYPERLINK("https://www.fabsurplus.com/sdi_catalog/salesItemDetails.do?id=109571")</f>
        <v>https://www.fabsurplus.com/sdi_catalog/salesItemDetails.do?id=109571</v>
      </c>
      <c r="B10" s="2" t="s">
        <v>62</v>
      </c>
      <c r="C10" s="2" t="s">
        <v>63</v>
      </c>
      <c r="D10" s="2" t="s">
        <v>58</v>
      </c>
      <c r="E10" s="2" t="s">
        <v>64</v>
      </c>
      <c r="F10" s="2" t="s">
        <v>60</v>
      </c>
      <c r="G10" s="2" t="s">
        <v>61</v>
      </c>
      <c r="H10" s="2" t="s">
        <v>18</v>
      </c>
      <c r="I10" s="3" t="n">
        <v>39934</v>
      </c>
      <c r="J10" s="2" t="s">
        <v>19</v>
      </c>
      <c r="K10" s="2" t="s">
        <v>20</v>
      </c>
      <c r="L10" s="4" t="s">
        <v>65</v>
      </c>
    </row>
    <row r="11" customFormat="false" ht="15.65" hidden="false" customHeight="true" outlineLevel="0" collapsed="false">
      <c r="A11" s="5" t="str">
        <f aca="false">HYPERLINK("https://www.fabsurplus.com/sdi_catalog/salesItemDetails.do?id=95398")</f>
        <v>https://www.fabsurplus.com/sdi_catalog/salesItemDetails.do?id=95398</v>
      </c>
      <c r="B11" s="5" t="s">
        <v>66</v>
      </c>
      <c r="C11" s="5" t="s">
        <v>67</v>
      </c>
      <c r="D11" s="5" t="s">
        <v>68</v>
      </c>
      <c r="E11" s="5" t="s">
        <v>69</v>
      </c>
      <c r="F11" s="5" t="s">
        <v>16</v>
      </c>
      <c r="G11" s="5" t="s">
        <v>70</v>
      </c>
      <c r="H11" s="5" t="s">
        <v>32</v>
      </c>
      <c r="I11" s="6" t="n">
        <v>36311.9166666667</v>
      </c>
      <c r="J11" s="5" t="s">
        <v>19</v>
      </c>
      <c r="K11" s="5" t="s">
        <v>20</v>
      </c>
      <c r="L11" s="7" t="s">
        <v>71</v>
      </c>
    </row>
    <row r="12" customFormat="false" ht="15.65" hidden="false" customHeight="true" outlineLevel="0" collapsed="false">
      <c r="A12" s="2" t="str">
        <f aca="false">HYPERLINK("https://www.fabsurplus.com/sdi_catalog/salesItemDetails.do?id=95399")</f>
        <v>https://www.fabsurplus.com/sdi_catalog/salesItemDetails.do?id=95399</v>
      </c>
      <c r="B12" s="2" t="s">
        <v>72</v>
      </c>
      <c r="C12" s="2" t="s">
        <v>67</v>
      </c>
      <c r="D12" s="2" t="s">
        <v>68</v>
      </c>
      <c r="E12" s="2" t="s">
        <v>69</v>
      </c>
      <c r="F12" s="2" t="s">
        <v>16</v>
      </c>
      <c r="G12" s="2" t="s">
        <v>70</v>
      </c>
      <c r="H12" s="2" t="s">
        <v>32</v>
      </c>
      <c r="I12" s="3" t="n">
        <v>36311.9166666667</v>
      </c>
      <c r="J12" s="2" t="s">
        <v>19</v>
      </c>
      <c r="K12" s="2" t="s">
        <v>20</v>
      </c>
      <c r="L12" s="4" t="s">
        <v>71</v>
      </c>
    </row>
    <row r="13" customFormat="false" ht="15.65" hidden="false" customHeight="true" outlineLevel="0" collapsed="false">
      <c r="A13" s="5" t="str">
        <f aca="false">HYPERLINK("https://www.fabsurplus.com/sdi_catalog/salesItemDetails.do?id=95400")</f>
        <v>https://www.fabsurplus.com/sdi_catalog/salesItemDetails.do?id=95400</v>
      </c>
      <c r="B13" s="5" t="s">
        <v>73</v>
      </c>
      <c r="C13" s="5" t="s">
        <v>67</v>
      </c>
      <c r="D13" s="5" t="s">
        <v>68</v>
      </c>
      <c r="E13" s="5" t="s">
        <v>69</v>
      </c>
      <c r="F13" s="5" t="s">
        <v>16</v>
      </c>
      <c r="G13" s="5" t="s">
        <v>70</v>
      </c>
      <c r="H13" s="5" t="s">
        <v>32</v>
      </c>
      <c r="I13" s="6" t="n">
        <v>36311.9166666667</v>
      </c>
      <c r="J13" s="5" t="s">
        <v>19</v>
      </c>
      <c r="K13" s="5" t="s">
        <v>20</v>
      </c>
      <c r="L13" s="7" t="s">
        <v>71</v>
      </c>
    </row>
    <row r="14" customFormat="false" ht="15.65" hidden="false" customHeight="true" outlineLevel="0" collapsed="false">
      <c r="A14" s="2" t="str">
        <f aca="false">HYPERLINK("https://www.fabsurplus.com/sdi_catalog/salesItemDetails.do?id=95401")</f>
        <v>https://www.fabsurplus.com/sdi_catalog/salesItemDetails.do?id=95401</v>
      </c>
      <c r="B14" s="2" t="s">
        <v>74</v>
      </c>
      <c r="C14" s="2" t="s">
        <v>67</v>
      </c>
      <c r="D14" s="2" t="s">
        <v>68</v>
      </c>
      <c r="E14" s="2" t="s">
        <v>69</v>
      </c>
      <c r="F14" s="2" t="s">
        <v>16</v>
      </c>
      <c r="G14" s="2" t="s">
        <v>70</v>
      </c>
      <c r="H14" s="2" t="s">
        <v>32</v>
      </c>
      <c r="I14" s="3" t="n">
        <v>36311.9166666667</v>
      </c>
      <c r="J14" s="2" t="s">
        <v>19</v>
      </c>
      <c r="K14" s="2" t="s">
        <v>20</v>
      </c>
      <c r="L14" s="4" t="s">
        <v>71</v>
      </c>
    </row>
    <row r="15" customFormat="false" ht="15.65" hidden="false" customHeight="true" outlineLevel="0" collapsed="false">
      <c r="A15" s="5" t="str">
        <f aca="false">HYPERLINK("https://www.fabsurplus.com/sdi_catalog/salesItemDetails.do?id=95402")</f>
        <v>https://www.fabsurplus.com/sdi_catalog/salesItemDetails.do?id=95402</v>
      </c>
      <c r="B15" s="5" t="s">
        <v>75</v>
      </c>
      <c r="C15" s="5" t="s">
        <v>67</v>
      </c>
      <c r="D15" s="5" t="s">
        <v>68</v>
      </c>
      <c r="E15" s="5" t="s">
        <v>69</v>
      </c>
      <c r="F15" s="5" t="s">
        <v>16</v>
      </c>
      <c r="G15" s="5" t="s">
        <v>70</v>
      </c>
      <c r="H15" s="5" t="s">
        <v>32</v>
      </c>
      <c r="I15" s="6" t="n">
        <v>36311.9166666667</v>
      </c>
      <c r="J15" s="5" t="s">
        <v>19</v>
      </c>
      <c r="K15" s="5" t="s">
        <v>20</v>
      </c>
      <c r="L15" s="7" t="s">
        <v>71</v>
      </c>
    </row>
    <row r="16" customFormat="false" ht="15.65" hidden="false" customHeight="true" outlineLevel="0" collapsed="false">
      <c r="A16" s="2" t="str">
        <f aca="false">HYPERLINK("https://www.fabsurplus.com/sdi_catalog/salesItemDetails.do?id=95403")</f>
        <v>https://www.fabsurplus.com/sdi_catalog/salesItemDetails.do?id=95403</v>
      </c>
      <c r="B16" s="2" t="s">
        <v>76</v>
      </c>
      <c r="C16" s="2" t="s">
        <v>67</v>
      </c>
      <c r="D16" s="2" t="s">
        <v>68</v>
      </c>
      <c r="E16" s="2" t="s">
        <v>69</v>
      </c>
      <c r="F16" s="2" t="s">
        <v>16</v>
      </c>
      <c r="G16" s="2" t="s">
        <v>70</v>
      </c>
      <c r="H16" s="2" t="s">
        <v>32</v>
      </c>
      <c r="I16" s="3" t="n">
        <v>36311.9166666667</v>
      </c>
      <c r="J16" s="2" t="s">
        <v>19</v>
      </c>
      <c r="K16" s="2" t="s">
        <v>20</v>
      </c>
      <c r="L16" s="4" t="s">
        <v>71</v>
      </c>
    </row>
    <row r="17" customFormat="false" ht="15.65" hidden="false" customHeight="true" outlineLevel="0" collapsed="false">
      <c r="A17" s="5" t="str">
        <f aca="false">HYPERLINK("https://www.fabsurplus.com/sdi_catalog/salesItemDetails.do?id=54226")</f>
        <v>https://www.fabsurplus.com/sdi_catalog/salesItemDetails.do?id=54226</v>
      </c>
      <c r="B17" s="5" t="s">
        <v>77</v>
      </c>
      <c r="C17" s="5" t="s">
        <v>67</v>
      </c>
      <c r="D17" s="5" t="s">
        <v>68</v>
      </c>
      <c r="E17" s="5" t="s">
        <v>69</v>
      </c>
      <c r="F17" s="5" t="s">
        <v>78</v>
      </c>
      <c r="G17" s="5" t="s">
        <v>70</v>
      </c>
      <c r="H17" s="5" t="s">
        <v>32</v>
      </c>
      <c r="I17" s="6" t="n">
        <v>36311.9166666667</v>
      </c>
      <c r="J17" s="5" t="s">
        <v>19</v>
      </c>
      <c r="K17" s="5" t="s">
        <v>20</v>
      </c>
      <c r="L17" s="7" t="s">
        <v>71</v>
      </c>
    </row>
    <row r="18" customFormat="false" ht="15.65" hidden="false" customHeight="true" outlineLevel="0" collapsed="false">
      <c r="A18" s="2" t="str">
        <f aca="false">HYPERLINK("https://www.fabsurplus.com/sdi_catalog/salesItemDetails.do?id=108333")</f>
        <v>https://www.fabsurplus.com/sdi_catalog/salesItemDetails.do?id=108333</v>
      </c>
      <c r="B18" s="2" t="s">
        <v>79</v>
      </c>
      <c r="C18" s="2" t="s">
        <v>80</v>
      </c>
      <c r="D18" s="2" t="s">
        <v>58</v>
      </c>
      <c r="E18" s="2" t="s">
        <v>81</v>
      </c>
      <c r="F18" s="2" t="s">
        <v>78</v>
      </c>
      <c r="G18" s="2" t="s">
        <v>61</v>
      </c>
      <c r="H18" s="2"/>
      <c r="I18" s="2"/>
      <c r="J18" s="2" t="s">
        <v>19</v>
      </c>
      <c r="K18" s="2"/>
      <c r="L18" s="2"/>
    </row>
    <row r="19" customFormat="false" ht="15.65" hidden="false" customHeight="true" outlineLevel="0" collapsed="false">
      <c r="A19" s="5" t="str">
        <f aca="false">HYPERLINK("https://www.fabsurplus.com/sdi_catalog/salesItemDetails.do?id=109124")</f>
        <v>https://www.fabsurplus.com/sdi_catalog/salesItemDetails.do?id=109124</v>
      </c>
      <c r="B19" s="5" t="s">
        <v>82</v>
      </c>
      <c r="C19" s="5" t="s">
        <v>80</v>
      </c>
      <c r="D19" s="5" t="s">
        <v>58</v>
      </c>
      <c r="E19" s="5" t="s">
        <v>83</v>
      </c>
      <c r="F19" s="5" t="s">
        <v>16</v>
      </c>
      <c r="G19" s="5" t="s">
        <v>84</v>
      </c>
      <c r="H19" s="5"/>
      <c r="I19" s="5"/>
      <c r="J19" s="5" t="s">
        <v>19</v>
      </c>
      <c r="K19" s="5"/>
      <c r="L19" s="5"/>
    </row>
    <row r="20" customFormat="false" ht="15.65" hidden="false" customHeight="true" outlineLevel="0" collapsed="false">
      <c r="A20" s="2" t="str">
        <f aca="false">HYPERLINK("https://www.fabsurplus.com/sdi_catalog/salesItemDetails.do?id=109125")</f>
        <v>https://www.fabsurplus.com/sdi_catalog/salesItemDetails.do?id=109125</v>
      </c>
      <c r="B20" s="2" t="s">
        <v>85</v>
      </c>
      <c r="C20" s="2" t="s">
        <v>80</v>
      </c>
      <c r="D20" s="2" t="s">
        <v>58</v>
      </c>
      <c r="E20" s="2" t="s">
        <v>83</v>
      </c>
      <c r="F20" s="2" t="s">
        <v>86</v>
      </c>
      <c r="G20" s="2" t="s">
        <v>84</v>
      </c>
      <c r="H20" s="2"/>
      <c r="I20" s="2"/>
      <c r="J20" s="2" t="s">
        <v>19</v>
      </c>
      <c r="K20" s="2"/>
      <c r="L20" s="2"/>
    </row>
    <row r="21" customFormat="false" ht="15.65" hidden="false" customHeight="true" outlineLevel="0" collapsed="false">
      <c r="A21" s="5" t="str">
        <f aca="false">HYPERLINK("https://www.fabsurplus.com/sdi_catalog/salesItemDetails.do?id=109126")</f>
        <v>https://www.fabsurplus.com/sdi_catalog/salesItemDetails.do?id=109126</v>
      </c>
      <c r="B21" s="5" t="s">
        <v>87</v>
      </c>
      <c r="C21" s="5" t="s">
        <v>80</v>
      </c>
      <c r="D21" s="5" t="s">
        <v>58</v>
      </c>
      <c r="E21" s="5" t="s">
        <v>83</v>
      </c>
      <c r="F21" s="5" t="s">
        <v>16</v>
      </c>
      <c r="G21" s="5" t="s">
        <v>84</v>
      </c>
      <c r="H21" s="5" t="s">
        <v>32</v>
      </c>
      <c r="I21" s="5"/>
      <c r="J21" s="5" t="s">
        <v>19</v>
      </c>
      <c r="K21" s="5" t="s">
        <v>20</v>
      </c>
      <c r="L21" s="7" t="s">
        <v>88</v>
      </c>
    </row>
    <row r="22" customFormat="false" ht="15.65" hidden="false" customHeight="true" outlineLevel="0" collapsed="false">
      <c r="A22" s="2" t="str">
        <f aca="false">HYPERLINK("https://www.fabsurplus.com/sdi_catalog/salesItemDetails.do?id=109127")</f>
        <v>https://www.fabsurplus.com/sdi_catalog/salesItemDetails.do?id=109127</v>
      </c>
      <c r="B22" s="2" t="s">
        <v>89</v>
      </c>
      <c r="C22" s="2" t="s">
        <v>80</v>
      </c>
      <c r="D22" s="2" t="s">
        <v>58</v>
      </c>
      <c r="E22" s="2" t="s">
        <v>83</v>
      </c>
      <c r="F22" s="2" t="s">
        <v>16</v>
      </c>
      <c r="G22" s="2" t="s">
        <v>84</v>
      </c>
      <c r="H22" s="2"/>
      <c r="I22" s="2"/>
      <c r="J22" s="2" t="s">
        <v>19</v>
      </c>
      <c r="K22" s="2"/>
      <c r="L22" s="2"/>
    </row>
    <row r="23" customFormat="false" ht="15.65" hidden="false" customHeight="true" outlineLevel="0" collapsed="false">
      <c r="A23" s="5" t="str">
        <f aca="false">HYPERLINK("https://www.fabsurplus.com/sdi_catalog/salesItemDetails.do?id=109128")</f>
        <v>https://www.fabsurplus.com/sdi_catalog/salesItemDetails.do?id=109128</v>
      </c>
      <c r="B23" s="5" t="s">
        <v>90</v>
      </c>
      <c r="C23" s="5" t="s">
        <v>80</v>
      </c>
      <c r="D23" s="5" t="s">
        <v>58</v>
      </c>
      <c r="E23" s="5" t="s">
        <v>83</v>
      </c>
      <c r="F23" s="5" t="s">
        <v>16</v>
      </c>
      <c r="G23" s="5" t="s">
        <v>84</v>
      </c>
      <c r="H23" s="5"/>
      <c r="I23" s="5"/>
      <c r="J23" s="5" t="s">
        <v>19</v>
      </c>
      <c r="K23" s="5"/>
      <c r="L23" s="5"/>
    </row>
    <row r="24" customFormat="false" ht="15.65" hidden="false" customHeight="true" outlineLevel="0" collapsed="false">
      <c r="A24" s="2" t="str">
        <f aca="false">HYPERLINK("https://www.fabsurplus.com/sdi_catalog/salesItemDetails.do?id=109129")</f>
        <v>https://www.fabsurplus.com/sdi_catalog/salesItemDetails.do?id=109129</v>
      </c>
      <c r="B24" s="2" t="s">
        <v>91</v>
      </c>
      <c r="C24" s="2" t="s">
        <v>80</v>
      </c>
      <c r="D24" s="2" t="s">
        <v>58</v>
      </c>
      <c r="E24" s="2" t="s">
        <v>83</v>
      </c>
      <c r="F24" s="2" t="s">
        <v>16</v>
      </c>
      <c r="G24" s="2" t="s">
        <v>84</v>
      </c>
      <c r="H24" s="2"/>
      <c r="I24" s="2"/>
      <c r="J24" s="2" t="s">
        <v>19</v>
      </c>
      <c r="K24" s="2"/>
      <c r="L24" s="2"/>
    </row>
    <row r="25" customFormat="false" ht="15.65" hidden="false" customHeight="true" outlineLevel="0" collapsed="false">
      <c r="A25" s="5" t="str">
        <f aca="false">HYPERLINK("https://www.fabsurplus.com/sdi_catalog/salesItemDetails.do?id=109130")</f>
        <v>https://www.fabsurplus.com/sdi_catalog/salesItemDetails.do?id=109130</v>
      </c>
      <c r="B25" s="5" t="s">
        <v>92</v>
      </c>
      <c r="C25" s="5" t="s">
        <v>80</v>
      </c>
      <c r="D25" s="5" t="s">
        <v>58</v>
      </c>
      <c r="E25" s="5" t="s">
        <v>83</v>
      </c>
      <c r="F25" s="5" t="s">
        <v>16</v>
      </c>
      <c r="G25" s="5" t="s">
        <v>84</v>
      </c>
      <c r="H25" s="5"/>
      <c r="I25" s="5"/>
      <c r="J25" s="5" t="s">
        <v>19</v>
      </c>
      <c r="K25" s="5"/>
      <c r="L25" s="5"/>
    </row>
    <row r="26" customFormat="false" ht="15.65" hidden="false" customHeight="true" outlineLevel="0" collapsed="false">
      <c r="A26" s="2" t="str">
        <f aca="false">HYPERLINK("https://www.fabsurplus.com/sdi_catalog/salesItemDetails.do?id=80264")</f>
        <v>https://www.fabsurplus.com/sdi_catalog/salesItemDetails.do?id=80264</v>
      </c>
      <c r="B26" s="2" t="s">
        <v>93</v>
      </c>
      <c r="C26" s="2" t="s">
        <v>94</v>
      </c>
      <c r="D26" s="2" t="s">
        <v>95</v>
      </c>
      <c r="E26" s="2" t="s">
        <v>96</v>
      </c>
      <c r="F26" s="2" t="s">
        <v>16</v>
      </c>
      <c r="G26" s="2" t="s">
        <v>97</v>
      </c>
      <c r="H26" s="2" t="s">
        <v>98</v>
      </c>
      <c r="I26" s="2"/>
      <c r="J26" s="2" t="s">
        <v>19</v>
      </c>
      <c r="K26" s="2" t="s">
        <v>20</v>
      </c>
      <c r="L26" s="2" t="s">
        <v>99</v>
      </c>
    </row>
    <row r="27" customFormat="false" ht="15.65" hidden="false" customHeight="true" outlineLevel="0" collapsed="false">
      <c r="A27" s="5" t="str">
        <f aca="false">HYPERLINK("https://www.fabsurplus.com/sdi_catalog/salesItemDetails.do?id=109289")</f>
        <v>https://www.fabsurplus.com/sdi_catalog/salesItemDetails.do?id=109289</v>
      </c>
      <c r="B27" s="5" t="s">
        <v>100</v>
      </c>
      <c r="C27" s="5" t="s">
        <v>101</v>
      </c>
      <c r="D27" s="5" t="s">
        <v>102</v>
      </c>
      <c r="E27" s="5" t="s">
        <v>103</v>
      </c>
      <c r="F27" s="5" t="s">
        <v>16</v>
      </c>
      <c r="G27" s="5" t="s">
        <v>104</v>
      </c>
      <c r="H27" s="5"/>
      <c r="I27" s="5"/>
      <c r="J27" s="5" t="s">
        <v>19</v>
      </c>
      <c r="K27" s="5"/>
      <c r="L27" s="5" t="s">
        <v>105</v>
      </c>
    </row>
    <row r="28" customFormat="false" ht="15.65" hidden="false" customHeight="true" outlineLevel="0" collapsed="false">
      <c r="A28" s="2" t="str">
        <f aca="false">HYPERLINK("https://www.fabsurplus.com/sdi_catalog/salesItemDetails.do?id=109290")</f>
        <v>https://www.fabsurplus.com/sdi_catalog/salesItemDetails.do?id=109290</v>
      </c>
      <c r="B28" s="2" t="s">
        <v>106</v>
      </c>
      <c r="C28" s="2" t="s">
        <v>101</v>
      </c>
      <c r="D28" s="2" t="s">
        <v>107</v>
      </c>
      <c r="E28" s="2" t="s">
        <v>103</v>
      </c>
      <c r="F28" s="2" t="s">
        <v>108</v>
      </c>
      <c r="G28" s="2" t="s">
        <v>104</v>
      </c>
      <c r="H28" s="2"/>
      <c r="I28" s="2"/>
      <c r="J28" s="2" t="s">
        <v>19</v>
      </c>
      <c r="K28" s="2"/>
      <c r="L28" s="2" t="s">
        <v>105</v>
      </c>
    </row>
    <row r="29" customFormat="false" ht="15.65" hidden="false" customHeight="true" outlineLevel="0" collapsed="false">
      <c r="A29" s="5" t="str">
        <f aca="false">HYPERLINK("https://www.fabsurplus.com/sdi_catalog/salesItemDetails.do?id=109291")</f>
        <v>https://www.fabsurplus.com/sdi_catalog/salesItemDetails.do?id=109291</v>
      </c>
      <c r="B29" s="5" t="s">
        <v>109</v>
      </c>
      <c r="C29" s="5" t="s">
        <v>101</v>
      </c>
      <c r="D29" s="5" t="s">
        <v>110</v>
      </c>
      <c r="E29" s="5" t="s">
        <v>103</v>
      </c>
      <c r="F29" s="5" t="s">
        <v>16</v>
      </c>
      <c r="G29" s="5" t="s">
        <v>104</v>
      </c>
      <c r="H29" s="5"/>
      <c r="I29" s="5"/>
      <c r="J29" s="5" t="s">
        <v>19</v>
      </c>
      <c r="K29" s="5"/>
      <c r="L29" s="5" t="s">
        <v>105</v>
      </c>
    </row>
    <row r="30" customFormat="false" ht="15.65" hidden="false" customHeight="true" outlineLevel="0" collapsed="false">
      <c r="A30" s="2" t="str">
        <f aca="false">HYPERLINK("https://www.fabsurplus.com/sdi_catalog/salesItemDetails.do?id=109292")</f>
        <v>https://www.fabsurplus.com/sdi_catalog/salesItemDetails.do?id=109292</v>
      </c>
      <c r="B30" s="2" t="s">
        <v>111</v>
      </c>
      <c r="C30" s="2" t="s">
        <v>101</v>
      </c>
      <c r="D30" s="2" t="s">
        <v>112</v>
      </c>
      <c r="E30" s="2" t="s">
        <v>103</v>
      </c>
      <c r="F30" s="2" t="s">
        <v>16</v>
      </c>
      <c r="G30" s="2" t="s">
        <v>104</v>
      </c>
      <c r="H30" s="2"/>
      <c r="I30" s="2"/>
      <c r="J30" s="2" t="s">
        <v>19</v>
      </c>
      <c r="K30" s="2"/>
      <c r="L30" s="2" t="s">
        <v>105</v>
      </c>
    </row>
    <row r="31" customFormat="false" ht="15.65" hidden="false" customHeight="true" outlineLevel="0" collapsed="false">
      <c r="A31" s="5" t="str">
        <f aca="false">HYPERLINK("https://www.fabsurplus.com/sdi_catalog/salesItemDetails.do?id=103225")</f>
        <v>https://www.fabsurplus.com/sdi_catalog/salesItemDetails.do?id=103225</v>
      </c>
      <c r="B31" s="5" t="s">
        <v>113</v>
      </c>
      <c r="C31" s="5" t="s">
        <v>114</v>
      </c>
      <c r="D31" s="5" t="s">
        <v>115</v>
      </c>
      <c r="E31" s="5" t="s">
        <v>116</v>
      </c>
      <c r="F31" s="5" t="s">
        <v>16</v>
      </c>
      <c r="G31" s="5" t="s">
        <v>61</v>
      </c>
      <c r="H31" s="5" t="s">
        <v>32</v>
      </c>
      <c r="I31" s="5"/>
      <c r="J31" s="5" t="s">
        <v>42</v>
      </c>
      <c r="K31" s="5" t="s">
        <v>20</v>
      </c>
      <c r="L31" s="7" t="s">
        <v>117</v>
      </c>
    </row>
    <row r="32" customFormat="false" ht="15.65" hidden="false" customHeight="true" outlineLevel="0" collapsed="false">
      <c r="A32" s="2" t="str">
        <f aca="false">HYPERLINK("https://www.fabsurplus.com/sdi_catalog/salesItemDetails.do?id=4247")</f>
        <v>https://www.fabsurplus.com/sdi_catalog/salesItemDetails.do?id=4247</v>
      </c>
      <c r="B32" s="2" t="s">
        <v>118</v>
      </c>
      <c r="C32" s="2" t="s">
        <v>114</v>
      </c>
      <c r="D32" s="2" t="s">
        <v>119</v>
      </c>
      <c r="E32" s="2" t="s">
        <v>120</v>
      </c>
      <c r="F32" s="2" t="s">
        <v>16</v>
      </c>
      <c r="G32" s="2" t="s">
        <v>104</v>
      </c>
      <c r="H32" s="2" t="s">
        <v>18</v>
      </c>
      <c r="I32" s="2"/>
      <c r="J32" s="2" t="s">
        <v>19</v>
      </c>
      <c r="K32" s="2" t="s">
        <v>20</v>
      </c>
      <c r="L32" s="2"/>
    </row>
    <row r="33" customFormat="false" ht="15.65" hidden="false" customHeight="true" outlineLevel="0" collapsed="false">
      <c r="A33" s="5" t="str">
        <f aca="false">HYPERLINK("https://www.fabsurplus.com/sdi_catalog/salesItemDetails.do?id=4249")</f>
        <v>https://www.fabsurplus.com/sdi_catalog/salesItemDetails.do?id=4249</v>
      </c>
      <c r="B33" s="5" t="s">
        <v>121</v>
      </c>
      <c r="C33" s="5" t="s">
        <v>114</v>
      </c>
      <c r="D33" s="5" t="s">
        <v>122</v>
      </c>
      <c r="E33" s="5" t="s">
        <v>123</v>
      </c>
      <c r="F33" s="5" t="s">
        <v>16</v>
      </c>
      <c r="G33" s="5" t="s">
        <v>104</v>
      </c>
      <c r="H33" s="5" t="s">
        <v>18</v>
      </c>
      <c r="I33" s="5"/>
      <c r="J33" s="5" t="s">
        <v>19</v>
      </c>
      <c r="K33" s="5" t="s">
        <v>20</v>
      </c>
      <c r="L33" s="5"/>
    </row>
    <row r="34" customFormat="false" ht="15.65" hidden="false" customHeight="true" outlineLevel="0" collapsed="false">
      <c r="A34" s="2" t="str">
        <f aca="false">HYPERLINK("https://www.fabsurplus.com/sdi_catalog/salesItemDetails.do?id=109554")</f>
        <v>https://www.fabsurplus.com/sdi_catalog/salesItemDetails.do?id=109554</v>
      </c>
      <c r="B34" s="2" t="s">
        <v>124</v>
      </c>
      <c r="C34" s="2" t="s">
        <v>114</v>
      </c>
      <c r="D34" s="2" t="s">
        <v>125</v>
      </c>
      <c r="E34" s="2" t="s">
        <v>126</v>
      </c>
      <c r="F34" s="2" t="s">
        <v>16</v>
      </c>
      <c r="G34" s="2" t="s">
        <v>61</v>
      </c>
      <c r="H34" s="2" t="s">
        <v>32</v>
      </c>
      <c r="I34" s="3" t="n">
        <v>37196</v>
      </c>
      <c r="J34" s="2" t="s">
        <v>19</v>
      </c>
      <c r="K34" s="2" t="s">
        <v>20</v>
      </c>
      <c r="L34" s="4" t="s">
        <v>127</v>
      </c>
    </row>
    <row r="35" customFormat="false" ht="15.65" hidden="false" customHeight="true" outlineLevel="0" collapsed="false">
      <c r="A35" s="5" t="str">
        <f aca="false">HYPERLINK("https://www.fabsurplus.com/sdi_catalog/salesItemDetails.do?id=108791")</f>
        <v>https://www.fabsurplus.com/sdi_catalog/salesItemDetails.do?id=108791</v>
      </c>
      <c r="B35" s="5" t="s">
        <v>128</v>
      </c>
      <c r="C35" s="5" t="s">
        <v>114</v>
      </c>
      <c r="D35" s="5" t="s">
        <v>129</v>
      </c>
      <c r="E35" s="5" t="s">
        <v>130</v>
      </c>
      <c r="F35" s="5" t="s">
        <v>16</v>
      </c>
      <c r="G35" s="5"/>
      <c r="H35" s="5"/>
      <c r="I35" s="5"/>
      <c r="J35" s="5" t="s">
        <v>42</v>
      </c>
      <c r="K35" s="5"/>
      <c r="L35" s="5" t="s">
        <v>131</v>
      </c>
    </row>
    <row r="36" customFormat="false" ht="15.65" hidden="false" customHeight="true" outlineLevel="0" collapsed="false">
      <c r="A36" s="2" t="str">
        <f aca="false">HYPERLINK("https://www.fabsurplus.com/sdi_catalog/salesItemDetails.do?id=108792")</f>
        <v>https://www.fabsurplus.com/sdi_catalog/salesItemDetails.do?id=108792</v>
      </c>
      <c r="B36" s="2" t="s">
        <v>132</v>
      </c>
      <c r="C36" s="2" t="s">
        <v>114</v>
      </c>
      <c r="D36" s="2" t="s">
        <v>133</v>
      </c>
      <c r="E36" s="2" t="s">
        <v>134</v>
      </c>
      <c r="F36" s="2" t="s">
        <v>16</v>
      </c>
      <c r="G36" s="2"/>
      <c r="H36" s="2"/>
      <c r="I36" s="2"/>
      <c r="J36" s="2" t="s">
        <v>42</v>
      </c>
      <c r="K36" s="2"/>
      <c r="L36" s="2" t="s">
        <v>131</v>
      </c>
    </row>
    <row r="37" customFormat="false" ht="15.65" hidden="false" customHeight="true" outlineLevel="0" collapsed="false">
      <c r="A37" s="5" t="str">
        <f aca="false">HYPERLINK("https://www.fabsurplus.com/sdi_catalog/salesItemDetails.do?id=108793")</f>
        <v>https://www.fabsurplus.com/sdi_catalog/salesItemDetails.do?id=108793</v>
      </c>
      <c r="B37" s="5" t="s">
        <v>135</v>
      </c>
      <c r="C37" s="5" t="s">
        <v>114</v>
      </c>
      <c r="D37" s="5" t="s">
        <v>136</v>
      </c>
      <c r="E37" s="5" t="s">
        <v>134</v>
      </c>
      <c r="F37" s="5" t="s">
        <v>16</v>
      </c>
      <c r="G37" s="5"/>
      <c r="H37" s="5"/>
      <c r="I37" s="5"/>
      <c r="J37" s="5" t="s">
        <v>42</v>
      </c>
      <c r="K37" s="5"/>
      <c r="L37" s="5" t="s">
        <v>131</v>
      </c>
    </row>
    <row r="38" customFormat="false" ht="15.65" hidden="false" customHeight="true" outlineLevel="0" collapsed="false">
      <c r="A38" s="2" t="str">
        <f aca="false">HYPERLINK("https://www.fabsurplus.com/sdi_catalog/salesItemDetails.do?id=108615")</f>
        <v>https://www.fabsurplus.com/sdi_catalog/salesItemDetails.do?id=108615</v>
      </c>
      <c r="B38" s="2" t="s">
        <v>137</v>
      </c>
      <c r="C38" s="2" t="s">
        <v>138</v>
      </c>
      <c r="D38" s="2" t="s">
        <v>139</v>
      </c>
      <c r="E38" s="2" t="s">
        <v>140</v>
      </c>
      <c r="F38" s="2" t="s">
        <v>16</v>
      </c>
      <c r="G38" s="2" t="s">
        <v>141</v>
      </c>
      <c r="H38" s="2"/>
      <c r="I38" s="2"/>
      <c r="J38" s="2" t="s">
        <v>19</v>
      </c>
      <c r="K38" s="2"/>
      <c r="L38" s="2" t="s">
        <v>142</v>
      </c>
    </row>
    <row r="39" customFormat="false" ht="15.65" hidden="false" customHeight="true" outlineLevel="0" collapsed="false">
      <c r="A39" s="5" t="str">
        <f aca="false">HYPERLINK("https://www.fabsurplus.com/sdi_catalog/salesItemDetails.do?id=108616")</f>
        <v>https://www.fabsurplus.com/sdi_catalog/salesItemDetails.do?id=108616</v>
      </c>
      <c r="B39" s="5" t="s">
        <v>143</v>
      </c>
      <c r="C39" s="5" t="s">
        <v>138</v>
      </c>
      <c r="D39" s="5" t="s">
        <v>144</v>
      </c>
      <c r="E39" s="5" t="s">
        <v>140</v>
      </c>
      <c r="F39" s="5" t="s">
        <v>145</v>
      </c>
      <c r="G39" s="5" t="s">
        <v>141</v>
      </c>
      <c r="H39" s="5"/>
      <c r="I39" s="5"/>
      <c r="J39" s="5" t="s">
        <v>19</v>
      </c>
      <c r="K39" s="5"/>
      <c r="L39" s="5" t="s">
        <v>142</v>
      </c>
    </row>
    <row r="40" customFormat="false" ht="15.65" hidden="false" customHeight="true" outlineLevel="0" collapsed="false">
      <c r="A40" s="2" t="str">
        <f aca="false">HYPERLINK("https://www.fabsurplus.com/sdi_catalog/salesItemDetails.do?id=108617")</f>
        <v>https://www.fabsurplus.com/sdi_catalog/salesItemDetails.do?id=108617</v>
      </c>
      <c r="B40" s="2" t="s">
        <v>146</v>
      </c>
      <c r="C40" s="2" t="s">
        <v>138</v>
      </c>
      <c r="D40" s="2" t="s">
        <v>147</v>
      </c>
      <c r="E40" s="2" t="s">
        <v>140</v>
      </c>
      <c r="F40" s="2" t="s">
        <v>148</v>
      </c>
      <c r="G40" s="2" t="s">
        <v>141</v>
      </c>
      <c r="H40" s="2"/>
      <c r="I40" s="2"/>
      <c r="J40" s="2" t="s">
        <v>19</v>
      </c>
      <c r="K40" s="2"/>
      <c r="L40" s="2" t="s">
        <v>142</v>
      </c>
    </row>
    <row r="41" customFormat="false" ht="15.65" hidden="false" customHeight="true" outlineLevel="0" collapsed="false">
      <c r="A41" s="5" t="str">
        <f aca="false">HYPERLINK("https://www.fabsurplus.com/sdi_catalog/salesItemDetails.do?id=108618")</f>
        <v>https://www.fabsurplus.com/sdi_catalog/salesItemDetails.do?id=108618</v>
      </c>
      <c r="B41" s="5" t="s">
        <v>149</v>
      </c>
      <c r="C41" s="5" t="s">
        <v>138</v>
      </c>
      <c r="D41" s="5" t="s">
        <v>150</v>
      </c>
      <c r="E41" s="5" t="s">
        <v>140</v>
      </c>
      <c r="F41" s="5" t="s">
        <v>151</v>
      </c>
      <c r="G41" s="5" t="s">
        <v>141</v>
      </c>
      <c r="H41" s="5"/>
      <c r="I41" s="5"/>
      <c r="J41" s="5" t="s">
        <v>19</v>
      </c>
      <c r="K41" s="5"/>
      <c r="L41" s="5" t="s">
        <v>142</v>
      </c>
    </row>
    <row r="42" customFormat="false" ht="15.65" hidden="false" customHeight="true" outlineLevel="0" collapsed="false">
      <c r="A42" s="2" t="str">
        <f aca="false">HYPERLINK("https://www.fabsurplus.com/sdi_catalog/salesItemDetails.do?id=108619")</f>
        <v>https://www.fabsurplus.com/sdi_catalog/salesItemDetails.do?id=108619</v>
      </c>
      <c r="B42" s="2" t="s">
        <v>152</v>
      </c>
      <c r="C42" s="2" t="s">
        <v>138</v>
      </c>
      <c r="D42" s="2" t="s">
        <v>153</v>
      </c>
      <c r="E42" s="2" t="s">
        <v>140</v>
      </c>
      <c r="F42" s="2" t="s">
        <v>154</v>
      </c>
      <c r="G42" s="2" t="s">
        <v>141</v>
      </c>
      <c r="H42" s="2"/>
      <c r="I42" s="2"/>
      <c r="J42" s="2" t="s">
        <v>19</v>
      </c>
      <c r="K42" s="2"/>
      <c r="L42" s="2" t="s">
        <v>142</v>
      </c>
    </row>
    <row r="43" customFormat="false" ht="15.65" hidden="false" customHeight="true" outlineLevel="0" collapsed="false">
      <c r="A43" s="5" t="str">
        <f aca="false">HYPERLINK("https://www.fabsurplus.com/sdi_catalog/salesItemDetails.do?id=98706")</f>
        <v>https://www.fabsurplus.com/sdi_catalog/salesItemDetails.do?id=98706</v>
      </c>
      <c r="B43" s="5" t="s">
        <v>155</v>
      </c>
      <c r="C43" s="5" t="s">
        <v>156</v>
      </c>
      <c r="D43" s="5" t="s">
        <v>157</v>
      </c>
      <c r="E43" s="5" t="s">
        <v>158</v>
      </c>
      <c r="F43" s="5" t="s">
        <v>16</v>
      </c>
      <c r="G43" s="5" t="s">
        <v>159</v>
      </c>
      <c r="H43" s="5" t="s">
        <v>32</v>
      </c>
      <c r="I43" s="6" t="n">
        <v>39569</v>
      </c>
      <c r="J43" s="5" t="s">
        <v>19</v>
      </c>
      <c r="K43" s="5" t="s">
        <v>20</v>
      </c>
      <c r="L43" s="7" t="s">
        <v>160</v>
      </c>
    </row>
    <row r="44" customFormat="false" ht="15.65" hidden="false" customHeight="true" outlineLevel="0" collapsed="false">
      <c r="A44" s="2" t="str">
        <f aca="false">HYPERLINK("https://www.fabsurplus.com/sdi_catalog/salesItemDetails.do?id=109622")</f>
        <v>https://www.fabsurplus.com/sdi_catalog/salesItemDetails.do?id=109622</v>
      </c>
      <c r="B44" s="2" t="s">
        <v>161</v>
      </c>
      <c r="C44" s="2" t="s">
        <v>162</v>
      </c>
      <c r="D44" s="2" t="s">
        <v>163</v>
      </c>
      <c r="E44" s="2" t="s">
        <v>164</v>
      </c>
      <c r="F44" s="2" t="s">
        <v>16</v>
      </c>
      <c r="G44" s="2" t="s">
        <v>165</v>
      </c>
      <c r="H44" s="2"/>
      <c r="I44" s="2"/>
      <c r="J44" s="2" t="s">
        <v>42</v>
      </c>
      <c r="K44" s="2"/>
      <c r="L44" s="2" t="s">
        <v>166</v>
      </c>
    </row>
    <row r="45" customFormat="false" ht="15.65" hidden="false" customHeight="true" outlineLevel="0" collapsed="false">
      <c r="A45" s="5" t="str">
        <f aca="false">HYPERLINK("https://www.fabsurplus.com/sdi_catalog/salesItemDetails.do?id=109623")</f>
        <v>https://www.fabsurplus.com/sdi_catalog/salesItemDetails.do?id=109623</v>
      </c>
      <c r="B45" s="5" t="s">
        <v>167</v>
      </c>
      <c r="C45" s="5" t="s">
        <v>162</v>
      </c>
      <c r="D45" s="5" t="s">
        <v>163</v>
      </c>
      <c r="E45" s="5" t="s">
        <v>164</v>
      </c>
      <c r="F45" s="5" t="s">
        <v>16</v>
      </c>
      <c r="G45" s="5" t="s">
        <v>165</v>
      </c>
      <c r="H45" s="5"/>
      <c r="I45" s="5"/>
      <c r="J45" s="5" t="s">
        <v>42</v>
      </c>
      <c r="K45" s="5"/>
      <c r="L45" s="5" t="s">
        <v>166</v>
      </c>
    </row>
    <row r="46" customFormat="false" ht="15.65" hidden="false" customHeight="true" outlineLevel="0" collapsed="false">
      <c r="A46" s="2" t="str">
        <f aca="false">HYPERLINK("https://www.fabsurplus.com/sdi_catalog/salesItemDetails.do?id=109624")</f>
        <v>https://www.fabsurplus.com/sdi_catalog/salesItemDetails.do?id=109624</v>
      </c>
      <c r="B46" s="2" t="s">
        <v>168</v>
      </c>
      <c r="C46" s="2" t="s">
        <v>162</v>
      </c>
      <c r="D46" s="2" t="s">
        <v>169</v>
      </c>
      <c r="E46" s="2" t="s">
        <v>170</v>
      </c>
      <c r="F46" s="2" t="s">
        <v>16</v>
      </c>
      <c r="G46" s="2" t="s">
        <v>165</v>
      </c>
      <c r="H46" s="2"/>
      <c r="I46" s="2"/>
      <c r="J46" s="2" t="s">
        <v>42</v>
      </c>
      <c r="K46" s="2"/>
      <c r="L46" s="2" t="s">
        <v>171</v>
      </c>
    </row>
    <row r="47" customFormat="false" ht="15.65" hidden="false" customHeight="true" outlineLevel="0" collapsed="false">
      <c r="A47" s="5" t="str">
        <f aca="false">HYPERLINK("https://www.fabsurplus.com/sdi_catalog/salesItemDetails.do?id=109625")</f>
        <v>https://www.fabsurplus.com/sdi_catalog/salesItemDetails.do?id=109625</v>
      </c>
      <c r="B47" s="5" t="s">
        <v>172</v>
      </c>
      <c r="C47" s="5" t="s">
        <v>162</v>
      </c>
      <c r="D47" s="5" t="s">
        <v>169</v>
      </c>
      <c r="E47" s="5" t="s">
        <v>170</v>
      </c>
      <c r="F47" s="5" t="s">
        <v>16</v>
      </c>
      <c r="G47" s="5" t="s">
        <v>165</v>
      </c>
      <c r="H47" s="5"/>
      <c r="I47" s="5"/>
      <c r="J47" s="5" t="s">
        <v>42</v>
      </c>
      <c r="K47" s="5"/>
      <c r="L47" s="5" t="s">
        <v>173</v>
      </c>
    </row>
    <row r="48" customFormat="false" ht="15.65" hidden="false" customHeight="true" outlineLevel="0" collapsed="false">
      <c r="A48" s="2" t="str">
        <f aca="false">HYPERLINK("https://www.fabsurplus.com/sdi_catalog/salesItemDetails.do?id=109626")</f>
        <v>https://www.fabsurplus.com/sdi_catalog/salesItemDetails.do?id=109626</v>
      </c>
      <c r="B48" s="2" t="s">
        <v>174</v>
      </c>
      <c r="C48" s="2" t="s">
        <v>162</v>
      </c>
      <c r="D48" s="2" t="s">
        <v>169</v>
      </c>
      <c r="E48" s="2" t="s">
        <v>170</v>
      </c>
      <c r="F48" s="2" t="s">
        <v>16</v>
      </c>
      <c r="G48" s="2" t="s">
        <v>165</v>
      </c>
      <c r="H48" s="2"/>
      <c r="I48" s="2"/>
      <c r="J48" s="2" t="s">
        <v>42</v>
      </c>
      <c r="K48" s="2"/>
      <c r="L48" s="2" t="s">
        <v>173</v>
      </c>
    </row>
    <row r="49" customFormat="false" ht="15.65" hidden="false" customHeight="true" outlineLevel="0" collapsed="false">
      <c r="A49" s="5" t="str">
        <f aca="false">HYPERLINK("https://www.fabsurplus.com/sdi_catalog/salesItemDetails.do?id=109627")</f>
        <v>https://www.fabsurplus.com/sdi_catalog/salesItemDetails.do?id=109627</v>
      </c>
      <c r="B49" s="5" t="s">
        <v>175</v>
      </c>
      <c r="C49" s="5" t="s">
        <v>162</v>
      </c>
      <c r="D49" s="5" t="s">
        <v>169</v>
      </c>
      <c r="E49" s="5" t="s">
        <v>170</v>
      </c>
      <c r="F49" s="5" t="s">
        <v>16</v>
      </c>
      <c r="G49" s="5" t="s">
        <v>165</v>
      </c>
      <c r="H49" s="5"/>
      <c r="I49" s="5"/>
      <c r="J49" s="5" t="s">
        <v>42</v>
      </c>
      <c r="K49" s="5"/>
      <c r="L49" s="5" t="s">
        <v>173</v>
      </c>
    </row>
    <row r="50" customFormat="false" ht="15.65" hidden="false" customHeight="true" outlineLevel="0" collapsed="false">
      <c r="A50" s="2" t="str">
        <f aca="false">HYPERLINK("https://www.fabsurplus.com/sdi_catalog/salesItemDetails.do?id=109628")</f>
        <v>https://www.fabsurplus.com/sdi_catalog/salesItemDetails.do?id=109628</v>
      </c>
      <c r="B50" s="2" t="s">
        <v>176</v>
      </c>
      <c r="C50" s="2" t="s">
        <v>162</v>
      </c>
      <c r="D50" s="2" t="s">
        <v>177</v>
      </c>
      <c r="E50" s="2" t="s">
        <v>170</v>
      </c>
      <c r="F50" s="2" t="s">
        <v>16</v>
      </c>
      <c r="G50" s="2" t="s">
        <v>165</v>
      </c>
      <c r="H50" s="2"/>
      <c r="I50" s="2"/>
      <c r="J50" s="2" t="s">
        <v>42</v>
      </c>
      <c r="K50" s="2"/>
      <c r="L50" s="2" t="s">
        <v>178</v>
      </c>
    </row>
    <row r="51" customFormat="false" ht="15.65" hidden="false" customHeight="true" outlineLevel="0" collapsed="false">
      <c r="A51" s="5" t="str">
        <f aca="false">HYPERLINK("https://www.fabsurplus.com/sdi_catalog/salesItemDetails.do?id=109629")</f>
        <v>https://www.fabsurplus.com/sdi_catalog/salesItemDetails.do?id=109629</v>
      </c>
      <c r="B51" s="5" t="s">
        <v>179</v>
      </c>
      <c r="C51" s="5" t="s">
        <v>162</v>
      </c>
      <c r="D51" s="5" t="s">
        <v>180</v>
      </c>
      <c r="E51" s="5" t="s">
        <v>170</v>
      </c>
      <c r="F51" s="5" t="s">
        <v>16</v>
      </c>
      <c r="G51" s="5" t="s">
        <v>165</v>
      </c>
      <c r="H51" s="5"/>
      <c r="I51" s="5"/>
      <c r="J51" s="5" t="s">
        <v>42</v>
      </c>
      <c r="K51" s="5"/>
      <c r="L51" s="5" t="s">
        <v>181</v>
      </c>
    </row>
    <row r="52" customFormat="false" ht="15.65" hidden="false" customHeight="true" outlineLevel="0" collapsed="false">
      <c r="A52" s="2" t="str">
        <f aca="false">HYPERLINK("https://www.fabsurplus.com/sdi_catalog/salesItemDetails.do?id=109312")</f>
        <v>https://www.fabsurplus.com/sdi_catalog/salesItemDetails.do?id=109312</v>
      </c>
      <c r="B52" s="2" t="s">
        <v>182</v>
      </c>
      <c r="C52" s="2" t="s">
        <v>183</v>
      </c>
      <c r="D52" s="2" t="s">
        <v>184</v>
      </c>
      <c r="E52" s="2" t="s">
        <v>103</v>
      </c>
      <c r="F52" s="2" t="s">
        <v>16</v>
      </c>
      <c r="G52" s="2" t="s">
        <v>104</v>
      </c>
      <c r="H52" s="2"/>
      <c r="I52" s="2"/>
      <c r="J52" s="2" t="s">
        <v>19</v>
      </c>
      <c r="K52" s="2"/>
      <c r="L52" s="2" t="s">
        <v>185</v>
      </c>
    </row>
    <row r="53" customFormat="false" ht="15.65" hidden="false" customHeight="true" outlineLevel="0" collapsed="false">
      <c r="A53" s="5" t="str">
        <f aca="false">HYPERLINK("https://www.fabsurplus.com/sdi_catalog/salesItemDetails.do?id=109313")</f>
        <v>https://www.fabsurplus.com/sdi_catalog/salesItemDetails.do?id=109313</v>
      </c>
      <c r="B53" s="5" t="s">
        <v>186</v>
      </c>
      <c r="C53" s="5" t="s">
        <v>183</v>
      </c>
      <c r="D53" s="5" t="s">
        <v>184</v>
      </c>
      <c r="E53" s="5" t="s">
        <v>103</v>
      </c>
      <c r="F53" s="5" t="s">
        <v>16</v>
      </c>
      <c r="G53" s="5" t="s">
        <v>104</v>
      </c>
      <c r="H53" s="5"/>
      <c r="I53" s="5"/>
      <c r="J53" s="5" t="s">
        <v>19</v>
      </c>
      <c r="K53" s="5"/>
      <c r="L53" s="5" t="s">
        <v>187</v>
      </c>
    </row>
    <row r="54" customFormat="false" ht="15.65" hidden="false" customHeight="true" outlineLevel="0" collapsed="false">
      <c r="A54" s="2" t="str">
        <f aca="false">HYPERLINK("https://www.fabsurplus.com/sdi_catalog/salesItemDetails.do?id=109314")</f>
        <v>https://www.fabsurplus.com/sdi_catalog/salesItemDetails.do?id=109314</v>
      </c>
      <c r="B54" s="2" t="s">
        <v>188</v>
      </c>
      <c r="C54" s="2" t="s">
        <v>183</v>
      </c>
      <c r="D54" s="2" t="s">
        <v>184</v>
      </c>
      <c r="E54" s="2" t="s">
        <v>103</v>
      </c>
      <c r="F54" s="2" t="s">
        <v>151</v>
      </c>
      <c r="G54" s="2" t="s">
        <v>104</v>
      </c>
      <c r="H54" s="2"/>
      <c r="I54" s="2"/>
      <c r="J54" s="2" t="s">
        <v>19</v>
      </c>
      <c r="K54" s="2"/>
      <c r="L54" s="2" t="s">
        <v>189</v>
      </c>
    </row>
    <row r="55" customFormat="false" ht="15.65" hidden="false" customHeight="true" outlineLevel="0" collapsed="false">
      <c r="A55" s="5" t="str">
        <f aca="false">HYPERLINK("https://www.fabsurplus.com/sdi_catalog/salesItemDetails.do?id=109315")</f>
        <v>https://www.fabsurplus.com/sdi_catalog/salesItemDetails.do?id=109315</v>
      </c>
      <c r="B55" s="5" t="s">
        <v>190</v>
      </c>
      <c r="C55" s="5" t="s">
        <v>183</v>
      </c>
      <c r="D55" s="5" t="s">
        <v>184</v>
      </c>
      <c r="E55" s="5" t="s">
        <v>103</v>
      </c>
      <c r="F55" s="5" t="s">
        <v>60</v>
      </c>
      <c r="G55" s="5" t="s">
        <v>104</v>
      </c>
      <c r="H55" s="5"/>
      <c r="I55" s="5"/>
      <c r="J55" s="5" t="s">
        <v>19</v>
      </c>
      <c r="K55" s="5"/>
      <c r="L55" s="5" t="s">
        <v>191</v>
      </c>
    </row>
    <row r="56" customFormat="false" ht="15.65" hidden="false" customHeight="true" outlineLevel="0" collapsed="false">
      <c r="A56" s="2" t="str">
        <f aca="false">HYPERLINK("https://www.fabsurplus.com/sdi_catalog/salesItemDetails.do?id=109316")</f>
        <v>https://www.fabsurplus.com/sdi_catalog/salesItemDetails.do?id=109316</v>
      </c>
      <c r="B56" s="2" t="s">
        <v>192</v>
      </c>
      <c r="C56" s="2" t="s">
        <v>183</v>
      </c>
      <c r="D56" s="2" t="s">
        <v>193</v>
      </c>
      <c r="E56" s="2" t="s">
        <v>103</v>
      </c>
      <c r="F56" s="2" t="s">
        <v>16</v>
      </c>
      <c r="G56" s="2" t="s">
        <v>104</v>
      </c>
      <c r="H56" s="2"/>
      <c r="I56" s="2"/>
      <c r="J56" s="2" t="s">
        <v>19</v>
      </c>
      <c r="K56" s="2"/>
      <c r="L56" s="2" t="s">
        <v>194</v>
      </c>
    </row>
    <row r="57" customFormat="false" ht="15.65" hidden="false" customHeight="true" outlineLevel="0" collapsed="false">
      <c r="A57" s="5" t="str">
        <f aca="false">HYPERLINK("https://www.fabsurplus.com/sdi_catalog/salesItemDetails.do?id=109317")</f>
        <v>https://www.fabsurplus.com/sdi_catalog/salesItemDetails.do?id=109317</v>
      </c>
      <c r="B57" s="5" t="s">
        <v>195</v>
      </c>
      <c r="C57" s="5" t="s">
        <v>183</v>
      </c>
      <c r="D57" s="5" t="s">
        <v>193</v>
      </c>
      <c r="E57" s="5" t="s">
        <v>103</v>
      </c>
      <c r="F57" s="5" t="s">
        <v>16</v>
      </c>
      <c r="G57" s="5" t="s">
        <v>104</v>
      </c>
      <c r="H57" s="5"/>
      <c r="I57" s="5"/>
      <c r="J57" s="5" t="s">
        <v>19</v>
      </c>
      <c r="K57" s="5"/>
      <c r="L57" s="5" t="s">
        <v>196</v>
      </c>
    </row>
    <row r="58" customFormat="false" ht="15.65" hidden="false" customHeight="true" outlineLevel="0" collapsed="false">
      <c r="A58" s="2" t="str">
        <f aca="false">HYPERLINK("https://www.fabsurplus.com/sdi_catalog/salesItemDetails.do?id=109318")</f>
        <v>https://www.fabsurplus.com/sdi_catalog/salesItemDetails.do?id=109318</v>
      </c>
      <c r="B58" s="2" t="s">
        <v>197</v>
      </c>
      <c r="C58" s="2" t="s">
        <v>183</v>
      </c>
      <c r="D58" s="2" t="s">
        <v>193</v>
      </c>
      <c r="E58" s="2" t="s">
        <v>103</v>
      </c>
      <c r="F58" s="2" t="s">
        <v>16</v>
      </c>
      <c r="G58" s="2" t="s">
        <v>104</v>
      </c>
      <c r="H58" s="2"/>
      <c r="I58" s="2"/>
      <c r="J58" s="2" t="s">
        <v>19</v>
      </c>
      <c r="K58" s="2"/>
      <c r="L58" s="2" t="s">
        <v>198</v>
      </c>
    </row>
    <row r="59" customFormat="false" ht="15.65" hidden="false" customHeight="true" outlineLevel="0" collapsed="false">
      <c r="A59" s="5" t="str">
        <f aca="false">HYPERLINK("https://www.fabsurplus.com/sdi_catalog/salesItemDetails.do?id=109319")</f>
        <v>https://www.fabsurplus.com/sdi_catalog/salesItemDetails.do?id=109319</v>
      </c>
      <c r="B59" s="5" t="s">
        <v>199</v>
      </c>
      <c r="C59" s="5" t="s">
        <v>183</v>
      </c>
      <c r="D59" s="5" t="s">
        <v>200</v>
      </c>
      <c r="E59" s="5" t="s">
        <v>103</v>
      </c>
      <c r="F59" s="5" t="s">
        <v>151</v>
      </c>
      <c r="G59" s="5" t="s">
        <v>104</v>
      </c>
      <c r="H59" s="5"/>
      <c r="I59" s="5"/>
      <c r="J59" s="5" t="s">
        <v>19</v>
      </c>
      <c r="K59" s="5"/>
      <c r="L59" s="5" t="s">
        <v>201</v>
      </c>
    </row>
    <row r="60" customFormat="false" ht="15.65" hidden="false" customHeight="true" outlineLevel="0" collapsed="false">
      <c r="A60" s="2" t="str">
        <f aca="false">HYPERLINK("https://www.fabsurplus.com/sdi_catalog/salesItemDetails.do?id=109320")</f>
        <v>https://www.fabsurplus.com/sdi_catalog/salesItemDetails.do?id=109320</v>
      </c>
      <c r="B60" s="2" t="s">
        <v>202</v>
      </c>
      <c r="C60" s="2" t="s">
        <v>183</v>
      </c>
      <c r="D60" s="2" t="s">
        <v>200</v>
      </c>
      <c r="E60" s="2" t="s">
        <v>103</v>
      </c>
      <c r="F60" s="2" t="s">
        <v>203</v>
      </c>
      <c r="G60" s="2" t="s">
        <v>104</v>
      </c>
      <c r="H60" s="2"/>
      <c r="I60" s="2"/>
      <c r="J60" s="2" t="s">
        <v>19</v>
      </c>
      <c r="K60" s="2"/>
      <c r="L60" s="2" t="s">
        <v>204</v>
      </c>
    </row>
    <row r="61" customFormat="false" ht="15.65" hidden="false" customHeight="true" outlineLevel="0" collapsed="false">
      <c r="A61" s="5" t="str">
        <f aca="false">HYPERLINK("https://www.fabsurplus.com/sdi_catalog/salesItemDetails.do?id=109321")</f>
        <v>https://www.fabsurplus.com/sdi_catalog/salesItemDetails.do?id=109321</v>
      </c>
      <c r="B61" s="5" t="s">
        <v>205</v>
      </c>
      <c r="C61" s="5" t="s">
        <v>183</v>
      </c>
      <c r="D61" s="5" t="s">
        <v>200</v>
      </c>
      <c r="E61" s="5" t="s">
        <v>103</v>
      </c>
      <c r="F61" s="5" t="s">
        <v>16</v>
      </c>
      <c r="G61" s="5" t="s">
        <v>104</v>
      </c>
      <c r="H61" s="5"/>
      <c r="I61" s="5"/>
      <c r="J61" s="5" t="s">
        <v>19</v>
      </c>
      <c r="K61" s="5"/>
      <c r="L61" s="5" t="s">
        <v>206</v>
      </c>
    </row>
    <row r="62" customFormat="false" ht="15.65" hidden="false" customHeight="true" outlineLevel="0" collapsed="false">
      <c r="A62" s="2" t="str">
        <f aca="false">HYPERLINK("https://www.fabsurplus.com/sdi_catalog/salesItemDetails.do?id=109322")</f>
        <v>https://www.fabsurplus.com/sdi_catalog/salesItemDetails.do?id=109322</v>
      </c>
      <c r="B62" s="2" t="s">
        <v>207</v>
      </c>
      <c r="C62" s="2" t="s">
        <v>183</v>
      </c>
      <c r="D62" s="2" t="s">
        <v>200</v>
      </c>
      <c r="E62" s="2" t="s">
        <v>103</v>
      </c>
      <c r="F62" s="2" t="s">
        <v>16</v>
      </c>
      <c r="G62" s="2" t="s">
        <v>104</v>
      </c>
      <c r="H62" s="2"/>
      <c r="I62" s="2"/>
      <c r="J62" s="2" t="s">
        <v>19</v>
      </c>
      <c r="K62" s="2"/>
      <c r="L62" s="2" t="s">
        <v>208</v>
      </c>
    </row>
    <row r="63" customFormat="false" ht="15.65" hidden="false" customHeight="true" outlineLevel="0" collapsed="false">
      <c r="A63" s="5" t="str">
        <f aca="false">HYPERLINK("https://www.fabsurplus.com/sdi_catalog/salesItemDetails.do?id=109323")</f>
        <v>https://www.fabsurplus.com/sdi_catalog/salesItemDetails.do?id=109323</v>
      </c>
      <c r="B63" s="5" t="s">
        <v>209</v>
      </c>
      <c r="C63" s="5" t="s">
        <v>183</v>
      </c>
      <c r="D63" s="5" t="s">
        <v>200</v>
      </c>
      <c r="E63" s="5" t="s">
        <v>103</v>
      </c>
      <c r="F63" s="5" t="s">
        <v>16</v>
      </c>
      <c r="G63" s="5" t="s">
        <v>104</v>
      </c>
      <c r="H63" s="5"/>
      <c r="I63" s="5"/>
      <c r="J63" s="5" t="s">
        <v>19</v>
      </c>
      <c r="K63" s="5"/>
      <c r="L63" s="5" t="s">
        <v>210</v>
      </c>
    </row>
    <row r="64" customFormat="false" ht="15.65" hidden="false" customHeight="true" outlineLevel="0" collapsed="false">
      <c r="A64" s="2" t="str">
        <f aca="false">HYPERLINK("https://www.fabsurplus.com/sdi_catalog/salesItemDetails.do?id=109324")</f>
        <v>https://www.fabsurplus.com/sdi_catalog/salesItemDetails.do?id=109324</v>
      </c>
      <c r="B64" s="2" t="s">
        <v>211</v>
      </c>
      <c r="C64" s="2" t="s">
        <v>183</v>
      </c>
      <c r="D64" s="2" t="s">
        <v>200</v>
      </c>
      <c r="E64" s="2" t="s">
        <v>103</v>
      </c>
      <c r="F64" s="2" t="s">
        <v>151</v>
      </c>
      <c r="G64" s="2" t="s">
        <v>104</v>
      </c>
      <c r="H64" s="2"/>
      <c r="I64" s="2"/>
      <c r="J64" s="2" t="s">
        <v>19</v>
      </c>
      <c r="K64" s="2"/>
      <c r="L64" s="2" t="s">
        <v>212</v>
      </c>
    </row>
    <row r="65" customFormat="false" ht="15.65" hidden="false" customHeight="true" outlineLevel="0" collapsed="false">
      <c r="A65" s="5" t="str">
        <f aca="false">HYPERLINK("https://www.fabsurplus.com/sdi_catalog/salesItemDetails.do?id=109325")</f>
        <v>https://www.fabsurplus.com/sdi_catalog/salesItemDetails.do?id=109325</v>
      </c>
      <c r="B65" s="5" t="s">
        <v>213</v>
      </c>
      <c r="C65" s="5" t="s">
        <v>183</v>
      </c>
      <c r="D65" s="5" t="s">
        <v>214</v>
      </c>
      <c r="E65" s="5" t="s">
        <v>103</v>
      </c>
      <c r="F65" s="5" t="s">
        <v>16</v>
      </c>
      <c r="G65" s="5" t="s">
        <v>104</v>
      </c>
      <c r="H65" s="5"/>
      <c r="I65" s="5"/>
      <c r="J65" s="5" t="s">
        <v>19</v>
      </c>
      <c r="K65" s="5"/>
      <c r="L65" s="5" t="s">
        <v>215</v>
      </c>
    </row>
    <row r="66" customFormat="false" ht="15.65" hidden="false" customHeight="true" outlineLevel="0" collapsed="false">
      <c r="A66" s="2" t="str">
        <f aca="false">HYPERLINK("https://www.fabsurplus.com/sdi_catalog/salesItemDetails.do?id=109326")</f>
        <v>https://www.fabsurplus.com/sdi_catalog/salesItemDetails.do?id=109326</v>
      </c>
      <c r="B66" s="2" t="s">
        <v>216</v>
      </c>
      <c r="C66" s="2" t="s">
        <v>183</v>
      </c>
      <c r="D66" s="2" t="s">
        <v>217</v>
      </c>
      <c r="E66" s="2" t="s">
        <v>103</v>
      </c>
      <c r="F66" s="2" t="s">
        <v>16</v>
      </c>
      <c r="G66" s="2" t="s">
        <v>104</v>
      </c>
      <c r="H66" s="2"/>
      <c r="I66" s="2"/>
      <c r="J66" s="2" t="s">
        <v>19</v>
      </c>
      <c r="K66" s="2"/>
      <c r="L66" s="2" t="s">
        <v>218</v>
      </c>
    </row>
    <row r="67" customFormat="false" ht="15.65" hidden="false" customHeight="true" outlineLevel="0" collapsed="false">
      <c r="A67" s="5" t="str">
        <f aca="false">HYPERLINK("https://www.fabsurplus.com/sdi_catalog/salesItemDetails.do?id=109327")</f>
        <v>https://www.fabsurplus.com/sdi_catalog/salesItemDetails.do?id=109327</v>
      </c>
      <c r="B67" s="5" t="s">
        <v>219</v>
      </c>
      <c r="C67" s="5" t="s">
        <v>183</v>
      </c>
      <c r="D67" s="5" t="s">
        <v>220</v>
      </c>
      <c r="E67" s="5" t="s">
        <v>103</v>
      </c>
      <c r="F67" s="5" t="s">
        <v>16</v>
      </c>
      <c r="G67" s="5" t="s">
        <v>104</v>
      </c>
      <c r="H67" s="5"/>
      <c r="I67" s="5"/>
      <c r="J67" s="5" t="s">
        <v>19</v>
      </c>
      <c r="K67" s="5"/>
      <c r="L67" s="5" t="s">
        <v>221</v>
      </c>
    </row>
    <row r="68" customFormat="false" ht="15.65" hidden="false" customHeight="true" outlineLevel="0" collapsed="false">
      <c r="A68" s="2" t="str">
        <f aca="false">HYPERLINK("https://www.fabsurplus.com/sdi_catalog/salesItemDetails.do?id=109328")</f>
        <v>https://www.fabsurplus.com/sdi_catalog/salesItemDetails.do?id=109328</v>
      </c>
      <c r="B68" s="2" t="s">
        <v>222</v>
      </c>
      <c r="C68" s="2" t="s">
        <v>183</v>
      </c>
      <c r="D68" s="2" t="s">
        <v>223</v>
      </c>
      <c r="E68" s="2" t="s">
        <v>103</v>
      </c>
      <c r="F68" s="2" t="s">
        <v>16</v>
      </c>
      <c r="G68" s="2" t="s">
        <v>104</v>
      </c>
      <c r="H68" s="2"/>
      <c r="I68" s="2"/>
      <c r="J68" s="2" t="s">
        <v>19</v>
      </c>
      <c r="K68" s="2"/>
      <c r="L68" s="2" t="s">
        <v>224</v>
      </c>
    </row>
    <row r="69" customFormat="false" ht="15.65" hidden="false" customHeight="true" outlineLevel="0" collapsed="false">
      <c r="A69" s="5" t="str">
        <f aca="false">HYPERLINK("https://www.fabsurplus.com/sdi_catalog/salesItemDetails.do?id=109329")</f>
        <v>https://www.fabsurplus.com/sdi_catalog/salesItemDetails.do?id=109329</v>
      </c>
      <c r="B69" s="5" t="s">
        <v>225</v>
      </c>
      <c r="C69" s="5" t="s">
        <v>183</v>
      </c>
      <c r="D69" s="5" t="s">
        <v>223</v>
      </c>
      <c r="E69" s="5" t="s">
        <v>103</v>
      </c>
      <c r="F69" s="5" t="s">
        <v>151</v>
      </c>
      <c r="G69" s="5" t="s">
        <v>104</v>
      </c>
      <c r="H69" s="5"/>
      <c r="I69" s="5"/>
      <c r="J69" s="5" t="s">
        <v>19</v>
      </c>
      <c r="K69" s="5"/>
      <c r="L69" s="5" t="s">
        <v>226</v>
      </c>
    </row>
    <row r="70" customFormat="false" ht="15.65" hidden="false" customHeight="true" outlineLevel="0" collapsed="false">
      <c r="A70" s="2" t="str">
        <f aca="false">HYPERLINK("https://www.fabsurplus.com/sdi_catalog/salesItemDetails.do?id=109330")</f>
        <v>https://www.fabsurplus.com/sdi_catalog/salesItemDetails.do?id=109330</v>
      </c>
      <c r="B70" s="2" t="s">
        <v>227</v>
      </c>
      <c r="C70" s="2" t="s">
        <v>183</v>
      </c>
      <c r="D70" s="2" t="s">
        <v>223</v>
      </c>
      <c r="E70" s="2" t="s">
        <v>103</v>
      </c>
      <c r="F70" s="2" t="s">
        <v>16</v>
      </c>
      <c r="G70" s="2" t="s">
        <v>104</v>
      </c>
      <c r="H70" s="2"/>
      <c r="I70" s="2"/>
      <c r="J70" s="2" t="s">
        <v>19</v>
      </c>
      <c r="K70" s="2"/>
      <c r="L70" s="2" t="s">
        <v>226</v>
      </c>
    </row>
    <row r="71" customFormat="false" ht="15.65" hidden="false" customHeight="true" outlineLevel="0" collapsed="false">
      <c r="A71" s="5" t="str">
        <f aca="false">HYPERLINK("https://www.fabsurplus.com/sdi_catalog/salesItemDetails.do?id=109331")</f>
        <v>https://www.fabsurplus.com/sdi_catalog/salesItemDetails.do?id=109331</v>
      </c>
      <c r="B71" s="5" t="s">
        <v>228</v>
      </c>
      <c r="C71" s="5" t="s">
        <v>183</v>
      </c>
      <c r="D71" s="5" t="s">
        <v>229</v>
      </c>
      <c r="E71" s="5" t="s">
        <v>103</v>
      </c>
      <c r="F71" s="5" t="s">
        <v>16</v>
      </c>
      <c r="G71" s="5" t="s">
        <v>104</v>
      </c>
      <c r="H71" s="5"/>
      <c r="I71" s="5"/>
      <c r="J71" s="5" t="s">
        <v>19</v>
      </c>
      <c r="K71" s="5"/>
      <c r="L71" s="5"/>
    </row>
    <row r="72" customFormat="false" ht="15.65" hidden="false" customHeight="true" outlineLevel="0" collapsed="false">
      <c r="A72" s="2" t="str">
        <f aca="false">HYPERLINK("https://www.fabsurplus.com/sdi_catalog/salesItemDetails.do?id=109332")</f>
        <v>https://www.fabsurplus.com/sdi_catalog/salesItemDetails.do?id=109332</v>
      </c>
      <c r="B72" s="2" t="s">
        <v>230</v>
      </c>
      <c r="C72" s="2" t="s">
        <v>183</v>
      </c>
      <c r="D72" s="2" t="s">
        <v>231</v>
      </c>
      <c r="E72" s="2" t="s">
        <v>103</v>
      </c>
      <c r="F72" s="2" t="s">
        <v>151</v>
      </c>
      <c r="G72" s="2" t="s">
        <v>104</v>
      </c>
      <c r="H72" s="2"/>
      <c r="I72" s="2"/>
      <c r="J72" s="2" t="s">
        <v>19</v>
      </c>
      <c r="K72" s="2"/>
      <c r="L72" s="2" t="s">
        <v>232</v>
      </c>
    </row>
    <row r="73" customFormat="false" ht="15.65" hidden="false" customHeight="true" outlineLevel="0" collapsed="false">
      <c r="A73" s="5" t="str">
        <f aca="false">HYPERLINK("https://www.fabsurplus.com/sdi_catalog/salesItemDetails.do?id=109333")</f>
        <v>https://www.fabsurplus.com/sdi_catalog/salesItemDetails.do?id=109333</v>
      </c>
      <c r="B73" s="5" t="s">
        <v>233</v>
      </c>
      <c r="C73" s="5" t="s">
        <v>183</v>
      </c>
      <c r="D73" s="5" t="s">
        <v>231</v>
      </c>
      <c r="E73" s="5" t="s">
        <v>103</v>
      </c>
      <c r="F73" s="5" t="s">
        <v>78</v>
      </c>
      <c r="G73" s="5" t="s">
        <v>104</v>
      </c>
      <c r="H73" s="5"/>
      <c r="I73" s="5"/>
      <c r="J73" s="5" t="s">
        <v>19</v>
      </c>
      <c r="K73" s="5"/>
      <c r="L73" s="5" t="s">
        <v>234</v>
      </c>
    </row>
    <row r="74" customFormat="false" ht="15.65" hidden="false" customHeight="true" outlineLevel="0" collapsed="false">
      <c r="A74" s="2" t="str">
        <f aca="false">HYPERLINK("https://www.fabsurplus.com/sdi_catalog/salesItemDetails.do?id=109334")</f>
        <v>https://www.fabsurplus.com/sdi_catalog/salesItemDetails.do?id=109334</v>
      </c>
      <c r="B74" s="2" t="s">
        <v>235</v>
      </c>
      <c r="C74" s="2" t="s">
        <v>183</v>
      </c>
      <c r="D74" s="2" t="s">
        <v>231</v>
      </c>
      <c r="E74" s="2" t="s">
        <v>103</v>
      </c>
      <c r="F74" s="2" t="s">
        <v>236</v>
      </c>
      <c r="G74" s="2" t="s">
        <v>104</v>
      </c>
      <c r="H74" s="2"/>
      <c r="I74" s="2"/>
      <c r="J74" s="2" t="s">
        <v>19</v>
      </c>
      <c r="K74" s="2"/>
      <c r="L74" s="2" t="s">
        <v>237</v>
      </c>
    </row>
    <row r="75" customFormat="false" ht="15.65" hidden="false" customHeight="true" outlineLevel="0" collapsed="false">
      <c r="A75" s="5" t="str">
        <f aca="false">HYPERLINK("https://www.fabsurplus.com/sdi_catalog/salesItemDetails.do?id=109335")</f>
        <v>https://www.fabsurplus.com/sdi_catalog/salesItemDetails.do?id=109335</v>
      </c>
      <c r="B75" s="5" t="s">
        <v>238</v>
      </c>
      <c r="C75" s="5" t="s">
        <v>183</v>
      </c>
      <c r="D75" s="5" t="s">
        <v>231</v>
      </c>
      <c r="E75" s="5" t="s">
        <v>103</v>
      </c>
      <c r="F75" s="5" t="s">
        <v>86</v>
      </c>
      <c r="G75" s="5" t="s">
        <v>104</v>
      </c>
      <c r="H75" s="5"/>
      <c r="I75" s="5"/>
      <c r="J75" s="5" t="s">
        <v>19</v>
      </c>
      <c r="K75" s="5"/>
      <c r="L75" s="5" t="s">
        <v>239</v>
      </c>
    </row>
    <row r="76" customFormat="false" ht="15.65" hidden="false" customHeight="true" outlineLevel="0" collapsed="false">
      <c r="A76" s="2" t="str">
        <f aca="false">HYPERLINK("https://www.fabsurplus.com/sdi_catalog/salesItemDetails.do?id=109336")</f>
        <v>https://www.fabsurplus.com/sdi_catalog/salesItemDetails.do?id=109336</v>
      </c>
      <c r="B76" s="2" t="s">
        <v>240</v>
      </c>
      <c r="C76" s="2" t="s">
        <v>183</v>
      </c>
      <c r="D76" s="2" t="s">
        <v>231</v>
      </c>
      <c r="E76" s="2" t="s">
        <v>103</v>
      </c>
      <c r="F76" s="2" t="s">
        <v>60</v>
      </c>
      <c r="G76" s="2" t="s">
        <v>104</v>
      </c>
      <c r="H76" s="2"/>
      <c r="I76" s="2"/>
      <c r="J76" s="2" t="s">
        <v>19</v>
      </c>
      <c r="K76" s="2"/>
      <c r="L76" s="2" t="s">
        <v>241</v>
      </c>
    </row>
    <row r="77" customFormat="false" ht="15.65" hidden="false" customHeight="true" outlineLevel="0" collapsed="false">
      <c r="A77" s="5" t="str">
        <f aca="false">HYPERLINK("https://www.fabsurplus.com/sdi_catalog/salesItemDetails.do?id=109337")</f>
        <v>https://www.fabsurplus.com/sdi_catalog/salesItemDetails.do?id=109337</v>
      </c>
      <c r="B77" s="5" t="s">
        <v>242</v>
      </c>
      <c r="C77" s="5" t="s">
        <v>183</v>
      </c>
      <c r="D77" s="5" t="s">
        <v>231</v>
      </c>
      <c r="E77" s="5" t="s">
        <v>103</v>
      </c>
      <c r="F77" s="5" t="s">
        <v>16</v>
      </c>
      <c r="G77" s="5" t="s">
        <v>104</v>
      </c>
      <c r="H77" s="5"/>
      <c r="I77" s="5"/>
      <c r="J77" s="5" t="s">
        <v>19</v>
      </c>
      <c r="K77" s="5"/>
      <c r="L77" s="5"/>
    </row>
    <row r="78" customFormat="false" ht="15.65" hidden="false" customHeight="true" outlineLevel="0" collapsed="false">
      <c r="A78" s="2" t="str">
        <f aca="false">HYPERLINK("https://www.fabsurplus.com/sdi_catalog/salesItemDetails.do?id=109338")</f>
        <v>https://www.fabsurplus.com/sdi_catalog/salesItemDetails.do?id=109338</v>
      </c>
      <c r="B78" s="2" t="s">
        <v>243</v>
      </c>
      <c r="C78" s="2" t="s">
        <v>183</v>
      </c>
      <c r="D78" s="2" t="s">
        <v>244</v>
      </c>
      <c r="E78" s="2" t="s">
        <v>103</v>
      </c>
      <c r="F78" s="2" t="s">
        <v>16</v>
      </c>
      <c r="G78" s="2" t="s">
        <v>104</v>
      </c>
      <c r="H78" s="2"/>
      <c r="I78" s="2"/>
      <c r="J78" s="2" t="s">
        <v>19</v>
      </c>
      <c r="K78" s="2"/>
      <c r="L78" s="2" t="s">
        <v>245</v>
      </c>
    </row>
    <row r="79" customFormat="false" ht="15.65" hidden="false" customHeight="true" outlineLevel="0" collapsed="false">
      <c r="A79" s="5" t="str">
        <f aca="false">HYPERLINK("https://www.fabsurplus.com/sdi_catalog/salesItemDetails.do?id=109339")</f>
        <v>https://www.fabsurplus.com/sdi_catalog/salesItemDetails.do?id=109339</v>
      </c>
      <c r="B79" s="5" t="s">
        <v>246</v>
      </c>
      <c r="C79" s="5" t="s">
        <v>183</v>
      </c>
      <c r="D79" s="5" t="s">
        <v>247</v>
      </c>
      <c r="E79" s="5" t="s">
        <v>103</v>
      </c>
      <c r="F79" s="5" t="s">
        <v>78</v>
      </c>
      <c r="G79" s="5" t="s">
        <v>104</v>
      </c>
      <c r="H79" s="5"/>
      <c r="I79" s="5"/>
      <c r="J79" s="5" t="s">
        <v>19</v>
      </c>
      <c r="K79" s="5"/>
      <c r="L79" s="5" t="s">
        <v>248</v>
      </c>
    </row>
    <row r="80" customFormat="false" ht="15.65" hidden="false" customHeight="true" outlineLevel="0" collapsed="false">
      <c r="A80" s="2" t="str">
        <f aca="false">HYPERLINK("https://www.fabsurplus.com/sdi_catalog/salesItemDetails.do?id=109340")</f>
        <v>https://www.fabsurplus.com/sdi_catalog/salesItemDetails.do?id=109340</v>
      </c>
      <c r="B80" s="2" t="s">
        <v>249</v>
      </c>
      <c r="C80" s="2" t="s">
        <v>183</v>
      </c>
      <c r="D80" s="2" t="s">
        <v>247</v>
      </c>
      <c r="E80" s="2" t="s">
        <v>103</v>
      </c>
      <c r="F80" s="2" t="s">
        <v>250</v>
      </c>
      <c r="G80" s="2" t="s">
        <v>104</v>
      </c>
      <c r="H80" s="2"/>
      <c r="I80" s="2"/>
      <c r="J80" s="2" t="s">
        <v>19</v>
      </c>
      <c r="K80" s="2"/>
      <c r="L80" s="2" t="s">
        <v>251</v>
      </c>
    </row>
    <row r="81" customFormat="false" ht="15.65" hidden="false" customHeight="true" outlineLevel="0" collapsed="false">
      <c r="A81" s="5" t="str">
        <f aca="false">HYPERLINK("https://www.fabsurplus.com/sdi_catalog/salesItemDetails.do?id=109341")</f>
        <v>https://www.fabsurplus.com/sdi_catalog/salesItemDetails.do?id=109341</v>
      </c>
      <c r="B81" s="5" t="s">
        <v>252</v>
      </c>
      <c r="C81" s="5" t="s">
        <v>183</v>
      </c>
      <c r="D81" s="5" t="s">
        <v>247</v>
      </c>
      <c r="E81" s="5" t="s">
        <v>103</v>
      </c>
      <c r="F81" s="5" t="s">
        <v>16</v>
      </c>
      <c r="G81" s="5" t="s">
        <v>104</v>
      </c>
      <c r="H81" s="5"/>
      <c r="I81" s="5"/>
      <c r="J81" s="5" t="s">
        <v>19</v>
      </c>
      <c r="K81" s="5"/>
      <c r="L81" s="5" t="s">
        <v>253</v>
      </c>
    </row>
    <row r="82" customFormat="false" ht="15.65" hidden="false" customHeight="true" outlineLevel="0" collapsed="false">
      <c r="A82" s="2" t="str">
        <f aca="false">HYPERLINK("https://www.fabsurplus.com/sdi_catalog/salesItemDetails.do?id=109342")</f>
        <v>https://www.fabsurplus.com/sdi_catalog/salesItemDetails.do?id=109342</v>
      </c>
      <c r="B82" s="2" t="s">
        <v>254</v>
      </c>
      <c r="C82" s="2" t="s">
        <v>183</v>
      </c>
      <c r="D82" s="2" t="s">
        <v>255</v>
      </c>
      <c r="E82" s="2" t="s">
        <v>103</v>
      </c>
      <c r="F82" s="2" t="s">
        <v>108</v>
      </c>
      <c r="G82" s="2" t="s">
        <v>104</v>
      </c>
      <c r="H82" s="2"/>
      <c r="I82" s="2"/>
      <c r="J82" s="2" t="s">
        <v>19</v>
      </c>
      <c r="K82" s="2"/>
      <c r="L82" s="2" t="s">
        <v>256</v>
      </c>
    </row>
    <row r="83" customFormat="false" ht="15.65" hidden="false" customHeight="true" outlineLevel="0" collapsed="false">
      <c r="A83" s="5" t="str">
        <f aca="false">HYPERLINK("https://www.fabsurplus.com/sdi_catalog/salesItemDetails.do?id=109343")</f>
        <v>https://www.fabsurplus.com/sdi_catalog/salesItemDetails.do?id=109343</v>
      </c>
      <c r="B83" s="5" t="s">
        <v>257</v>
      </c>
      <c r="C83" s="5" t="s">
        <v>183</v>
      </c>
      <c r="D83" s="5" t="s">
        <v>255</v>
      </c>
      <c r="E83" s="5" t="s">
        <v>103</v>
      </c>
      <c r="F83" s="5" t="s">
        <v>16</v>
      </c>
      <c r="G83" s="5" t="s">
        <v>104</v>
      </c>
      <c r="H83" s="5"/>
      <c r="I83" s="5"/>
      <c r="J83" s="5" t="s">
        <v>19</v>
      </c>
      <c r="K83" s="5"/>
      <c r="L83" s="5" t="s">
        <v>258</v>
      </c>
    </row>
    <row r="84" customFormat="false" ht="15.65" hidden="false" customHeight="true" outlineLevel="0" collapsed="false">
      <c r="A84" s="2" t="str">
        <f aca="false">HYPERLINK("https://www.fabsurplus.com/sdi_catalog/salesItemDetails.do?id=109344")</f>
        <v>https://www.fabsurplus.com/sdi_catalog/salesItemDetails.do?id=109344</v>
      </c>
      <c r="B84" s="2" t="s">
        <v>259</v>
      </c>
      <c r="C84" s="2" t="s">
        <v>183</v>
      </c>
      <c r="D84" s="2" t="s">
        <v>255</v>
      </c>
      <c r="E84" s="2" t="s">
        <v>103</v>
      </c>
      <c r="F84" s="2" t="s">
        <v>55</v>
      </c>
      <c r="G84" s="2" t="s">
        <v>104</v>
      </c>
      <c r="H84" s="2"/>
      <c r="I84" s="2"/>
      <c r="J84" s="2" t="s">
        <v>19</v>
      </c>
      <c r="K84" s="2"/>
      <c r="L84" s="2" t="s">
        <v>260</v>
      </c>
    </row>
    <row r="85" customFormat="false" ht="15.65" hidden="false" customHeight="true" outlineLevel="0" collapsed="false">
      <c r="A85" s="5" t="str">
        <f aca="false">HYPERLINK("https://www.fabsurplus.com/sdi_catalog/salesItemDetails.do?id=109345")</f>
        <v>https://www.fabsurplus.com/sdi_catalog/salesItemDetails.do?id=109345</v>
      </c>
      <c r="B85" s="5" t="s">
        <v>261</v>
      </c>
      <c r="C85" s="5" t="s">
        <v>183</v>
      </c>
      <c r="D85" s="5" t="s">
        <v>255</v>
      </c>
      <c r="E85" s="5" t="s">
        <v>103</v>
      </c>
      <c r="F85" s="5" t="s">
        <v>16</v>
      </c>
      <c r="G85" s="5" t="s">
        <v>104</v>
      </c>
      <c r="H85" s="5"/>
      <c r="I85" s="5"/>
      <c r="J85" s="5" t="s">
        <v>19</v>
      </c>
      <c r="K85" s="5"/>
      <c r="L85" s="5" t="s">
        <v>262</v>
      </c>
    </row>
    <row r="86" customFormat="false" ht="15.65" hidden="false" customHeight="true" outlineLevel="0" collapsed="false">
      <c r="A86" s="2" t="str">
        <f aca="false">HYPERLINK("https://www.fabsurplus.com/sdi_catalog/salesItemDetails.do?id=109346")</f>
        <v>https://www.fabsurplus.com/sdi_catalog/salesItemDetails.do?id=109346</v>
      </c>
      <c r="B86" s="2" t="s">
        <v>263</v>
      </c>
      <c r="C86" s="2" t="s">
        <v>183</v>
      </c>
      <c r="D86" s="2" t="s">
        <v>264</v>
      </c>
      <c r="E86" s="2" t="s">
        <v>103</v>
      </c>
      <c r="F86" s="2" t="s">
        <v>16</v>
      </c>
      <c r="G86" s="2" t="s">
        <v>104</v>
      </c>
      <c r="H86" s="2"/>
      <c r="I86" s="2"/>
      <c r="J86" s="2" t="s">
        <v>19</v>
      </c>
      <c r="K86" s="2"/>
      <c r="L86" s="2" t="s">
        <v>265</v>
      </c>
    </row>
    <row r="87" customFormat="false" ht="15.65" hidden="false" customHeight="true" outlineLevel="0" collapsed="false">
      <c r="A87" s="5" t="str">
        <f aca="false">HYPERLINK("https://www.fabsurplus.com/sdi_catalog/salesItemDetails.do?id=109347")</f>
        <v>https://www.fabsurplus.com/sdi_catalog/salesItemDetails.do?id=109347</v>
      </c>
      <c r="B87" s="5" t="s">
        <v>266</v>
      </c>
      <c r="C87" s="5" t="s">
        <v>183</v>
      </c>
      <c r="D87" s="5" t="s">
        <v>267</v>
      </c>
      <c r="E87" s="5" t="s">
        <v>103</v>
      </c>
      <c r="F87" s="5" t="s">
        <v>16</v>
      </c>
      <c r="G87" s="5" t="s">
        <v>104</v>
      </c>
      <c r="H87" s="5"/>
      <c r="I87" s="5"/>
      <c r="J87" s="5" t="s">
        <v>19</v>
      </c>
      <c r="K87" s="5"/>
      <c r="L87" s="5" t="s">
        <v>268</v>
      </c>
    </row>
    <row r="88" customFormat="false" ht="15.65" hidden="false" customHeight="true" outlineLevel="0" collapsed="false">
      <c r="A88" s="2" t="str">
        <f aca="false">HYPERLINK("https://www.fabsurplus.com/sdi_catalog/salesItemDetails.do?id=109348")</f>
        <v>https://www.fabsurplus.com/sdi_catalog/salesItemDetails.do?id=109348</v>
      </c>
      <c r="B88" s="2" t="s">
        <v>269</v>
      </c>
      <c r="C88" s="2" t="s">
        <v>183</v>
      </c>
      <c r="D88" s="2" t="s">
        <v>267</v>
      </c>
      <c r="E88" s="2" t="s">
        <v>103</v>
      </c>
      <c r="F88" s="2" t="s">
        <v>16</v>
      </c>
      <c r="G88" s="2" t="s">
        <v>104</v>
      </c>
      <c r="H88" s="2"/>
      <c r="I88" s="2"/>
      <c r="J88" s="2" t="s">
        <v>19</v>
      </c>
      <c r="K88" s="2"/>
      <c r="L88" s="2"/>
    </row>
    <row r="89" customFormat="false" ht="15.65" hidden="false" customHeight="true" outlineLevel="0" collapsed="false">
      <c r="A89" s="5" t="str">
        <f aca="false">HYPERLINK("https://www.fabsurplus.com/sdi_catalog/salesItemDetails.do?id=109349")</f>
        <v>https://www.fabsurplus.com/sdi_catalog/salesItemDetails.do?id=109349</v>
      </c>
      <c r="B89" s="5" t="s">
        <v>270</v>
      </c>
      <c r="C89" s="5" t="s">
        <v>183</v>
      </c>
      <c r="D89" s="5" t="s">
        <v>271</v>
      </c>
      <c r="E89" s="5" t="s">
        <v>103</v>
      </c>
      <c r="F89" s="5" t="s">
        <v>16</v>
      </c>
      <c r="G89" s="5" t="s">
        <v>104</v>
      </c>
      <c r="H89" s="5"/>
      <c r="I89" s="5"/>
      <c r="J89" s="5" t="s">
        <v>19</v>
      </c>
      <c r="K89" s="5"/>
      <c r="L89" s="5" t="s">
        <v>272</v>
      </c>
    </row>
    <row r="90" customFormat="false" ht="15.65" hidden="false" customHeight="true" outlineLevel="0" collapsed="false">
      <c r="A90" s="2" t="str">
        <f aca="false">HYPERLINK("https://www.fabsurplus.com/sdi_catalog/salesItemDetails.do?id=107064")</f>
        <v>https://www.fabsurplus.com/sdi_catalog/salesItemDetails.do?id=107064</v>
      </c>
      <c r="B90" s="2" t="s">
        <v>273</v>
      </c>
      <c r="C90" s="2" t="s">
        <v>183</v>
      </c>
      <c r="D90" s="2" t="s">
        <v>274</v>
      </c>
      <c r="E90" s="2" t="s">
        <v>164</v>
      </c>
      <c r="F90" s="2" t="s">
        <v>16</v>
      </c>
      <c r="G90" s="2" t="s">
        <v>104</v>
      </c>
      <c r="H90" s="2" t="s">
        <v>275</v>
      </c>
      <c r="I90" s="2"/>
      <c r="J90" s="2" t="s">
        <v>19</v>
      </c>
      <c r="K90" s="2" t="s">
        <v>20</v>
      </c>
      <c r="L90" s="2" t="s">
        <v>276</v>
      </c>
    </row>
    <row r="91" customFormat="false" ht="15.65" hidden="false" customHeight="true" outlineLevel="0" collapsed="false">
      <c r="A91" s="5" t="str">
        <f aca="false">HYPERLINK("https://www.fabsurplus.com/sdi_catalog/salesItemDetails.do?id=107075")</f>
        <v>https://www.fabsurplus.com/sdi_catalog/salesItemDetails.do?id=107075</v>
      </c>
      <c r="B91" s="5" t="s">
        <v>277</v>
      </c>
      <c r="C91" s="5" t="s">
        <v>183</v>
      </c>
      <c r="D91" s="5" t="s">
        <v>278</v>
      </c>
      <c r="E91" s="5" t="s">
        <v>279</v>
      </c>
      <c r="F91" s="5" t="s">
        <v>16</v>
      </c>
      <c r="G91" s="5" t="s">
        <v>104</v>
      </c>
      <c r="H91" s="5" t="s">
        <v>275</v>
      </c>
      <c r="I91" s="5"/>
      <c r="J91" s="5" t="s">
        <v>19</v>
      </c>
      <c r="K91" s="5" t="s">
        <v>20</v>
      </c>
      <c r="L91" s="5" t="s">
        <v>280</v>
      </c>
    </row>
    <row r="92" customFormat="false" ht="15.65" hidden="false" customHeight="true" outlineLevel="0" collapsed="false">
      <c r="A92" s="2" t="str">
        <f aca="false">HYPERLINK("https://www.fabsurplus.com/sdi_catalog/salesItemDetails.do?id=107108")</f>
        <v>https://www.fabsurplus.com/sdi_catalog/salesItemDetails.do?id=107108</v>
      </c>
      <c r="B92" s="2" t="s">
        <v>281</v>
      </c>
      <c r="C92" s="2" t="s">
        <v>183</v>
      </c>
      <c r="D92" s="2" t="s">
        <v>282</v>
      </c>
      <c r="E92" s="2" t="s">
        <v>279</v>
      </c>
      <c r="F92" s="2" t="s">
        <v>16</v>
      </c>
      <c r="G92" s="2" t="s">
        <v>104</v>
      </c>
      <c r="H92" s="2" t="s">
        <v>275</v>
      </c>
      <c r="I92" s="2"/>
      <c r="J92" s="2" t="s">
        <v>19</v>
      </c>
      <c r="K92" s="2" t="s">
        <v>20</v>
      </c>
      <c r="L92" s="2" t="s">
        <v>283</v>
      </c>
    </row>
    <row r="93" customFormat="false" ht="15.65" hidden="false" customHeight="true" outlineLevel="0" collapsed="false">
      <c r="A93" s="5" t="str">
        <f aca="false">HYPERLINK("https://www.fabsurplus.com/sdi_catalog/salesItemDetails.do?id=107111")</f>
        <v>https://www.fabsurplus.com/sdi_catalog/salesItemDetails.do?id=107111</v>
      </c>
      <c r="B93" s="5" t="s">
        <v>284</v>
      </c>
      <c r="C93" s="5" t="s">
        <v>183</v>
      </c>
      <c r="D93" s="5" t="s">
        <v>285</v>
      </c>
      <c r="E93" s="5" t="s">
        <v>279</v>
      </c>
      <c r="F93" s="5" t="s">
        <v>16</v>
      </c>
      <c r="G93" s="5" t="s">
        <v>104</v>
      </c>
      <c r="H93" s="5" t="s">
        <v>275</v>
      </c>
      <c r="I93" s="5"/>
      <c r="J93" s="5" t="s">
        <v>286</v>
      </c>
      <c r="K93" s="5"/>
      <c r="L93" s="5" t="s">
        <v>287</v>
      </c>
    </row>
    <row r="94" customFormat="false" ht="15.65" hidden="false" customHeight="true" outlineLevel="0" collapsed="false">
      <c r="A94" s="2" t="str">
        <f aca="false">HYPERLINK("https://www.fabsurplus.com/sdi_catalog/salesItemDetails.do?id=107114")</f>
        <v>https://www.fabsurplus.com/sdi_catalog/salesItemDetails.do?id=107114</v>
      </c>
      <c r="B94" s="2" t="s">
        <v>288</v>
      </c>
      <c r="C94" s="2" t="s">
        <v>183</v>
      </c>
      <c r="D94" s="2" t="s">
        <v>289</v>
      </c>
      <c r="E94" s="2" t="s">
        <v>279</v>
      </c>
      <c r="F94" s="2" t="s">
        <v>16</v>
      </c>
      <c r="G94" s="2" t="s">
        <v>104</v>
      </c>
      <c r="H94" s="2" t="s">
        <v>275</v>
      </c>
      <c r="I94" s="2"/>
      <c r="J94" s="2" t="s">
        <v>19</v>
      </c>
      <c r="K94" s="2" t="s">
        <v>20</v>
      </c>
      <c r="L94" s="2" t="s">
        <v>290</v>
      </c>
    </row>
    <row r="95" customFormat="false" ht="15.65" hidden="false" customHeight="true" outlineLevel="0" collapsed="false">
      <c r="A95" s="5" t="str">
        <f aca="false">HYPERLINK("https://www.fabsurplus.com/sdi_catalog/salesItemDetails.do?id=107168")</f>
        <v>https://www.fabsurplus.com/sdi_catalog/salesItemDetails.do?id=107168</v>
      </c>
      <c r="B95" s="5" t="s">
        <v>291</v>
      </c>
      <c r="C95" s="5" t="s">
        <v>183</v>
      </c>
      <c r="D95" s="5" t="s">
        <v>292</v>
      </c>
      <c r="E95" s="5" t="s">
        <v>279</v>
      </c>
      <c r="F95" s="5" t="s">
        <v>16</v>
      </c>
      <c r="G95" s="5" t="s">
        <v>104</v>
      </c>
      <c r="H95" s="5" t="s">
        <v>18</v>
      </c>
      <c r="I95" s="5"/>
      <c r="J95" s="5" t="s">
        <v>19</v>
      </c>
      <c r="K95" s="5" t="s">
        <v>20</v>
      </c>
      <c r="L95" s="5" t="s">
        <v>293</v>
      </c>
    </row>
    <row r="96" customFormat="false" ht="15.65" hidden="false" customHeight="true" outlineLevel="0" collapsed="false">
      <c r="A96" s="2" t="str">
        <f aca="false">HYPERLINK("https://www.fabsurplus.com/sdi_catalog/salesItemDetails.do?id=107176")</f>
        <v>https://www.fabsurplus.com/sdi_catalog/salesItemDetails.do?id=107176</v>
      </c>
      <c r="B96" s="2" t="s">
        <v>294</v>
      </c>
      <c r="C96" s="2" t="s">
        <v>183</v>
      </c>
      <c r="D96" s="2" t="s">
        <v>295</v>
      </c>
      <c r="E96" s="2" t="s">
        <v>279</v>
      </c>
      <c r="F96" s="2" t="s">
        <v>16</v>
      </c>
      <c r="G96" s="2" t="s">
        <v>104</v>
      </c>
      <c r="H96" s="2"/>
      <c r="I96" s="2"/>
      <c r="J96" s="2" t="s">
        <v>19</v>
      </c>
      <c r="K96" s="2"/>
      <c r="L96" s="2" t="s">
        <v>296</v>
      </c>
    </row>
    <row r="97" customFormat="false" ht="15.65" hidden="false" customHeight="true" outlineLevel="0" collapsed="false">
      <c r="A97" s="5" t="str">
        <f aca="false">HYPERLINK("https://www.fabsurplus.com/sdi_catalog/salesItemDetails.do?id=108719")</f>
        <v>https://www.fabsurplus.com/sdi_catalog/salesItemDetails.do?id=108719</v>
      </c>
      <c r="B97" s="5" t="s">
        <v>297</v>
      </c>
      <c r="C97" s="5" t="s">
        <v>298</v>
      </c>
      <c r="D97" s="5" t="s">
        <v>299</v>
      </c>
      <c r="E97" s="5" t="s">
        <v>300</v>
      </c>
      <c r="F97" s="5" t="s">
        <v>16</v>
      </c>
      <c r="G97" s="5" t="s">
        <v>97</v>
      </c>
      <c r="H97" s="5" t="s">
        <v>18</v>
      </c>
      <c r="I97" s="5"/>
      <c r="J97" s="5" t="s">
        <v>19</v>
      </c>
      <c r="K97" s="5" t="s">
        <v>20</v>
      </c>
      <c r="L97" s="7" t="s">
        <v>301</v>
      </c>
    </row>
    <row r="98" customFormat="false" ht="15.65" hidden="false" customHeight="true" outlineLevel="0" collapsed="false">
      <c r="A98" s="2" t="str">
        <f aca="false">HYPERLINK("https://www.fabsurplus.com/sdi_catalog/salesItemDetails.do?id=107209")</f>
        <v>https://www.fabsurplus.com/sdi_catalog/salesItemDetails.do?id=107209</v>
      </c>
      <c r="B98" s="2" t="s">
        <v>302</v>
      </c>
      <c r="C98" s="2" t="s">
        <v>183</v>
      </c>
      <c r="D98" s="2" t="s">
        <v>303</v>
      </c>
      <c r="E98" s="2" t="s">
        <v>279</v>
      </c>
      <c r="F98" s="2" t="s">
        <v>16</v>
      </c>
      <c r="G98" s="2" t="s">
        <v>104</v>
      </c>
      <c r="H98" s="2" t="s">
        <v>275</v>
      </c>
      <c r="I98" s="2"/>
      <c r="J98" s="2" t="s">
        <v>19</v>
      </c>
      <c r="K98" s="2" t="s">
        <v>20</v>
      </c>
      <c r="L98" s="2" t="s">
        <v>304</v>
      </c>
    </row>
    <row r="99" customFormat="false" ht="15.65" hidden="false" customHeight="true" outlineLevel="0" collapsed="false">
      <c r="A99" s="5" t="str">
        <f aca="false">HYPERLINK("https://www.fabsurplus.com/sdi_catalog/salesItemDetails.do?id=107241")</f>
        <v>https://www.fabsurplus.com/sdi_catalog/salesItemDetails.do?id=107241</v>
      </c>
      <c r="B99" s="5" t="s">
        <v>305</v>
      </c>
      <c r="C99" s="5" t="s">
        <v>183</v>
      </c>
      <c r="D99" s="5" t="s">
        <v>306</v>
      </c>
      <c r="E99" s="5" t="s">
        <v>279</v>
      </c>
      <c r="F99" s="5" t="s">
        <v>16</v>
      </c>
      <c r="G99" s="5" t="s">
        <v>104</v>
      </c>
      <c r="H99" s="5" t="s">
        <v>275</v>
      </c>
      <c r="I99" s="5"/>
      <c r="J99" s="5" t="s">
        <v>19</v>
      </c>
      <c r="K99" s="5"/>
      <c r="L99" s="7" t="s">
        <v>307</v>
      </c>
    </row>
    <row r="100" customFormat="false" ht="15.65" hidden="false" customHeight="true" outlineLevel="0" collapsed="false">
      <c r="A100" s="2" t="str">
        <f aca="false">HYPERLINK("https://www.fabsurplus.com/sdi_catalog/salesItemDetails.do?id=109293")</f>
        <v>https://www.fabsurplus.com/sdi_catalog/salesItemDetails.do?id=109293</v>
      </c>
      <c r="B100" s="2" t="s">
        <v>308</v>
      </c>
      <c r="C100" s="2" t="s">
        <v>183</v>
      </c>
      <c r="D100" s="2" t="s">
        <v>309</v>
      </c>
      <c r="E100" s="2" t="s">
        <v>103</v>
      </c>
      <c r="F100" s="2" t="s">
        <v>310</v>
      </c>
      <c r="G100" s="2" t="s">
        <v>104</v>
      </c>
      <c r="H100" s="2"/>
      <c r="I100" s="2"/>
      <c r="J100" s="2" t="s">
        <v>19</v>
      </c>
      <c r="K100" s="2"/>
      <c r="L100" s="2" t="s">
        <v>311</v>
      </c>
    </row>
    <row r="101" customFormat="false" ht="15.65" hidden="false" customHeight="true" outlineLevel="0" collapsed="false">
      <c r="A101" s="5" t="str">
        <f aca="false">HYPERLINK("https://www.fabsurplus.com/sdi_catalog/salesItemDetails.do?id=107246")</f>
        <v>https://www.fabsurplus.com/sdi_catalog/salesItemDetails.do?id=107246</v>
      </c>
      <c r="B101" s="5" t="s">
        <v>312</v>
      </c>
      <c r="C101" s="5" t="s">
        <v>183</v>
      </c>
      <c r="D101" s="5" t="s">
        <v>313</v>
      </c>
      <c r="E101" s="5" t="s">
        <v>279</v>
      </c>
      <c r="F101" s="5" t="s">
        <v>16</v>
      </c>
      <c r="G101" s="5" t="s">
        <v>104</v>
      </c>
      <c r="H101" s="5" t="s">
        <v>275</v>
      </c>
      <c r="I101" s="5"/>
      <c r="J101" s="5" t="s">
        <v>19</v>
      </c>
      <c r="K101" s="5" t="s">
        <v>20</v>
      </c>
      <c r="L101" s="5" t="s">
        <v>314</v>
      </c>
    </row>
    <row r="102" customFormat="false" ht="15.65" hidden="false" customHeight="true" outlineLevel="0" collapsed="false">
      <c r="A102" s="2" t="str">
        <f aca="false">HYPERLINK("https://www.fabsurplus.com/sdi_catalog/salesItemDetails.do?id=109294")</f>
        <v>https://www.fabsurplus.com/sdi_catalog/salesItemDetails.do?id=109294</v>
      </c>
      <c r="B102" s="2" t="s">
        <v>315</v>
      </c>
      <c r="C102" s="2" t="s">
        <v>183</v>
      </c>
      <c r="D102" s="2" t="s">
        <v>309</v>
      </c>
      <c r="E102" s="2" t="s">
        <v>103</v>
      </c>
      <c r="F102" s="2" t="s">
        <v>16</v>
      </c>
      <c r="G102" s="2" t="s">
        <v>104</v>
      </c>
      <c r="H102" s="2"/>
      <c r="I102" s="2"/>
      <c r="J102" s="2" t="s">
        <v>19</v>
      </c>
      <c r="K102" s="2"/>
      <c r="L102" s="2" t="s">
        <v>316</v>
      </c>
    </row>
    <row r="103" customFormat="false" ht="15.65" hidden="false" customHeight="true" outlineLevel="0" collapsed="false">
      <c r="A103" s="5" t="str">
        <f aca="false">HYPERLINK("https://www.fabsurplus.com/sdi_catalog/salesItemDetails.do?id=109295")</f>
        <v>https://www.fabsurplus.com/sdi_catalog/salesItemDetails.do?id=109295</v>
      </c>
      <c r="B103" s="5" t="s">
        <v>317</v>
      </c>
      <c r="C103" s="5" t="s">
        <v>183</v>
      </c>
      <c r="D103" s="5" t="s">
        <v>309</v>
      </c>
      <c r="E103" s="5" t="s">
        <v>103</v>
      </c>
      <c r="F103" s="5" t="s">
        <v>16</v>
      </c>
      <c r="G103" s="5" t="s">
        <v>104</v>
      </c>
      <c r="H103" s="5"/>
      <c r="I103" s="5"/>
      <c r="J103" s="5" t="s">
        <v>19</v>
      </c>
      <c r="K103" s="5"/>
      <c r="L103" s="5" t="s">
        <v>318</v>
      </c>
    </row>
    <row r="104" customFormat="false" ht="15.65" hidden="false" customHeight="true" outlineLevel="0" collapsed="false">
      <c r="A104" s="2" t="str">
        <f aca="false">HYPERLINK("https://www.fabsurplus.com/sdi_catalog/salesItemDetails.do?id=109296")</f>
        <v>https://www.fabsurplus.com/sdi_catalog/salesItemDetails.do?id=109296</v>
      </c>
      <c r="B104" s="2" t="s">
        <v>319</v>
      </c>
      <c r="C104" s="2" t="s">
        <v>183</v>
      </c>
      <c r="D104" s="2" t="s">
        <v>320</v>
      </c>
      <c r="E104" s="2" t="s">
        <v>103</v>
      </c>
      <c r="F104" s="2" t="s">
        <v>321</v>
      </c>
      <c r="G104" s="2" t="s">
        <v>104</v>
      </c>
      <c r="H104" s="2"/>
      <c r="I104" s="2"/>
      <c r="J104" s="2" t="s">
        <v>19</v>
      </c>
      <c r="K104" s="2"/>
      <c r="L104" s="2" t="s">
        <v>322</v>
      </c>
    </row>
    <row r="105" customFormat="false" ht="15.65" hidden="false" customHeight="true" outlineLevel="0" collapsed="false">
      <c r="A105" s="5" t="str">
        <f aca="false">HYPERLINK("https://www.fabsurplus.com/sdi_catalog/salesItemDetails.do?id=109297")</f>
        <v>https://www.fabsurplus.com/sdi_catalog/salesItemDetails.do?id=109297</v>
      </c>
      <c r="B105" s="5" t="s">
        <v>323</v>
      </c>
      <c r="C105" s="5" t="s">
        <v>183</v>
      </c>
      <c r="D105" s="5" t="s">
        <v>320</v>
      </c>
      <c r="E105" s="5" t="s">
        <v>103</v>
      </c>
      <c r="F105" s="5" t="s">
        <v>151</v>
      </c>
      <c r="G105" s="5" t="s">
        <v>104</v>
      </c>
      <c r="H105" s="5"/>
      <c r="I105" s="5"/>
      <c r="J105" s="5" t="s">
        <v>19</v>
      </c>
      <c r="K105" s="5"/>
      <c r="L105" s="5" t="s">
        <v>324</v>
      </c>
    </row>
    <row r="106" customFormat="false" ht="15.65" hidden="false" customHeight="true" outlineLevel="0" collapsed="false">
      <c r="A106" s="2" t="str">
        <f aca="false">HYPERLINK("https://www.fabsurplus.com/sdi_catalog/salesItemDetails.do?id=109298")</f>
        <v>https://www.fabsurplus.com/sdi_catalog/salesItemDetails.do?id=109298</v>
      </c>
      <c r="B106" s="2" t="s">
        <v>325</v>
      </c>
      <c r="C106" s="2" t="s">
        <v>183</v>
      </c>
      <c r="D106" s="2" t="s">
        <v>320</v>
      </c>
      <c r="E106" s="2" t="s">
        <v>103</v>
      </c>
      <c r="F106" s="2" t="s">
        <v>151</v>
      </c>
      <c r="G106" s="2" t="s">
        <v>104</v>
      </c>
      <c r="H106" s="2"/>
      <c r="I106" s="2"/>
      <c r="J106" s="2" t="s">
        <v>19</v>
      </c>
      <c r="K106" s="2"/>
      <c r="L106" s="2" t="s">
        <v>326</v>
      </c>
    </row>
    <row r="107" customFormat="false" ht="15.65" hidden="false" customHeight="true" outlineLevel="0" collapsed="false">
      <c r="A107" s="5" t="str">
        <f aca="false">HYPERLINK("https://www.fabsurplus.com/sdi_catalog/salesItemDetails.do?id=109299")</f>
        <v>https://www.fabsurplus.com/sdi_catalog/salesItemDetails.do?id=109299</v>
      </c>
      <c r="B107" s="5" t="s">
        <v>327</v>
      </c>
      <c r="C107" s="5" t="s">
        <v>183</v>
      </c>
      <c r="D107" s="5" t="s">
        <v>320</v>
      </c>
      <c r="E107" s="5" t="s">
        <v>103</v>
      </c>
      <c r="F107" s="5" t="s">
        <v>16</v>
      </c>
      <c r="G107" s="5" t="s">
        <v>104</v>
      </c>
      <c r="H107" s="5"/>
      <c r="I107" s="5"/>
      <c r="J107" s="5" t="s">
        <v>19</v>
      </c>
      <c r="K107" s="5"/>
      <c r="L107" s="5" t="s">
        <v>328</v>
      </c>
    </row>
    <row r="108" customFormat="false" ht="15.65" hidden="false" customHeight="true" outlineLevel="0" collapsed="false">
      <c r="A108" s="2" t="str">
        <f aca="false">HYPERLINK("https://www.fabsurplus.com/sdi_catalog/salesItemDetails.do?id=109300")</f>
        <v>https://www.fabsurplus.com/sdi_catalog/salesItemDetails.do?id=109300</v>
      </c>
      <c r="B108" s="2" t="s">
        <v>329</v>
      </c>
      <c r="C108" s="2" t="s">
        <v>183</v>
      </c>
      <c r="D108" s="2" t="s">
        <v>330</v>
      </c>
      <c r="E108" s="2" t="s">
        <v>103</v>
      </c>
      <c r="F108" s="2" t="s">
        <v>16</v>
      </c>
      <c r="G108" s="2" t="s">
        <v>104</v>
      </c>
      <c r="H108" s="2"/>
      <c r="I108" s="2"/>
      <c r="J108" s="2" t="s">
        <v>19</v>
      </c>
      <c r="K108" s="2"/>
      <c r="L108" s="2" t="s">
        <v>331</v>
      </c>
    </row>
    <row r="109" customFormat="false" ht="15.65" hidden="false" customHeight="true" outlineLevel="0" collapsed="false">
      <c r="A109" s="5" t="str">
        <f aca="false">HYPERLINK("https://www.fabsurplus.com/sdi_catalog/salesItemDetails.do?id=109301")</f>
        <v>https://www.fabsurplus.com/sdi_catalog/salesItemDetails.do?id=109301</v>
      </c>
      <c r="B109" s="5" t="s">
        <v>332</v>
      </c>
      <c r="C109" s="5" t="s">
        <v>183</v>
      </c>
      <c r="D109" s="5" t="s">
        <v>330</v>
      </c>
      <c r="E109" s="5" t="s">
        <v>103</v>
      </c>
      <c r="F109" s="5" t="s">
        <v>16</v>
      </c>
      <c r="G109" s="5" t="s">
        <v>104</v>
      </c>
      <c r="H109" s="5"/>
      <c r="I109" s="5"/>
      <c r="J109" s="5" t="s">
        <v>19</v>
      </c>
      <c r="K109" s="5"/>
      <c r="L109" s="5" t="s">
        <v>333</v>
      </c>
    </row>
    <row r="110" customFormat="false" ht="15.65" hidden="false" customHeight="true" outlineLevel="0" collapsed="false">
      <c r="A110" s="2" t="str">
        <f aca="false">HYPERLINK("https://www.fabsurplus.com/sdi_catalog/salesItemDetails.do?id=109302")</f>
        <v>https://www.fabsurplus.com/sdi_catalog/salesItemDetails.do?id=109302</v>
      </c>
      <c r="B110" s="2" t="s">
        <v>334</v>
      </c>
      <c r="C110" s="2" t="s">
        <v>183</v>
      </c>
      <c r="D110" s="2" t="s">
        <v>335</v>
      </c>
      <c r="E110" s="2" t="s">
        <v>103</v>
      </c>
      <c r="F110" s="2" t="s">
        <v>16</v>
      </c>
      <c r="G110" s="2" t="s">
        <v>104</v>
      </c>
      <c r="H110" s="2"/>
      <c r="I110" s="2"/>
      <c r="J110" s="2" t="s">
        <v>19</v>
      </c>
      <c r="K110" s="2"/>
      <c r="L110" s="2" t="s">
        <v>336</v>
      </c>
    </row>
    <row r="111" customFormat="false" ht="15.65" hidden="false" customHeight="true" outlineLevel="0" collapsed="false">
      <c r="A111" s="5" t="str">
        <f aca="false">HYPERLINK("https://www.fabsurplus.com/sdi_catalog/salesItemDetails.do?id=109303")</f>
        <v>https://www.fabsurplus.com/sdi_catalog/salesItemDetails.do?id=109303</v>
      </c>
      <c r="B111" s="5" t="s">
        <v>337</v>
      </c>
      <c r="C111" s="5" t="s">
        <v>183</v>
      </c>
      <c r="D111" s="5" t="s">
        <v>338</v>
      </c>
      <c r="E111" s="5" t="s">
        <v>103</v>
      </c>
      <c r="F111" s="5" t="s">
        <v>16</v>
      </c>
      <c r="G111" s="5" t="s">
        <v>104</v>
      </c>
      <c r="H111" s="5"/>
      <c r="I111" s="5"/>
      <c r="J111" s="5" t="s">
        <v>19</v>
      </c>
      <c r="K111" s="5"/>
      <c r="L111" s="5" t="s">
        <v>339</v>
      </c>
    </row>
    <row r="112" customFormat="false" ht="15.65" hidden="false" customHeight="true" outlineLevel="0" collapsed="false">
      <c r="A112" s="2" t="str">
        <f aca="false">HYPERLINK("https://www.fabsurplus.com/sdi_catalog/salesItemDetails.do?id=109304")</f>
        <v>https://www.fabsurplus.com/sdi_catalog/salesItemDetails.do?id=109304</v>
      </c>
      <c r="B112" s="2" t="s">
        <v>340</v>
      </c>
      <c r="C112" s="2" t="s">
        <v>183</v>
      </c>
      <c r="D112" s="2" t="s">
        <v>341</v>
      </c>
      <c r="E112" s="2" t="s">
        <v>103</v>
      </c>
      <c r="F112" s="2" t="s">
        <v>16</v>
      </c>
      <c r="G112" s="2" t="s">
        <v>104</v>
      </c>
      <c r="H112" s="2"/>
      <c r="I112" s="2"/>
      <c r="J112" s="2" t="s">
        <v>19</v>
      </c>
      <c r="K112" s="2"/>
      <c r="L112" s="2" t="s">
        <v>342</v>
      </c>
    </row>
    <row r="113" customFormat="false" ht="15.65" hidden="false" customHeight="true" outlineLevel="0" collapsed="false">
      <c r="A113" s="5" t="str">
        <f aca="false">HYPERLINK("https://www.fabsurplus.com/sdi_catalog/salesItemDetails.do?id=109305")</f>
        <v>https://www.fabsurplus.com/sdi_catalog/salesItemDetails.do?id=109305</v>
      </c>
      <c r="B113" s="5" t="s">
        <v>343</v>
      </c>
      <c r="C113" s="5" t="s">
        <v>183</v>
      </c>
      <c r="D113" s="5" t="s">
        <v>341</v>
      </c>
      <c r="E113" s="5" t="s">
        <v>103</v>
      </c>
      <c r="F113" s="5" t="s">
        <v>151</v>
      </c>
      <c r="G113" s="5" t="s">
        <v>104</v>
      </c>
      <c r="H113" s="5"/>
      <c r="I113" s="5"/>
      <c r="J113" s="5" t="s">
        <v>19</v>
      </c>
      <c r="K113" s="5"/>
      <c r="L113" s="5" t="s">
        <v>344</v>
      </c>
    </row>
    <row r="114" customFormat="false" ht="15.65" hidden="false" customHeight="true" outlineLevel="0" collapsed="false">
      <c r="A114" s="2" t="str">
        <f aca="false">HYPERLINK("https://www.fabsurplus.com/sdi_catalog/salesItemDetails.do?id=109306")</f>
        <v>https://www.fabsurplus.com/sdi_catalog/salesItemDetails.do?id=109306</v>
      </c>
      <c r="B114" s="2" t="s">
        <v>345</v>
      </c>
      <c r="C114" s="2" t="s">
        <v>183</v>
      </c>
      <c r="D114" s="2" t="s">
        <v>341</v>
      </c>
      <c r="E114" s="2" t="s">
        <v>103</v>
      </c>
      <c r="F114" s="2" t="s">
        <v>16</v>
      </c>
      <c r="G114" s="2" t="s">
        <v>104</v>
      </c>
      <c r="H114" s="2"/>
      <c r="I114" s="2"/>
      <c r="J114" s="2" t="s">
        <v>19</v>
      </c>
      <c r="K114" s="2"/>
      <c r="L114" s="2" t="s">
        <v>346</v>
      </c>
    </row>
    <row r="115" customFormat="false" ht="15.65" hidden="false" customHeight="true" outlineLevel="0" collapsed="false">
      <c r="A115" s="5" t="str">
        <f aca="false">HYPERLINK("https://www.fabsurplus.com/sdi_catalog/salesItemDetails.do?id=109307")</f>
        <v>https://www.fabsurplus.com/sdi_catalog/salesItemDetails.do?id=109307</v>
      </c>
      <c r="B115" s="5" t="s">
        <v>347</v>
      </c>
      <c r="C115" s="5" t="s">
        <v>183</v>
      </c>
      <c r="D115" s="5" t="s">
        <v>348</v>
      </c>
      <c r="E115" s="5" t="s">
        <v>103</v>
      </c>
      <c r="F115" s="5" t="s">
        <v>16</v>
      </c>
      <c r="G115" s="5" t="s">
        <v>104</v>
      </c>
      <c r="H115" s="5"/>
      <c r="I115" s="5"/>
      <c r="J115" s="5" t="s">
        <v>19</v>
      </c>
      <c r="K115" s="5"/>
      <c r="L115" s="5" t="s">
        <v>349</v>
      </c>
    </row>
    <row r="116" customFormat="false" ht="15.65" hidden="false" customHeight="true" outlineLevel="0" collapsed="false">
      <c r="A116" s="2" t="str">
        <f aca="false">HYPERLINK("https://www.fabsurplus.com/sdi_catalog/salesItemDetails.do?id=109308")</f>
        <v>https://www.fabsurplus.com/sdi_catalog/salesItemDetails.do?id=109308</v>
      </c>
      <c r="B116" s="2" t="s">
        <v>350</v>
      </c>
      <c r="C116" s="2" t="s">
        <v>183</v>
      </c>
      <c r="D116" s="2" t="s">
        <v>351</v>
      </c>
      <c r="E116" s="2" t="s">
        <v>103</v>
      </c>
      <c r="F116" s="2" t="s">
        <v>16</v>
      </c>
      <c r="G116" s="2" t="s">
        <v>104</v>
      </c>
      <c r="H116" s="2"/>
      <c r="I116" s="2"/>
      <c r="J116" s="2" t="s">
        <v>19</v>
      </c>
      <c r="K116" s="2"/>
      <c r="L116" s="2" t="s">
        <v>352</v>
      </c>
    </row>
    <row r="117" customFormat="false" ht="15.65" hidden="false" customHeight="true" outlineLevel="0" collapsed="false">
      <c r="A117" s="5" t="str">
        <f aca="false">HYPERLINK("https://www.fabsurplus.com/sdi_catalog/salesItemDetails.do?id=109309")</f>
        <v>https://www.fabsurplus.com/sdi_catalog/salesItemDetails.do?id=109309</v>
      </c>
      <c r="B117" s="5" t="s">
        <v>353</v>
      </c>
      <c r="C117" s="5" t="s">
        <v>183</v>
      </c>
      <c r="D117" s="5" t="s">
        <v>351</v>
      </c>
      <c r="E117" s="5" t="s">
        <v>103</v>
      </c>
      <c r="F117" s="5" t="s">
        <v>16</v>
      </c>
      <c r="G117" s="5" t="s">
        <v>104</v>
      </c>
      <c r="H117" s="5"/>
      <c r="I117" s="5"/>
      <c r="J117" s="5" t="s">
        <v>19</v>
      </c>
      <c r="K117" s="5"/>
      <c r="L117" s="5" t="s">
        <v>354</v>
      </c>
    </row>
    <row r="118" customFormat="false" ht="15.65" hidden="false" customHeight="true" outlineLevel="0" collapsed="false">
      <c r="A118" s="2" t="str">
        <f aca="false">HYPERLINK("https://www.fabsurplus.com/sdi_catalog/salesItemDetails.do?id=109310")</f>
        <v>https://www.fabsurplus.com/sdi_catalog/salesItemDetails.do?id=109310</v>
      </c>
      <c r="B118" s="2" t="s">
        <v>355</v>
      </c>
      <c r="C118" s="2" t="s">
        <v>183</v>
      </c>
      <c r="D118" s="2" t="s">
        <v>356</v>
      </c>
      <c r="E118" s="2" t="s">
        <v>103</v>
      </c>
      <c r="F118" s="2" t="s">
        <v>16</v>
      </c>
      <c r="G118" s="2" t="s">
        <v>104</v>
      </c>
      <c r="H118" s="2"/>
      <c r="I118" s="2"/>
      <c r="J118" s="2" t="s">
        <v>19</v>
      </c>
      <c r="K118" s="2"/>
      <c r="L118" s="2" t="s">
        <v>357</v>
      </c>
    </row>
    <row r="119" customFormat="false" ht="15.65" hidden="false" customHeight="true" outlineLevel="0" collapsed="false">
      <c r="A119" s="5" t="str">
        <f aca="false">HYPERLINK("https://www.fabsurplus.com/sdi_catalog/salesItemDetails.do?id=109311")</f>
        <v>https://www.fabsurplus.com/sdi_catalog/salesItemDetails.do?id=109311</v>
      </c>
      <c r="B119" s="5" t="s">
        <v>358</v>
      </c>
      <c r="C119" s="5" t="s">
        <v>183</v>
      </c>
      <c r="D119" s="5" t="s">
        <v>359</v>
      </c>
      <c r="E119" s="5" t="s">
        <v>103</v>
      </c>
      <c r="F119" s="5" t="s">
        <v>16</v>
      </c>
      <c r="G119" s="5" t="s">
        <v>104</v>
      </c>
      <c r="H119" s="5"/>
      <c r="I119" s="5"/>
      <c r="J119" s="5" t="s">
        <v>19</v>
      </c>
      <c r="K119" s="5"/>
      <c r="L119" s="5" t="s">
        <v>360</v>
      </c>
    </row>
    <row r="120" customFormat="false" ht="15.65" hidden="false" customHeight="true" outlineLevel="0" collapsed="false">
      <c r="A120" s="2" t="str">
        <f aca="false">HYPERLINK("https://www.fabsurplus.com/sdi_catalog/salesItemDetails.do?id=77166")</f>
        <v>https://www.fabsurplus.com/sdi_catalog/salesItemDetails.do?id=77166</v>
      </c>
      <c r="B120" s="2" t="s">
        <v>361</v>
      </c>
      <c r="C120" s="2" t="s">
        <v>362</v>
      </c>
      <c r="D120" s="2" t="s">
        <v>363</v>
      </c>
      <c r="E120" s="2" t="s">
        <v>364</v>
      </c>
      <c r="F120" s="2" t="s">
        <v>86</v>
      </c>
      <c r="G120" s="2" t="s">
        <v>104</v>
      </c>
      <c r="H120" s="2" t="s">
        <v>32</v>
      </c>
      <c r="I120" s="2"/>
      <c r="J120" s="2" t="s">
        <v>19</v>
      </c>
      <c r="K120" s="2" t="s">
        <v>20</v>
      </c>
      <c r="L120" s="4" t="s">
        <v>365</v>
      </c>
    </row>
    <row r="121" customFormat="false" ht="15.65" hidden="false" customHeight="true" outlineLevel="0" collapsed="false">
      <c r="A121" s="5" t="str">
        <f aca="false">HYPERLINK("https://www.fabsurplus.com/sdi_catalog/salesItemDetails.do?id=77167")</f>
        <v>https://www.fabsurplus.com/sdi_catalog/salesItemDetails.do?id=77167</v>
      </c>
      <c r="B121" s="5" t="s">
        <v>366</v>
      </c>
      <c r="C121" s="5" t="s">
        <v>362</v>
      </c>
      <c r="D121" s="5" t="s">
        <v>367</v>
      </c>
      <c r="E121" s="5" t="s">
        <v>368</v>
      </c>
      <c r="F121" s="5" t="s">
        <v>151</v>
      </c>
      <c r="G121" s="5" t="s">
        <v>104</v>
      </c>
      <c r="H121" s="5" t="s">
        <v>32</v>
      </c>
      <c r="I121" s="5"/>
      <c r="J121" s="5" t="s">
        <v>19</v>
      </c>
      <c r="K121" s="5" t="s">
        <v>20</v>
      </c>
      <c r="L121" s="7" t="s">
        <v>369</v>
      </c>
    </row>
    <row r="122" customFormat="false" ht="15.65" hidden="false" customHeight="true" outlineLevel="0" collapsed="false">
      <c r="A122" s="2" t="str">
        <f aca="false">HYPERLINK("https://www.fabsurplus.com/sdi_catalog/salesItemDetails.do?id=77206")</f>
        <v>https://www.fabsurplus.com/sdi_catalog/salesItemDetails.do?id=77206</v>
      </c>
      <c r="B122" s="2" t="s">
        <v>370</v>
      </c>
      <c r="C122" s="2" t="s">
        <v>362</v>
      </c>
      <c r="D122" s="2" t="s">
        <v>371</v>
      </c>
      <c r="E122" s="2" t="s">
        <v>372</v>
      </c>
      <c r="F122" s="2" t="s">
        <v>16</v>
      </c>
      <c r="G122" s="2" t="s">
        <v>104</v>
      </c>
      <c r="H122" s="2" t="s">
        <v>32</v>
      </c>
      <c r="I122" s="2"/>
      <c r="J122" s="2" t="s">
        <v>19</v>
      </c>
      <c r="K122" s="2" t="s">
        <v>20</v>
      </c>
      <c r="L122" s="4" t="s">
        <v>373</v>
      </c>
    </row>
    <row r="123" customFormat="false" ht="15.65" hidden="false" customHeight="true" outlineLevel="0" collapsed="false">
      <c r="A123" s="5" t="str">
        <f aca="false">HYPERLINK("https://www.fabsurplus.com/sdi_catalog/salesItemDetails.do?id=77207")</f>
        <v>https://www.fabsurplus.com/sdi_catalog/salesItemDetails.do?id=77207</v>
      </c>
      <c r="B123" s="5" t="s">
        <v>374</v>
      </c>
      <c r="C123" s="5" t="s">
        <v>362</v>
      </c>
      <c r="D123" s="5" t="s">
        <v>375</v>
      </c>
      <c r="E123" s="5" t="s">
        <v>376</v>
      </c>
      <c r="F123" s="5" t="s">
        <v>16</v>
      </c>
      <c r="G123" s="5" t="s">
        <v>104</v>
      </c>
      <c r="H123" s="5" t="s">
        <v>32</v>
      </c>
      <c r="I123" s="5"/>
      <c r="J123" s="5" t="s">
        <v>19</v>
      </c>
      <c r="K123" s="5" t="s">
        <v>20</v>
      </c>
      <c r="L123" s="7" t="s">
        <v>377</v>
      </c>
    </row>
    <row r="124" customFormat="false" ht="15.65" hidden="false" customHeight="true" outlineLevel="0" collapsed="false">
      <c r="A124" s="2" t="str">
        <f aca="false">HYPERLINK("https://www.fabsurplus.com/sdi_catalog/salesItemDetails.do?id=74142")</f>
        <v>https://www.fabsurplus.com/sdi_catalog/salesItemDetails.do?id=74142</v>
      </c>
      <c r="B124" s="2" t="s">
        <v>378</v>
      </c>
      <c r="C124" s="2" t="s">
        <v>362</v>
      </c>
      <c r="D124" s="2" t="s">
        <v>375</v>
      </c>
      <c r="E124" s="2" t="s">
        <v>379</v>
      </c>
      <c r="F124" s="2" t="s">
        <v>151</v>
      </c>
      <c r="G124" s="2"/>
      <c r="H124" s="2"/>
      <c r="I124" s="3" t="n">
        <v>39447.9583333333</v>
      </c>
      <c r="J124" s="2" t="s">
        <v>19</v>
      </c>
      <c r="K124" s="2"/>
      <c r="L124" s="4" t="s">
        <v>380</v>
      </c>
    </row>
    <row r="125" customFormat="false" ht="15.65" hidden="false" customHeight="true" outlineLevel="0" collapsed="false">
      <c r="A125" s="5" t="str">
        <f aca="false">HYPERLINK("https://www.fabsurplus.com/sdi_catalog/salesItemDetails.do?id=74143")</f>
        <v>https://www.fabsurplus.com/sdi_catalog/salesItemDetails.do?id=74143</v>
      </c>
      <c r="B125" s="5" t="s">
        <v>381</v>
      </c>
      <c r="C125" s="5" t="s">
        <v>362</v>
      </c>
      <c r="D125" s="5" t="s">
        <v>371</v>
      </c>
      <c r="E125" s="5" t="s">
        <v>382</v>
      </c>
      <c r="F125" s="5" t="s">
        <v>151</v>
      </c>
      <c r="G125" s="5"/>
      <c r="H125" s="5" t="s">
        <v>18</v>
      </c>
      <c r="I125" s="6" t="n">
        <v>39447.9583333333</v>
      </c>
      <c r="J125" s="5" t="s">
        <v>19</v>
      </c>
      <c r="K125" s="5"/>
      <c r="L125" s="7" t="s">
        <v>383</v>
      </c>
    </row>
    <row r="126" customFormat="false" ht="15.65" hidden="false" customHeight="true" outlineLevel="0" collapsed="false">
      <c r="A126" s="2" t="str">
        <f aca="false">HYPERLINK("https://www.fabsurplus.com/sdi_catalog/salesItemDetails.do?id=108548")</f>
        <v>https://www.fabsurplus.com/sdi_catalog/salesItemDetails.do?id=108548</v>
      </c>
      <c r="B126" s="2" t="s">
        <v>384</v>
      </c>
      <c r="C126" s="2" t="s">
        <v>385</v>
      </c>
      <c r="D126" s="2" t="s">
        <v>386</v>
      </c>
      <c r="E126" s="2" t="s">
        <v>387</v>
      </c>
      <c r="F126" s="2" t="s">
        <v>16</v>
      </c>
      <c r="G126" s="2" t="s">
        <v>388</v>
      </c>
      <c r="H126" s="2"/>
      <c r="I126" s="2"/>
      <c r="J126" s="2" t="s">
        <v>19</v>
      </c>
      <c r="K126" s="2"/>
      <c r="L126" s="2"/>
    </row>
    <row r="127" customFormat="false" ht="15.65" hidden="false" customHeight="true" outlineLevel="0" collapsed="false">
      <c r="A127" s="5" t="str">
        <f aca="false">HYPERLINK("https://www.fabsurplus.com/sdi_catalog/salesItemDetails.do?id=108549")</f>
        <v>https://www.fabsurplus.com/sdi_catalog/salesItemDetails.do?id=108549</v>
      </c>
      <c r="B127" s="5" t="s">
        <v>389</v>
      </c>
      <c r="C127" s="5" t="s">
        <v>385</v>
      </c>
      <c r="D127" s="5" t="s">
        <v>390</v>
      </c>
      <c r="E127" s="5" t="s">
        <v>391</v>
      </c>
      <c r="F127" s="5" t="s">
        <v>16</v>
      </c>
      <c r="G127" s="5" t="s">
        <v>392</v>
      </c>
      <c r="H127" s="5" t="s">
        <v>18</v>
      </c>
      <c r="I127" s="5"/>
      <c r="J127" s="5" t="s">
        <v>19</v>
      </c>
      <c r="K127" s="5" t="s">
        <v>20</v>
      </c>
      <c r="L127" s="5"/>
    </row>
    <row r="128" customFormat="false" ht="15.65" hidden="false" customHeight="true" outlineLevel="0" collapsed="false">
      <c r="A128" s="2" t="str">
        <f aca="false">HYPERLINK("https://www.fabsurplus.com/sdi_catalog/salesItemDetails.do?id=108550")</f>
        <v>https://www.fabsurplus.com/sdi_catalog/salesItemDetails.do?id=108550</v>
      </c>
      <c r="B128" s="2" t="s">
        <v>393</v>
      </c>
      <c r="C128" s="2" t="s">
        <v>385</v>
      </c>
      <c r="D128" s="2" t="s">
        <v>394</v>
      </c>
      <c r="E128" s="2" t="s">
        <v>391</v>
      </c>
      <c r="F128" s="2" t="s">
        <v>16</v>
      </c>
      <c r="G128" s="2" t="s">
        <v>38</v>
      </c>
      <c r="H128" s="2" t="s">
        <v>18</v>
      </c>
      <c r="I128" s="2"/>
      <c r="J128" s="2" t="s">
        <v>19</v>
      </c>
      <c r="K128" s="2" t="s">
        <v>20</v>
      </c>
      <c r="L128" s="2" t="s">
        <v>395</v>
      </c>
    </row>
    <row r="129" customFormat="false" ht="15.65" hidden="false" customHeight="true" outlineLevel="0" collapsed="false">
      <c r="A129" s="5" t="str">
        <f aca="false">HYPERLINK("https://www.fabsurplus.com/sdi_catalog/salesItemDetails.do?id=108551")</f>
        <v>https://www.fabsurplus.com/sdi_catalog/salesItemDetails.do?id=108551</v>
      </c>
      <c r="B129" s="5" t="s">
        <v>396</v>
      </c>
      <c r="C129" s="5" t="s">
        <v>385</v>
      </c>
      <c r="D129" s="5" t="s">
        <v>397</v>
      </c>
      <c r="E129" s="5" t="s">
        <v>387</v>
      </c>
      <c r="F129" s="5" t="s">
        <v>16</v>
      </c>
      <c r="G129" s="5" t="s">
        <v>38</v>
      </c>
      <c r="H129" s="5"/>
      <c r="I129" s="5"/>
      <c r="J129" s="5" t="s">
        <v>19</v>
      </c>
      <c r="K129" s="5"/>
      <c r="L129" s="5" t="s">
        <v>395</v>
      </c>
    </row>
    <row r="130" customFormat="false" ht="15.65" hidden="false" customHeight="true" outlineLevel="0" collapsed="false">
      <c r="A130" s="2" t="str">
        <f aca="false">HYPERLINK("https://www.fabsurplus.com/sdi_catalog/salesItemDetails.do?id=109575")</f>
        <v>https://www.fabsurplus.com/sdi_catalog/salesItemDetails.do?id=109575</v>
      </c>
      <c r="B130" s="2" t="s">
        <v>398</v>
      </c>
      <c r="C130" s="2" t="s">
        <v>385</v>
      </c>
      <c r="D130" s="2" t="s">
        <v>399</v>
      </c>
      <c r="E130" s="2" t="s">
        <v>400</v>
      </c>
      <c r="F130" s="2" t="s">
        <v>236</v>
      </c>
      <c r="G130" s="2" t="s">
        <v>401</v>
      </c>
      <c r="H130" s="2" t="s">
        <v>32</v>
      </c>
      <c r="I130" s="3" t="n">
        <v>40330</v>
      </c>
      <c r="J130" s="2" t="s">
        <v>19</v>
      </c>
      <c r="K130" s="2" t="s">
        <v>20</v>
      </c>
      <c r="L130" s="2" t="s">
        <v>402</v>
      </c>
    </row>
    <row r="131" customFormat="false" ht="15.65" hidden="false" customHeight="true" outlineLevel="0" collapsed="false">
      <c r="A131" s="5" t="str">
        <f aca="false">HYPERLINK("https://www.fabsurplus.com/sdi_catalog/salesItemDetails.do?id=108552")</f>
        <v>https://www.fabsurplus.com/sdi_catalog/salesItemDetails.do?id=108552</v>
      </c>
      <c r="B131" s="5" t="s">
        <v>403</v>
      </c>
      <c r="C131" s="5" t="s">
        <v>385</v>
      </c>
      <c r="D131" s="5" t="s">
        <v>397</v>
      </c>
      <c r="E131" s="5" t="s">
        <v>387</v>
      </c>
      <c r="F131" s="5" t="s">
        <v>16</v>
      </c>
      <c r="G131" s="5" t="s">
        <v>38</v>
      </c>
      <c r="H131" s="5" t="s">
        <v>32</v>
      </c>
      <c r="I131" s="6" t="n">
        <v>36861</v>
      </c>
      <c r="J131" s="5" t="s">
        <v>19</v>
      </c>
      <c r="K131" s="5" t="s">
        <v>20</v>
      </c>
      <c r="L131" s="7" t="s">
        <v>404</v>
      </c>
    </row>
    <row r="132" customFormat="false" ht="15.65" hidden="false" customHeight="true" outlineLevel="0" collapsed="false">
      <c r="A132" s="2" t="str">
        <f aca="false">HYPERLINK("https://www.fabsurplus.com/sdi_catalog/salesItemDetails.do?id=109576")</f>
        <v>https://www.fabsurplus.com/sdi_catalog/salesItemDetails.do?id=109576</v>
      </c>
      <c r="B132" s="2" t="s">
        <v>405</v>
      </c>
      <c r="C132" s="2" t="s">
        <v>385</v>
      </c>
      <c r="D132" s="2" t="s">
        <v>406</v>
      </c>
      <c r="E132" s="2" t="s">
        <v>400</v>
      </c>
      <c r="F132" s="2" t="s">
        <v>16</v>
      </c>
      <c r="G132" s="2" t="s">
        <v>401</v>
      </c>
      <c r="H132" s="2" t="s">
        <v>32</v>
      </c>
      <c r="I132" s="3" t="n">
        <v>38139</v>
      </c>
      <c r="J132" s="2" t="s">
        <v>19</v>
      </c>
      <c r="K132" s="2" t="s">
        <v>20</v>
      </c>
      <c r="L132" s="2" t="s">
        <v>402</v>
      </c>
    </row>
    <row r="133" customFormat="false" ht="15.65" hidden="false" customHeight="true" outlineLevel="0" collapsed="false">
      <c r="A133" s="5" t="str">
        <f aca="false">HYPERLINK("https://www.fabsurplus.com/sdi_catalog/salesItemDetails.do?id=108553")</f>
        <v>https://www.fabsurplus.com/sdi_catalog/salesItemDetails.do?id=108553</v>
      </c>
      <c r="B133" s="5" t="s">
        <v>407</v>
      </c>
      <c r="C133" s="5" t="s">
        <v>385</v>
      </c>
      <c r="D133" s="5" t="s">
        <v>397</v>
      </c>
      <c r="E133" s="5" t="s">
        <v>387</v>
      </c>
      <c r="F133" s="5" t="s">
        <v>16</v>
      </c>
      <c r="G133" s="5" t="s">
        <v>38</v>
      </c>
      <c r="H133" s="5" t="s">
        <v>32</v>
      </c>
      <c r="I133" s="5"/>
      <c r="J133" s="5" t="s">
        <v>19</v>
      </c>
      <c r="K133" s="5" t="s">
        <v>20</v>
      </c>
      <c r="L133" s="5" t="s">
        <v>395</v>
      </c>
    </row>
    <row r="134" customFormat="false" ht="15.65" hidden="false" customHeight="true" outlineLevel="0" collapsed="false">
      <c r="A134" s="2" t="str">
        <f aca="false">HYPERLINK("https://www.fabsurplus.com/sdi_catalog/salesItemDetails.do?id=109577")</f>
        <v>https://www.fabsurplus.com/sdi_catalog/salesItemDetails.do?id=109577</v>
      </c>
      <c r="B134" s="2" t="s">
        <v>408</v>
      </c>
      <c r="C134" s="2" t="s">
        <v>385</v>
      </c>
      <c r="D134" s="2" t="s">
        <v>394</v>
      </c>
      <c r="E134" s="2" t="s">
        <v>400</v>
      </c>
      <c r="F134" s="2" t="s">
        <v>16</v>
      </c>
      <c r="G134" s="2" t="s">
        <v>401</v>
      </c>
      <c r="H134" s="2" t="s">
        <v>32</v>
      </c>
      <c r="I134" s="3" t="n">
        <v>37043</v>
      </c>
      <c r="J134" s="2" t="s">
        <v>19</v>
      </c>
      <c r="K134" s="2" t="s">
        <v>20</v>
      </c>
      <c r="L134" s="2" t="s">
        <v>402</v>
      </c>
    </row>
    <row r="135" customFormat="false" ht="15.65" hidden="false" customHeight="true" outlineLevel="0" collapsed="false">
      <c r="A135" s="5" t="str">
        <f aca="false">HYPERLINK("https://www.fabsurplus.com/sdi_catalog/salesItemDetails.do?id=108554")</f>
        <v>https://www.fabsurplus.com/sdi_catalog/salesItemDetails.do?id=108554</v>
      </c>
      <c r="B135" s="5" t="s">
        <v>409</v>
      </c>
      <c r="C135" s="5" t="s">
        <v>385</v>
      </c>
      <c r="D135" s="5" t="s">
        <v>397</v>
      </c>
      <c r="E135" s="5" t="s">
        <v>387</v>
      </c>
      <c r="F135" s="5" t="s">
        <v>16</v>
      </c>
      <c r="G135" s="5" t="s">
        <v>38</v>
      </c>
      <c r="H135" s="5"/>
      <c r="I135" s="5"/>
      <c r="J135" s="5" t="s">
        <v>19</v>
      </c>
      <c r="K135" s="5"/>
      <c r="L135" s="5" t="s">
        <v>395</v>
      </c>
    </row>
    <row r="136" customFormat="false" ht="15.65" hidden="false" customHeight="true" outlineLevel="0" collapsed="false">
      <c r="A136" s="2" t="str">
        <f aca="false">HYPERLINK("https://www.fabsurplus.com/sdi_catalog/salesItemDetails.do?id=109068")</f>
        <v>https://www.fabsurplus.com/sdi_catalog/salesItemDetails.do?id=109068</v>
      </c>
      <c r="B136" s="2" t="s">
        <v>410</v>
      </c>
      <c r="C136" s="2" t="s">
        <v>411</v>
      </c>
      <c r="D136" s="2" t="s">
        <v>397</v>
      </c>
      <c r="E136" s="2" t="s">
        <v>412</v>
      </c>
      <c r="F136" s="2" t="s">
        <v>16</v>
      </c>
      <c r="G136" s="2" t="s">
        <v>392</v>
      </c>
      <c r="H136" s="2" t="s">
        <v>275</v>
      </c>
      <c r="I136" s="2"/>
      <c r="J136" s="2" t="s">
        <v>42</v>
      </c>
      <c r="K136" s="2" t="s">
        <v>20</v>
      </c>
      <c r="L136" s="4" t="s">
        <v>413</v>
      </c>
    </row>
    <row r="137" customFormat="false" ht="15.65" hidden="false" customHeight="true" outlineLevel="0" collapsed="false">
      <c r="A137" s="5" t="str">
        <f aca="false">HYPERLINK("https://www.fabsurplus.com/sdi_catalog/salesItemDetails.do?id=108045")</f>
        <v>https://www.fabsurplus.com/sdi_catalog/salesItemDetails.do?id=108045</v>
      </c>
      <c r="B137" s="5" t="s">
        <v>414</v>
      </c>
      <c r="C137" s="5" t="s">
        <v>411</v>
      </c>
      <c r="D137" s="5" t="s">
        <v>415</v>
      </c>
      <c r="E137" s="5" t="s">
        <v>416</v>
      </c>
      <c r="F137" s="5" t="s">
        <v>16</v>
      </c>
      <c r="G137" s="5" t="s">
        <v>392</v>
      </c>
      <c r="H137" s="5"/>
      <c r="I137" s="5"/>
      <c r="J137" s="5" t="s">
        <v>19</v>
      </c>
      <c r="K137" s="5"/>
      <c r="L137" s="5" t="s">
        <v>417</v>
      </c>
    </row>
    <row r="138" customFormat="false" ht="15.65" hidden="false" customHeight="true" outlineLevel="0" collapsed="false">
      <c r="A138" s="2" t="str">
        <f aca="false">HYPERLINK("https://www.fabsurplus.com/sdi_catalog/salesItemDetails.do?id=108048")</f>
        <v>https://www.fabsurplus.com/sdi_catalog/salesItemDetails.do?id=108048</v>
      </c>
      <c r="B138" s="2" t="s">
        <v>418</v>
      </c>
      <c r="C138" s="2" t="s">
        <v>411</v>
      </c>
      <c r="D138" s="2" t="s">
        <v>419</v>
      </c>
      <c r="E138" s="2" t="s">
        <v>420</v>
      </c>
      <c r="F138" s="2" t="s">
        <v>145</v>
      </c>
      <c r="G138" s="2" t="s">
        <v>392</v>
      </c>
      <c r="H138" s="2"/>
      <c r="I138" s="2"/>
      <c r="J138" s="2" t="s">
        <v>19</v>
      </c>
      <c r="K138" s="2"/>
      <c r="L138" s="2" t="s">
        <v>417</v>
      </c>
    </row>
    <row r="139" customFormat="false" ht="15.65" hidden="false" customHeight="true" outlineLevel="0" collapsed="false">
      <c r="A139" s="5" t="str">
        <f aca="false">HYPERLINK("https://www.fabsurplus.com/sdi_catalog/salesItemDetails.do?id=108050")</f>
        <v>https://www.fabsurplus.com/sdi_catalog/salesItemDetails.do?id=108050</v>
      </c>
      <c r="B139" s="5" t="s">
        <v>421</v>
      </c>
      <c r="C139" s="5" t="s">
        <v>411</v>
      </c>
      <c r="D139" s="5" t="s">
        <v>394</v>
      </c>
      <c r="E139" s="5" t="s">
        <v>420</v>
      </c>
      <c r="F139" s="5" t="s">
        <v>16</v>
      </c>
      <c r="G139" s="5" t="s">
        <v>392</v>
      </c>
      <c r="H139" s="5"/>
      <c r="I139" s="5"/>
      <c r="J139" s="5" t="s">
        <v>19</v>
      </c>
      <c r="K139" s="5"/>
      <c r="L139" s="5" t="s">
        <v>417</v>
      </c>
    </row>
    <row r="140" customFormat="false" ht="15.65" hidden="false" customHeight="true" outlineLevel="0" collapsed="false">
      <c r="A140" s="2" t="str">
        <f aca="false">HYPERLINK("https://www.fabsurplus.com/sdi_catalog/salesItemDetails.do?id=108057")</f>
        <v>https://www.fabsurplus.com/sdi_catalog/salesItemDetails.do?id=108057</v>
      </c>
      <c r="B140" s="2" t="s">
        <v>422</v>
      </c>
      <c r="C140" s="2" t="s">
        <v>411</v>
      </c>
      <c r="D140" s="2" t="s">
        <v>423</v>
      </c>
      <c r="E140" s="2" t="s">
        <v>424</v>
      </c>
      <c r="F140" s="2" t="s">
        <v>86</v>
      </c>
      <c r="G140" s="2" t="s">
        <v>392</v>
      </c>
      <c r="H140" s="2"/>
      <c r="I140" s="2"/>
      <c r="J140" s="2" t="s">
        <v>19</v>
      </c>
      <c r="K140" s="2"/>
      <c r="L140" s="2" t="s">
        <v>425</v>
      </c>
    </row>
    <row r="141" customFormat="false" ht="15.65" hidden="false" customHeight="true" outlineLevel="0" collapsed="false">
      <c r="A141" s="5" t="str">
        <f aca="false">HYPERLINK("https://www.fabsurplus.com/sdi_catalog/salesItemDetails.do?id=94490")</f>
        <v>https://www.fabsurplus.com/sdi_catalog/salesItemDetails.do?id=94490</v>
      </c>
      <c r="B141" s="5" t="s">
        <v>426</v>
      </c>
      <c r="C141" s="5" t="s">
        <v>411</v>
      </c>
      <c r="D141" s="5" t="s">
        <v>427</v>
      </c>
      <c r="E141" s="5" t="s">
        <v>428</v>
      </c>
      <c r="F141" s="5" t="s">
        <v>151</v>
      </c>
      <c r="G141" s="5" t="s">
        <v>392</v>
      </c>
      <c r="H141" s="5" t="s">
        <v>32</v>
      </c>
      <c r="I141" s="5"/>
      <c r="J141" s="5" t="s">
        <v>19</v>
      </c>
      <c r="K141" s="5" t="s">
        <v>20</v>
      </c>
      <c r="L141" s="7" t="s">
        <v>429</v>
      </c>
    </row>
    <row r="142" customFormat="false" ht="15.65" hidden="false" customHeight="true" outlineLevel="0" collapsed="false">
      <c r="A142" s="2" t="str">
        <f aca="false">HYPERLINK("https://www.fabsurplus.com/sdi_catalog/salesItemDetails.do?id=108058")</f>
        <v>https://www.fabsurplus.com/sdi_catalog/salesItemDetails.do?id=108058</v>
      </c>
      <c r="B142" s="2" t="s">
        <v>430</v>
      </c>
      <c r="C142" s="2" t="s">
        <v>411</v>
      </c>
      <c r="D142" s="2" t="s">
        <v>394</v>
      </c>
      <c r="E142" s="2" t="s">
        <v>424</v>
      </c>
      <c r="F142" s="2" t="s">
        <v>16</v>
      </c>
      <c r="G142" s="2" t="s">
        <v>392</v>
      </c>
      <c r="H142" s="2"/>
      <c r="I142" s="2"/>
      <c r="J142" s="2" t="s">
        <v>19</v>
      </c>
      <c r="K142" s="2"/>
      <c r="L142" s="2" t="s">
        <v>431</v>
      </c>
    </row>
    <row r="143" customFormat="false" ht="15.65" hidden="false" customHeight="true" outlineLevel="0" collapsed="false">
      <c r="A143" s="5" t="str">
        <f aca="false">HYPERLINK("https://www.fabsurplus.com/sdi_catalog/salesItemDetails.do?id=83498")</f>
        <v>https://www.fabsurplus.com/sdi_catalog/salesItemDetails.do?id=83498</v>
      </c>
      <c r="B143" s="5" t="s">
        <v>432</v>
      </c>
      <c r="C143" s="5" t="s">
        <v>411</v>
      </c>
      <c r="D143" s="5" t="s">
        <v>433</v>
      </c>
      <c r="E143" s="5" t="s">
        <v>434</v>
      </c>
      <c r="F143" s="5" t="s">
        <v>236</v>
      </c>
      <c r="G143" s="5"/>
      <c r="H143" s="5" t="s">
        <v>18</v>
      </c>
      <c r="I143" s="5"/>
      <c r="J143" s="5" t="s">
        <v>19</v>
      </c>
      <c r="K143" s="5" t="s">
        <v>20</v>
      </c>
      <c r="L143" s="5" t="s">
        <v>435</v>
      </c>
    </row>
    <row r="144" customFormat="false" ht="15.65" hidden="false" customHeight="true" outlineLevel="0" collapsed="false">
      <c r="A144" s="2" t="str">
        <f aca="false">HYPERLINK("https://www.fabsurplus.com/sdi_catalog/salesItemDetails.do?id=83499")</f>
        <v>https://www.fabsurplus.com/sdi_catalog/salesItemDetails.do?id=83499</v>
      </c>
      <c r="B144" s="2" t="s">
        <v>436</v>
      </c>
      <c r="C144" s="2" t="s">
        <v>411</v>
      </c>
      <c r="D144" s="2" t="s">
        <v>437</v>
      </c>
      <c r="E144" s="2" t="s">
        <v>438</v>
      </c>
      <c r="F144" s="2" t="s">
        <v>145</v>
      </c>
      <c r="G144" s="2" t="s">
        <v>104</v>
      </c>
      <c r="H144" s="2" t="s">
        <v>18</v>
      </c>
      <c r="I144" s="2"/>
      <c r="J144" s="2" t="s">
        <v>19</v>
      </c>
      <c r="K144" s="2" t="s">
        <v>20</v>
      </c>
      <c r="L144" s="4" t="s">
        <v>439</v>
      </c>
    </row>
    <row r="145" customFormat="false" ht="15.65" hidden="false" customHeight="true" outlineLevel="0" collapsed="false">
      <c r="A145" s="5" t="str">
        <f aca="false">HYPERLINK("https://www.fabsurplus.com/sdi_catalog/salesItemDetails.do?id=83500")</f>
        <v>https://www.fabsurplus.com/sdi_catalog/salesItemDetails.do?id=83500</v>
      </c>
      <c r="B145" s="5" t="s">
        <v>440</v>
      </c>
      <c r="C145" s="5" t="s">
        <v>411</v>
      </c>
      <c r="D145" s="5" t="s">
        <v>441</v>
      </c>
      <c r="E145" s="5" t="s">
        <v>438</v>
      </c>
      <c r="F145" s="5" t="s">
        <v>86</v>
      </c>
      <c r="G145" s="5" t="s">
        <v>104</v>
      </c>
      <c r="H145" s="5" t="s">
        <v>18</v>
      </c>
      <c r="I145" s="5"/>
      <c r="J145" s="5" t="s">
        <v>19</v>
      </c>
      <c r="K145" s="5" t="s">
        <v>20</v>
      </c>
      <c r="L145" s="7" t="s">
        <v>442</v>
      </c>
    </row>
    <row r="146" customFormat="false" ht="15.65" hidden="false" customHeight="true" outlineLevel="0" collapsed="false">
      <c r="A146" s="2" t="str">
        <f aca="false">HYPERLINK("https://www.fabsurplus.com/sdi_catalog/salesItemDetails.do?id=83501")</f>
        <v>https://www.fabsurplus.com/sdi_catalog/salesItemDetails.do?id=83501</v>
      </c>
      <c r="B146" s="2" t="s">
        <v>443</v>
      </c>
      <c r="C146" s="2" t="s">
        <v>411</v>
      </c>
      <c r="D146" s="2" t="s">
        <v>444</v>
      </c>
      <c r="E146" s="2" t="s">
        <v>438</v>
      </c>
      <c r="F146" s="2" t="s">
        <v>151</v>
      </c>
      <c r="G146" s="2" t="s">
        <v>104</v>
      </c>
      <c r="H146" s="2" t="s">
        <v>18</v>
      </c>
      <c r="I146" s="2"/>
      <c r="J146" s="2" t="s">
        <v>19</v>
      </c>
      <c r="K146" s="2" t="s">
        <v>20</v>
      </c>
      <c r="L146" s="4" t="s">
        <v>445</v>
      </c>
    </row>
    <row r="147" customFormat="false" ht="15.65" hidden="false" customHeight="true" outlineLevel="0" collapsed="false">
      <c r="A147" s="5" t="str">
        <f aca="false">HYPERLINK("https://www.fabsurplus.com/sdi_catalog/salesItemDetails.do?id=83502")</f>
        <v>https://www.fabsurplus.com/sdi_catalog/salesItemDetails.do?id=83502</v>
      </c>
      <c r="B147" s="5" t="s">
        <v>446</v>
      </c>
      <c r="C147" s="5" t="s">
        <v>411</v>
      </c>
      <c r="D147" s="5" t="s">
        <v>447</v>
      </c>
      <c r="E147" s="5" t="s">
        <v>448</v>
      </c>
      <c r="F147" s="5" t="s">
        <v>151</v>
      </c>
      <c r="G147" s="5" t="s">
        <v>104</v>
      </c>
      <c r="H147" s="5" t="s">
        <v>18</v>
      </c>
      <c r="I147" s="5"/>
      <c r="J147" s="5" t="s">
        <v>19</v>
      </c>
      <c r="K147" s="5" t="s">
        <v>20</v>
      </c>
      <c r="L147" s="7" t="s">
        <v>449</v>
      </c>
    </row>
    <row r="148" customFormat="false" ht="15.65" hidden="false" customHeight="true" outlineLevel="0" collapsed="false">
      <c r="A148" s="2" t="str">
        <f aca="false">HYPERLINK("https://www.fabsurplus.com/sdi_catalog/salesItemDetails.do?id=78639")</f>
        <v>https://www.fabsurplus.com/sdi_catalog/salesItemDetails.do?id=78639</v>
      </c>
      <c r="B148" s="2" t="s">
        <v>450</v>
      </c>
      <c r="C148" s="2" t="s">
        <v>411</v>
      </c>
      <c r="D148" s="2" t="s">
        <v>451</v>
      </c>
      <c r="E148" s="2" t="s">
        <v>452</v>
      </c>
      <c r="F148" s="2" t="s">
        <v>16</v>
      </c>
      <c r="G148" s="2" t="s">
        <v>392</v>
      </c>
      <c r="H148" s="2" t="s">
        <v>453</v>
      </c>
      <c r="I148" s="3" t="n">
        <v>35735</v>
      </c>
      <c r="J148" s="2" t="s">
        <v>19</v>
      </c>
      <c r="K148" s="2" t="s">
        <v>20</v>
      </c>
      <c r="L148" s="4" t="s">
        <v>454</v>
      </c>
    </row>
    <row r="149" customFormat="false" ht="15.65" hidden="false" customHeight="true" outlineLevel="0" collapsed="false">
      <c r="A149" s="5" t="str">
        <f aca="false">HYPERLINK("https://www.fabsurplus.com/sdi_catalog/salesItemDetails.do?id=83503")</f>
        <v>https://www.fabsurplus.com/sdi_catalog/salesItemDetails.do?id=83503</v>
      </c>
      <c r="B149" s="5" t="s">
        <v>455</v>
      </c>
      <c r="C149" s="5" t="s">
        <v>411</v>
      </c>
      <c r="D149" s="5" t="s">
        <v>456</v>
      </c>
      <c r="E149" s="5" t="s">
        <v>438</v>
      </c>
      <c r="F149" s="5" t="s">
        <v>151</v>
      </c>
      <c r="G149" s="5" t="s">
        <v>104</v>
      </c>
      <c r="H149" s="5" t="s">
        <v>18</v>
      </c>
      <c r="I149" s="5"/>
      <c r="J149" s="5" t="s">
        <v>19</v>
      </c>
      <c r="K149" s="5" t="s">
        <v>20</v>
      </c>
      <c r="L149" s="7" t="s">
        <v>457</v>
      </c>
    </row>
    <row r="150" customFormat="false" ht="15.65" hidden="false" customHeight="true" outlineLevel="0" collapsed="false">
      <c r="A150" s="2" t="str">
        <f aca="false">HYPERLINK("https://www.fabsurplus.com/sdi_catalog/salesItemDetails.do?id=83504")</f>
        <v>https://www.fabsurplus.com/sdi_catalog/salesItemDetails.do?id=83504</v>
      </c>
      <c r="B150" s="2" t="s">
        <v>458</v>
      </c>
      <c r="C150" s="2" t="s">
        <v>411</v>
      </c>
      <c r="D150" s="2" t="s">
        <v>459</v>
      </c>
      <c r="E150" s="2" t="s">
        <v>438</v>
      </c>
      <c r="F150" s="2" t="s">
        <v>151</v>
      </c>
      <c r="G150" s="2" t="s">
        <v>104</v>
      </c>
      <c r="H150" s="2" t="s">
        <v>18</v>
      </c>
      <c r="I150" s="2"/>
      <c r="J150" s="2" t="s">
        <v>19</v>
      </c>
      <c r="K150" s="2" t="s">
        <v>20</v>
      </c>
      <c r="L150" s="4" t="s">
        <v>460</v>
      </c>
    </row>
    <row r="151" customFormat="false" ht="15.65" hidden="false" customHeight="true" outlineLevel="0" collapsed="false">
      <c r="A151" s="5" t="str">
        <f aca="false">HYPERLINK("https://www.fabsurplus.com/sdi_catalog/salesItemDetails.do?id=99379")</f>
        <v>https://www.fabsurplus.com/sdi_catalog/salesItemDetails.do?id=99379</v>
      </c>
      <c r="B151" s="5" t="s">
        <v>461</v>
      </c>
      <c r="C151" s="5" t="s">
        <v>462</v>
      </c>
      <c r="D151" s="5" t="s">
        <v>463</v>
      </c>
      <c r="E151" s="5" t="s">
        <v>428</v>
      </c>
      <c r="F151" s="5" t="s">
        <v>16</v>
      </c>
      <c r="G151" s="5" t="s">
        <v>392</v>
      </c>
      <c r="H151" s="5" t="s">
        <v>18</v>
      </c>
      <c r="I151" s="5"/>
      <c r="J151" s="5" t="s">
        <v>19</v>
      </c>
      <c r="K151" s="5" t="s">
        <v>20</v>
      </c>
      <c r="L151" s="7" t="s">
        <v>464</v>
      </c>
    </row>
    <row r="152" customFormat="false" ht="15.65" hidden="false" customHeight="true" outlineLevel="0" collapsed="false">
      <c r="A152" s="2" t="str">
        <f aca="false">HYPERLINK("https://www.fabsurplus.com/sdi_catalog/salesItemDetails.do?id=99380")</f>
        <v>https://www.fabsurplus.com/sdi_catalog/salesItemDetails.do?id=99380</v>
      </c>
      <c r="B152" s="2" t="s">
        <v>465</v>
      </c>
      <c r="C152" s="2" t="s">
        <v>385</v>
      </c>
      <c r="D152" s="2" t="s">
        <v>466</v>
      </c>
      <c r="E152" s="2" t="s">
        <v>467</v>
      </c>
      <c r="F152" s="2" t="s">
        <v>16</v>
      </c>
      <c r="G152" s="2" t="s">
        <v>392</v>
      </c>
      <c r="H152" s="2" t="s">
        <v>18</v>
      </c>
      <c r="I152" s="2"/>
      <c r="J152" s="2" t="s">
        <v>19</v>
      </c>
      <c r="K152" s="2" t="s">
        <v>20</v>
      </c>
      <c r="L152" s="4" t="s">
        <v>468</v>
      </c>
    </row>
    <row r="153" customFormat="false" ht="15.65" hidden="false" customHeight="true" outlineLevel="0" collapsed="false">
      <c r="A153" s="5" t="str">
        <f aca="false">HYPERLINK("https://www.fabsurplus.com/sdi_catalog/salesItemDetails.do?id=89909")</f>
        <v>https://www.fabsurplus.com/sdi_catalog/salesItemDetails.do?id=89909</v>
      </c>
      <c r="B153" s="5" t="s">
        <v>469</v>
      </c>
      <c r="C153" s="5" t="s">
        <v>411</v>
      </c>
      <c r="D153" s="5" t="s">
        <v>470</v>
      </c>
      <c r="E153" s="5" t="s">
        <v>471</v>
      </c>
      <c r="F153" s="5" t="s">
        <v>16</v>
      </c>
      <c r="G153" s="5" t="s">
        <v>104</v>
      </c>
      <c r="H153" s="5" t="s">
        <v>18</v>
      </c>
      <c r="I153" s="6" t="n">
        <v>38503.9166666667</v>
      </c>
      <c r="J153" s="5" t="s">
        <v>19</v>
      </c>
      <c r="K153" s="5" t="s">
        <v>20</v>
      </c>
      <c r="L153" s="7" t="s">
        <v>472</v>
      </c>
    </row>
    <row r="154" customFormat="false" ht="15.65" hidden="false" customHeight="true" outlineLevel="0" collapsed="false">
      <c r="A154" s="2" t="str">
        <f aca="false">HYPERLINK("https://www.fabsurplus.com/sdi_catalog/salesItemDetails.do?id=76604")</f>
        <v>https://www.fabsurplus.com/sdi_catalog/salesItemDetails.do?id=76604</v>
      </c>
      <c r="B154" s="2" t="s">
        <v>473</v>
      </c>
      <c r="C154" s="2" t="s">
        <v>411</v>
      </c>
      <c r="D154" s="2" t="s">
        <v>474</v>
      </c>
      <c r="E154" s="2" t="s">
        <v>475</v>
      </c>
      <c r="F154" s="2" t="s">
        <v>16</v>
      </c>
      <c r="G154" s="2" t="s">
        <v>38</v>
      </c>
      <c r="H154" s="2" t="s">
        <v>18</v>
      </c>
      <c r="I154" s="2"/>
      <c r="J154" s="2" t="s">
        <v>19</v>
      </c>
      <c r="K154" s="2" t="s">
        <v>20</v>
      </c>
      <c r="L154" s="4" t="s">
        <v>476</v>
      </c>
    </row>
    <row r="155" customFormat="false" ht="15.65" hidden="false" customHeight="true" outlineLevel="0" collapsed="false">
      <c r="A155" s="5" t="str">
        <f aca="false">HYPERLINK("https://www.fabsurplus.com/sdi_catalog/salesItemDetails.do?id=99388")</f>
        <v>https://www.fabsurplus.com/sdi_catalog/salesItemDetails.do?id=99388</v>
      </c>
      <c r="B155" s="5" t="s">
        <v>477</v>
      </c>
      <c r="C155" s="5" t="s">
        <v>411</v>
      </c>
      <c r="D155" s="5" t="s">
        <v>478</v>
      </c>
      <c r="E155" s="5" t="s">
        <v>467</v>
      </c>
      <c r="F155" s="5" t="s">
        <v>16</v>
      </c>
      <c r="G155" s="5" t="s">
        <v>392</v>
      </c>
      <c r="H155" s="5" t="s">
        <v>32</v>
      </c>
      <c r="I155" s="6" t="n">
        <v>38869</v>
      </c>
      <c r="J155" s="5" t="s">
        <v>19</v>
      </c>
      <c r="K155" s="5" t="s">
        <v>20</v>
      </c>
      <c r="L155" s="7" t="s">
        <v>479</v>
      </c>
    </row>
    <row r="156" customFormat="false" ht="15.65" hidden="false" customHeight="true" outlineLevel="0" collapsed="false">
      <c r="A156" s="2" t="str">
        <f aca="false">HYPERLINK("https://www.fabsurplus.com/sdi_catalog/salesItemDetails.do?id=100668")</f>
        <v>https://www.fabsurplus.com/sdi_catalog/salesItemDetails.do?id=100668</v>
      </c>
      <c r="B156" s="2" t="s">
        <v>480</v>
      </c>
      <c r="C156" s="2" t="s">
        <v>411</v>
      </c>
      <c r="D156" s="2" t="s">
        <v>481</v>
      </c>
      <c r="E156" s="2" t="s">
        <v>482</v>
      </c>
      <c r="F156" s="2" t="s">
        <v>16</v>
      </c>
      <c r="G156" s="2" t="s">
        <v>392</v>
      </c>
      <c r="H156" s="2"/>
      <c r="I156" s="2"/>
      <c r="J156" s="2" t="s">
        <v>19</v>
      </c>
      <c r="K156" s="2"/>
      <c r="L156" s="4" t="s">
        <v>483</v>
      </c>
    </row>
    <row r="157" customFormat="false" ht="15.65" hidden="false" customHeight="true" outlineLevel="0" collapsed="false">
      <c r="A157" s="5" t="str">
        <f aca="false">HYPERLINK("https://www.fabsurplus.com/sdi_catalog/salesItemDetails.do?id=99389")</f>
        <v>https://www.fabsurplus.com/sdi_catalog/salesItemDetails.do?id=99389</v>
      </c>
      <c r="B157" s="5" t="s">
        <v>484</v>
      </c>
      <c r="C157" s="5" t="s">
        <v>411</v>
      </c>
      <c r="D157" s="5" t="s">
        <v>485</v>
      </c>
      <c r="E157" s="5" t="s">
        <v>428</v>
      </c>
      <c r="F157" s="5" t="s">
        <v>16</v>
      </c>
      <c r="G157" s="5" t="s">
        <v>392</v>
      </c>
      <c r="H157" s="5" t="s">
        <v>32</v>
      </c>
      <c r="I157" s="5"/>
      <c r="J157" s="5" t="s">
        <v>19</v>
      </c>
      <c r="K157" s="5" t="s">
        <v>20</v>
      </c>
      <c r="L157" s="7" t="s">
        <v>486</v>
      </c>
    </row>
    <row r="158" customFormat="false" ht="15.65" hidden="false" customHeight="true" outlineLevel="0" collapsed="false">
      <c r="A158" s="2" t="str">
        <f aca="false">HYPERLINK("https://www.fabsurplus.com/sdi_catalog/salesItemDetails.do?id=99390")</f>
        <v>https://www.fabsurplus.com/sdi_catalog/salesItemDetails.do?id=99390</v>
      </c>
      <c r="B158" s="2" t="s">
        <v>487</v>
      </c>
      <c r="C158" s="2" t="s">
        <v>411</v>
      </c>
      <c r="D158" s="2" t="s">
        <v>485</v>
      </c>
      <c r="E158" s="2" t="s">
        <v>428</v>
      </c>
      <c r="F158" s="2" t="s">
        <v>16</v>
      </c>
      <c r="G158" s="2" t="s">
        <v>392</v>
      </c>
      <c r="H158" s="2" t="s">
        <v>32</v>
      </c>
      <c r="I158" s="2"/>
      <c r="J158" s="2" t="s">
        <v>19</v>
      </c>
      <c r="K158" s="2" t="s">
        <v>20</v>
      </c>
      <c r="L158" s="4" t="s">
        <v>486</v>
      </c>
    </row>
    <row r="159" customFormat="false" ht="15.65" hidden="false" customHeight="true" outlineLevel="0" collapsed="false">
      <c r="A159" s="5" t="str">
        <f aca="false">HYPERLINK("https://www.fabsurplus.com/sdi_catalog/salesItemDetails.do?id=109120")</f>
        <v>https://www.fabsurplus.com/sdi_catalog/salesItemDetails.do?id=109120</v>
      </c>
      <c r="B159" s="5" t="s">
        <v>488</v>
      </c>
      <c r="C159" s="5" t="s">
        <v>411</v>
      </c>
      <c r="D159" s="5" t="s">
        <v>489</v>
      </c>
      <c r="E159" s="5" t="s">
        <v>490</v>
      </c>
      <c r="F159" s="5" t="s">
        <v>55</v>
      </c>
      <c r="G159" s="5" t="s">
        <v>392</v>
      </c>
      <c r="H159" s="5" t="s">
        <v>18</v>
      </c>
      <c r="I159" s="6" t="n">
        <v>40330</v>
      </c>
      <c r="J159" s="5" t="s">
        <v>19</v>
      </c>
      <c r="K159" s="5" t="s">
        <v>20</v>
      </c>
      <c r="L159" s="5"/>
    </row>
    <row r="160" customFormat="false" ht="15.65" hidden="false" customHeight="true" outlineLevel="0" collapsed="false">
      <c r="A160" s="2" t="str">
        <f aca="false">HYPERLINK("https://www.fabsurplus.com/sdi_catalog/salesItemDetails.do?id=80194")</f>
        <v>https://www.fabsurplus.com/sdi_catalog/salesItemDetails.do?id=80194</v>
      </c>
      <c r="B160" s="2" t="s">
        <v>491</v>
      </c>
      <c r="C160" s="2" t="s">
        <v>411</v>
      </c>
      <c r="D160" s="2" t="s">
        <v>492</v>
      </c>
      <c r="E160" s="2" t="s">
        <v>438</v>
      </c>
      <c r="F160" s="2" t="s">
        <v>78</v>
      </c>
      <c r="G160" s="2" t="s">
        <v>104</v>
      </c>
      <c r="H160" s="2" t="s">
        <v>32</v>
      </c>
      <c r="I160" s="2"/>
      <c r="J160" s="2" t="s">
        <v>19</v>
      </c>
      <c r="K160" s="2" t="s">
        <v>20</v>
      </c>
      <c r="L160" s="4" t="s">
        <v>442</v>
      </c>
    </row>
    <row r="161" customFormat="false" ht="15.65" hidden="false" customHeight="true" outlineLevel="0" collapsed="false">
      <c r="A161" s="5" t="str">
        <f aca="false">HYPERLINK("https://www.fabsurplus.com/sdi_catalog/salesItemDetails.do?id=80195")</f>
        <v>https://www.fabsurplus.com/sdi_catalog/salesItemDetails.do?id=80195</v>
      </c>
      <c r="B161" s="5" t="s">
        <v>493</v>
      </c>
      <c r="C161" s="5" t="s">
        <v>411</v>
      </c>
      <c r="D161" s="5" t="s">
        <v>494</v>
      </c>
      <c r="E161" s="5" t="s">
        <v>438</v>
      </c>
      <c r="F161" s="5" t="s">
        <v>151</v>
      </c>
      <c r="G161" s="5" t="s">
        <v>104</v>
      </c>
      <c r="H161" s="5" t="s">
        <v>32</v>
      </c>
      <c r="I161" s="5"/>
      <c r="J161" s="5" t="s">
        <v>19</v>
      </c>
      <c r="K161" s="5" t="s">
        <v>20</v>
      </c>
      <c r="L161" s="7" t="s">
        <v>495</v>
      </c>
    </row>
    <row r="162" customFormat="false" ht="15.65" hidden="false" customHeight="true" outlineLevel="0" collapsed="false">
      <c r="A162" s="2" t="str">
        <f aca="false">HYPERLINK("https://www.fabsurplus.com/sdi_catalog/salesItemDetails.do?id=80196")</f>
        <v>https://www.fabsurplus.com/sdi_catalog/salesItemDetails.do?id=80196</v>
      </c>
      <c r="B162" s="2" t="s">
        <v>496</v>
      </c>
      <c r="C162" s="2" t="s">
        <v>411</v>
      </c>
      <c r="D162" s="2" t="s">
        <v>497</v>
      </c>
      <c r="E162" s="2" t="s">
        <v>438</v>
      </c>
      <c r="F162" s="2" t="s">
        <v>151</v>
      </c>
      <c r="G162" s="2"/>
      <c r="H162" s="2" t="s">
        <v>18</v>
      </c>
      <c r="I162" s="2"/>
      <c r="J162" s="2" t="s">
        <v>19</v>
      </c>
      <c r="K162" s="2" t="s">
        <v>20</v>
      </c>
      <c r="L162" s="4" t="s">
        <v>498</v>
      </c>
    </row>
    <row r="163" customFormat="false" ht="15.65" hidden="false" customHeight="true" outlineLevel="0" collapsed="false">
      <c r="A163" s="5" t="str">
        <f aca="false">HYPERLINK("https://www.fabsurplus.com/sdi_catalog/salesItemDetails.do?id=80197")</f>
        <v>https://www.fabsurplus.com/sdi_catalog/salesItemDetails.do?id=80197</v>
      </c>
      <c r="B163" s="5" t="s">
        <v>499</v>
      </c>
      <c r="C163" s="5" t="s">
        <v>411</v>
      </c>
      <c r="D163" s="5" t="s">
        <v>500</v>
      </c>
      <c r="E163" s="5" t="s">
        <v>438</v>
      </c>
      <c r="F163" s="5" t="s">
        <v>86</v>
      </c>
      <c r="G163" s="5" t="s">
        <v>104</v>
      </c>
      <c r="H163" s="5" t="s">
        <v>18</v>
      </c>
      <c r="I163" s="5"/>
      <c r="J163" s="5" t="s">
        <v>19</v>
      </c>
      <c r="K163" s="5" t="s">
        <v>20</v>
      </c>
      <c r="L163" s="7" t="s">
        <v>501</v>
      </c>
    </row>
    <row r="164" customFormat="false" ht="15.65" hidden="false" customHeight="true" outlineLevel="0" collapsed="false">
      <c r="A164" s="2" t="str">
        <f aca="false">HYPERLINK("https://www.fabsurplus.com/sdi_catalog/salesItemDetails.do?id=80198")</f>
        <v>https://www.fabsurplus.com/sdi_catalog/salesItemDetails.do?id=80198</v>
      </c>
      <c r="B164" s="2" t="s">
        <v>502</v>
      </c>
      <c r="C164" s="2" t="s">
        <v>411</v>
      </c>
      <c r="D164" s="2" t="s">
        <v>503</v>
      </c>
      <c r="E164" s="2" t="s">
        <v>438</v>
      </c>
      <c r="F164" s="2" t="s">
        <v>16</v>
      </c>
      <c r="G164" s="2" t="s">
        <v>104</v>
      </c>
      <c r="H164" s="2" t="s">
        <v>32</v>
      </c>
      <c r="I164" s="2"/>
      <c r="J164" s="2" t="s">
        <v>19</v>
      </c>
      <c r="K164" s="2" t="s">
        <v>20</v>
      </c>
      <c r="L164" s="4" t="s">
        <v>445</v>
      </c>
    </row>
    <row r="165" customFormat="false" ht="15.65" hidden="false" customHeight="true" outlineLevel="0" collapsed="false">
      <c r="A165" s="5" t="str">
        <f aca="false">HYPERLINK("https://www.fabsurplus.com/sdi_catalog/salesItemDetails.do?id=80199")</f>
        <v>https://www.fabsurplus.com/sdi_catalog/salesItemDetails.do?id=80199</v>
      </c>
      <c r="B165" s="5" t="s">
        <v>504</v>
      </c>
      <c r="C165" s="5" t="s">
        <v>411</v>
      </c>
      <c r="D165" s="5" t="s">
        <v>505</v>
      </c>
      <c r="E165" s="5" t="s">
        <v>438</v>
      </c>
      <c r="F165" s="5" t="s">
        <v>16</v>
      </c>
      <c r="G165" s="5" t="s">
        <v>104</v>
      </c>
      <c r="H165" s="5" t="s">
        <v>32</v>
      </c>
      <c r="I165" s="5"/>
      <c r="J165" s="5" t="s">
        <v>19</v>
      </c>
      <c r="K165" s="5" t="s">
        <v>20</v>
      </c>
      <c r="L165" s="5" t="s">
        <v>506</v>
      </c>
    </row>
    <row r="166" customFormat="false" ht="15.65" hidden="false" customHeight="true" outlineLevel="0" collapsed="false">
      <c r="A166" s="2" t="str">
        <f aca="false">HYPERLINK("https://www.fabsurplus.com/sdi_catalog/salesItemDetails.do?id=80200")</f>
        <v>https://www.fabsurplus.com/sdi_catalog/salesItemDetails.do?id=80200</v>
      </c>
      <c r="B166" s="2" t="s">
        <v>507</v>
      </c>
      <c r="C166" s="2" t="s">
        <v>411</v>
      </c>
      <c r="D166" s="2" t="s">
        <v>508</v>
      </c>
      <c r="E166" s="2" t="s">
        <v>438</v>
      </c>
      <c r="F166" s="2" t="s">
        <v>16</v>
      </c>
      <c r="G166" s="2" t="s">
        <v>104</v>
      </c>
      <c r="H166" s="2" t="s">
        <v>32</v>
      </c>
      <c r="I166" s="2"/>
      <c r="J166" s="2" t="s">
        <v>19</v>
      </c>
      <c r="K166" s="2" t="s">
        <v>20</v>
      </c>
      <c r="L166" s="2" t="s">
        <v>509</v>
      </c>
    </row>
    <row r="167" customFormat="false" ht="15.65" hidden="false" customHeight="true" outlineLevel="0" collapsed="false">
      <c r="A167" s="5" t="str">
        <f aca="false">HYPERLINK("https://www.fabsurplus.com/sdi_catalog/salesItemDetails.do?id=80201")</f>
        <v>https://www.fabsurplus.com/sdi_catalog/salesItemDetails.do?id=80201</v>
      </c>
      <c r="B167" s="5" t="s">
        <v>510</v>
      </c>
      <c r="C167" s="5" t="s">
        <v>411</v>
      </c>
      <c r="D167" s="5" t="s">
        <v>511</v>
      </c>
      <c r="E167" s="5" t="s">
        <v>438</v>
      </c>
      <c r="F167" s="5" t="s">
        <v>16</v>
      </c>
      <c r="G167" s="5" t="s">
        <v>104</v>
      </c>
      <c r="H167" s="5" t="s">
        <v>32</v>
      </c>
      <c r="I167" s="5"/>
      <c r="J167" s="5" t="s">
        <v>19</v>
      </c>
      <c r="K167" s="5" t="s">
        <v>20</v>
      </c>
      <c r="L167" s="5" t="s">
        <v>512</v>
      </c>
    </row>
    <row r="168" customFormat="false" ht="15.65" hidden="false" customHeight="true" outlineLevel="0" collapsed="false">
      <c r="A168" s="2" t="str">
        <f aca="false">HYPERLINK("https://www.fabsurplus.com/sdi_catalog/salesItemDetails.do?id=80202")</f>
        <v>https://www.fabsurplus.com/sdi_catalog/salesItemDetails.do?id=80202</v>
      </c>
      <c r="B168" s="2" t="s">
        <v>513</v>
      </c>
      <c r="C168" s="2" t="s">
        <v>411</v>
      </c>
      <c r="D168" s="2" t="s">
        <v>514</v>
      </c>
      <c r="E168" s="2" t="s">
        <v>515</v>
      </c>
      <c r="F168" s="2" t="s">
        <v>151</v>
      </c>
      <c r="G168" s="2" t="s">
        <v>104</v>
      </c>
      <c r="H168" s="2" t="s">
        <v>32</v>
      </c>
      <c r="I168" s="2"/>
      <c r="J168" s="2" t="s">
        <v>19</v>
      </c>
      <c r="K168" s="2"/>
      <c r="L168" s="4" t="s">
        <v>516</v>
      </c>
    </row>
    <row r="169" customFormat="false" ht="15.65" hidden="false" customHeight="true" outlineLevel="0" collapsed="false">
      <c r="A169" s="5" t="str">
        <f aca="false">HYPERLINK("https://www.fabsurplus.com/sdi_catalog/salesItemDetails.do?id=106570")</f>
        <v>https://www.fabsurplus.com/sdi_catalog/salesItemDetails.do?id=106570</v>
      </c>
      <c r="B169" s="5" t="s">
        <v>517</v>
      </c>
      <c r="C169" s="5" t="s">
        <v>385</v>
      </c>
      <c r="D169" s="5" t="s">
        <v>419</v>
      </c>
      <c r="E169" s="5" t="s">
        <v>482</v>
      </c>
      <c r="F169" s="5" t="s">
        <v>16</v>
      </c>
      <c r="G169" s="5" t="s">
        <v>392</v>
      </c>
      <c r="H169" s="5"/>
      <c r="I169" s="6" t="n">
        <v>36678</v>
      </c>
      <c r="J169" s="5" t="s">
        <v>19</v>
      </c>
      <c r="K169" s="5"/>
      <c r="L169" s="5" t="s">
        <v>518</v>
      </c>
    </row>
    <row r="170" customFormat="false" ht="15.65" hidden="false" customHeight="true" outlineLevel="0" collapsed="false">
      <c r="A170" s="2" t="str">
        <f aca="false">HYPERLINK("https://www.fabsurplus.com/sdi_catalog/salesItemDetails.do?id=80203")</f>
        <v>https://www.fabsurplus.com/sdi_catalog/salesItemDetails.do?id=80203</v>
      </c>
      <c r="B170" s="2" t="s">
        <v>519</v>
      </c>
      <c r="C170" s="2" t="s">
        <v>411</v>
      </c>
      <c r="D170" s="2" t="s">
        <v>520</v>
      </c>
      <c r="E170" s="2" t="s">
        <v>438</v>
      </c>
      <c r="F170" s="2" t="s">
        <v>55</v>
      </c>
      <c r="G170" s="2" t="s">
        <v>104</v>
      </c>
      <c r="H170" s="2" t="s">
        <v>18</v>
      </c>
      <c r="I170" s="2"/>
      <c r="J170" s="2" t="s">
        <v>19</v>
      </c>
      <c r="K170" s="2" t="s">
        <v>20</v>
      </c>
      <c r="L170" s="4" t="s">
        <v>521</v>
      </c>
    </row>
    <row r="171" customFormat="false" ht="15.65" hidden="false" customHeight="true" outlineLevel="0" collapsed="false">
      <c r="A171" s="5" t="str">
        <f aca="false">HYPERLINK("https://www.fabsurplus.com/sdi_catalog/salesItemDetails.do?id=106571")</f>
        <v>https://www.fabsurplus.com/sdi_catalog/salesItemDetails.do?id=106571</v>
      </c>
      <c r="B171" s="5" t="s">
        <v>522</v>
      </c>
      <c r="C171" s="5" t="s">
        <v>385</v>
      </c>
      <c r="D171" s="5" t="s">
        <v>419</v>
      </c>
      <c r="E171" s="5" t="s">
        <v>482</v>
      </c>
      <c r="F171" s="5" t="s">
        <v>16</v>
      </c>
      <c r="G171" s="5" t="s">
        <v>392</v>
      </c>
      <c r="H171" s="5"/>
      <c r="I171" s="6" t="n">
        <v>36678</v>
      </c>
      <c r="J171" s="5" t="s">
        <v>19</v>
      </c>
      <c r="K171" s="5"/>
      <c r="L171" s="5" t="s">
        <v>518</v>
      </c>
    </row>
    <row r="172" customFormat="false" ht="15.65" hidden="false" customHeight="true" outlineLevel="0" collapsed="false">
      <c r="A172" s="2" t="str">
        <f aca="false">HYPERLINK("https://www.fabsurplus.com/sdi_catalog/salesItemDetails.do?id=109131")</f>
        <v>https://www.fabsurplus.com/sdi_catalog/salesItemDetails.do?id=109131</v>
      </c>
      <c r="B172" s="2" t="s">
        <v>523</v>
      </c>
      <c r="C172" s="2" t="s">
        <v>411</v>
      </c>
      <c r="D172" s="2" t="s">
        <v>394</v>
      </c>
      <c r="E172" s="2" t="s">
        <v>482</v>
      </c>
      <c r="F172" s="2" t="s">
        <v>16</v>
      </c>
      <c r="G172" s="2" t="s">
        <v>392</v>
      </c>
      <c r="H172" s="2"/>
      <c r="I172" s="2"/>
      <c r="J172" s="2" t="s">
        <v>19</v>
      </c>
      <c r="K172" s="2"/>
      <c r="L172" s="2"/>
    </row>
    <row r="173" customFormat="false" ht="15.65" hidden="false" customHeight="true" outlineLevel="0" collapsed="false">
      <c r="A173" s="5" t="str">
        <f aca="false">HYPERLINK("https://www.fabsurplus.com/sdi_catalog/salesItemDetails.do?id=80204")</f>
        <v>https://www.fabsurplus.com/sdi_catalog/salesItemDetails.do?id=80204</v>
      </c>
      <c r="B173" s="5" t="s">
        <v>524</v>
      </c>
      <c r="C173" s="5" t="s">
        <v>411</v>
      </c>
      <c r="D173" s="5" t="s">
        <v>525</v>
      </c>
      <c r="E173" s="5" t="s">
        <v>438</v>
      </c>
      <c r="F173" s="5" t="s">
        <v>16</v>
      </c>
      <c r="G173" s="5" t="s">
        <v>104</v>
      </c>
      <c r="H173" s="5" t="s">
        <v>32</v>
      </c>
      <c r="I173" s="5"/>
      <c r="J173" s="5" t="s">
        <v>19</v>
      </c>
      <c r="K173" s="5" t="s">
        <v>20</v>
      </c>
      <c r="L173" s="7" t="s">
        <v>495</v>
      </c>
    </row>
    <row r="174" customFormat="false" ht="15.65" hidden="false" customHeight="true" outlineLevel="0" collapsed="false">
      <c r="A174" s="2" t="str">
        <f aca="false">HYPERLINK("https://www.fabsurplus.com/sdi_catalog/salesItemDetails.do?id=106572")</f>
        <v>https://www.fabsurplus.com/sdi_catalog/salesItemDetails.do?id=106572</v>
      </c>
      <c r="B174" s="2" t="s">
        <v>526</v>
      </c>
      <c r="C174" s="2" t="s">
        <v>385</v>
      </c>
      <c r="D174" s="2" t="s">
        <v>394</v>
      </c>
      <c r="E174" s="2" t="s">
        <v>482</v>
      </c>
      <c r="F174" s="2" t="s">
        <v>16</v>
      </c>
      <c r="G174" s="2" t="s">
        <v>392</v>
      </c>
      <c r="H174" s="2"/>
      <c r="I174" s="3" t="n">
        <v>37043</v>
      </c>
      <c r="J174" s="2" t="s">
        <v>19</v>
      </c>
      <c r="K174" s="2"/>
      <c r="L174" s="2" t="s">
        <v>518</v>
      </c>
    </row>
    <row r="175" customFormat="false" ht="15.65" hidden="false" customHeight="true" outlineLevel="0" collapsed="false">
      <c r="A175" s="5" t="str">
        <f aca="false">HYPERLINK("https://www.fabsurplus.com/sdi_catalog/salesItemDetails.do?id=109132")</f>
        <v>https://www.fabsurplus.com/sdi_catalog/salesItemDetails.do?id=109132</v>
      </c>
      <c r="B175" s="5" t="s">
        <v>527</v>
      </c>
      <c r="C175" s="5" t="s">
        <v>411</v>
      </c>
      <c r="D175" s="5" t="s">
        <v>394</v>
      </c>
      <c r="E175" s="5" t="s">
        <v>482</v>
      </c>
      <c r="F175" s="5" t="s">
        <v>16</v>
      </c>
      <c r="G175" s="5" t="s">
        <v>392</v>
      </c>
      <c r="H175" s="5"/>
      <c r="I175" s="5"/>
      <c r="J175" s="5" t="s">
        <v>19</v>
      </c>
      <c r="K175" s="5"/>
      <c r="L175" s="5"/>
    </row>
    <row r="176" customFormat="false" ht="15.65" hidden="false" customHeight="true" outlineLevel="0" collapsed="false">
      <c r="A176" s="2" t="str">
        <f aca="false">HYPERLINK("https://www.fabsurplus.com/sdi_catalog/salesItemDetails.do?id=80205")</f>
        <v>https://www.fabsurplus.com/sdi_catalog/salesItemDetails.do?id=80205</v>
      </c>
      <c r="B176" s="2" t="s">
        <v>528</v>
      </c>
      <c r="C176" s="2" t="s">
        <v>411</v>
      </c>
      <c r="D176" s="2" t="s">
        <v>529</v>
      </c>
      <c r="E176" s="2" t="s">
        <v>438</v>
      </c>
      <c r="F176" s="2" t="s">
        <v>151</v>
      </c>
      <c r="G176" s="2" t="s">
        <v>104</v>
      </c>
      <c r="H176" s="2" t="s">
        <v>18</v>
      </c>
      <c r="I176" s="2"/>
      <c r="J176" s="2" t="s">
        <v>19</v>
      </c>
      <c r="K176" s="2" t="s">
        <v>20</v>
      </c>
      <c r="L176" s="4" t="s">
        <v>530</v>
      </c>
    </row>
    <row r="177" customFormat="false" ht="15.65" hidden="false" customHeight="true" outlineLevel="0" collapsed="false">
      <c r="A177" s="5" t="str">
        <f aca="false">HYPERLINK("https://www.fabsurplus.com/sdi_catalog/salesItemDetails.do?id=106573")</f>
        <v>https://www.fabsurplus.com/sdi_catalog/salesItemDetails.do?id=106573</v>
      </c>
      <c r="B177" s="5" t="s">
        <v>531</v>
      </c>
      <c r="C177" s="5" t="s">
        <v>385</v>
      </c>
      <c r="D177" s="5" t="s">
        <v>394</v>
      </c>
      <c r="E177" s="5" t="s">
        <v>482</v>
      </c>
      <c r="F177" s="5" t="s">
        <v>16</v>
      </c>
      <c r="G177" s="5" t="s">
        <v>392</v>
      </c>
      <c r="H177" s="5"/>
      <c r="I177" s="5"/>
      <c r="J177" s="5" t="s">
        <v>19</v>
      </c>
      <c r="K177" s="5"/>
      <c r="L177" s="5" t="s">
        <v>518</v>
      </c>
    </row>
    <row r="178" customFormat="false" ht="15.65" hidden="false" customHeight="true" outlineLevel="0" collapsed="false">
      <c r="A178" s="2" t="str">
        <f aca="false">HYPERLINK("https://www.fabsurplus.com/sdi_catalog/salesItemDetails.do?id=80206")</f>
        <v>https://www.fabsurplus.com/sdi_catalog/salesItemDetails.do?id=80206</v>
      </c>
      <c r="B178" s="2" t="s">
        <v>532</v>
      </c>
      <c r="C178" s="2" t="s">
        <v>411</v>
      </c>
      <c r="D178" s="2" t="s">
        <v>533</v>
      </c>
      <c r="E178" s="2" t="s">
        <v>438</v>
      </c>
      <c r="F178" s="2" t="s">
        <v>151</v>
      </c>
      <c r="G178" s="2" t="s">
        <v>104</v>
      </c>
      <c r="H178" s="2" t="s">
        <v>18</v>
      </c>
      <c r="I178" s="2"/>
      <c r="J178" s="2" t="s">
        <v>19</v>
      </c>
      <c r="K178" s="2" t="s">
        <v>20</v>
      </c>
      <c r="L178" s="4" t="s">
        <v>495</v>
      </c>
    </row>
    <row r="179" customFormat="false" ht="15.65" hidden="false" customHeight="true" outlineLevel="0" collapsed="false">
      <c r="A179" s="5" t="str">
        <f aca="false">HYPERLINK("https://www.fabsurplus.com/sdi_catalog/salesItemDetails.do?id=80207")</f>
        <v>https://www.fabsurplus.com/sdi_catalog/salesItemDetails.do?id=80207</v>
      </c>
      <c r="B179" s="5" t="s">
        <v>534</v>
      </c>
      <c r="C179" s="5" t="s">
        <v>411</v>
      </c>
      <c r="D179" s="5" t="s">
        <v>437</v>
      </c>
      <c r="E179" s="5" t="s">
        <v>535</v>
      </c>
      <c r="F179" s="5" t="s">
        <v>236</v>
      </c>
      <c r="G179" s="5" t="s">
        <v>104</v>
      </c>
      <c r="H179" s="5" t="s">
        <v>18</v>
      </c>
      <c r="I179" s="5"/>
      <c r="J179" s="5" t="s">
        <v>19</v>
      </c>
      <c r="K179" s="5" t="s">
        <v>20</v>
      </c>
      <c r="L179" s="7" t="s">
        <v>536</v>
      </c>
    </row>
    <row r="180" customFormat="false" ht="15.65" hidden="false" customHeight="true" outlineLevel="0" collapsed="false">
      <c r="A180" s="2" t="str">
        <f aca="false">HYPERLINK("https://www.fabsurplus.com/sdi_catalog/salesItemDetails.do?id=80208")</f>
        <v>https://www.fabsurplus.com/sdi_catalog/salesItemDetails.do?id=80208</v>
      </c>
      <c r="B180" s="2" t="s">
        <v>537</v>
      </c>
      <c r="C180" s="2" t="s">
        <v>411</v>
      </c>
      <c r="D180" s="2" t="s">
        <v>538</v>
      </c>
      <c r="E180" s="2" t="s">
        <v>438</v>
      </c>
      <c r="F180" s="2" t="s">
        <v>151</v>
      </c>
      <c r="G180" s="2" t="s">
        <v>104</v>
      </c>
      <c r="H180" s="2" t="s">
        <v>18</v>
      </c>
      <c r="I180" s="2"/>
      <c r="J180" s="2" t="s">
        <v>19</v>
      </c>
      <c r="K180" s="2" t="s">
        <v>20</v>
      </c>
      <c r="L180" s="4" t="s">
        <v>501</v>
      </c>
    </row>
    <row r="181" customFormat="false" ht="15.65" hidden="false" customHeight="true" outlineLevel="0" collapsed="false">
      <c r="A181" s="5" t="str">
        <f aca="false">HYPERLINK("https://www.fabsurplus.com/sdi_catalog/salesItemDetails.do?id=80209")</f>
        <v>https://www.fabsurplus.com/sdi_catalog/salesItemDetails.do?id=80209</v>
      </c>
      <c r="B181" s="5" t="s">
        <v>539</v>
      </c>
      <c r="C181" s="5" t="s">
        <v>411</v>
      </c>
      <c r="D181" s="5" t="s">
        <v>540</v>
      </c>
      <c r="E181" s="5" t="s">
        <v>541</v>
      </c>
      <c r="F181" s="5" t="s">
        <v>151</v>
      </c>
      <c r="G181" s="5" t="s">
        <v>104</v>
      </c>
      <c r="H181" s="5" t="s">
        <v>18</v>
      </c>
      <c r="I181" s="5"/>
      <c r="J181" s="5" t="s">
        <v>19</v>
      </c>
      <c r="K181" s="5" t="s">
        <v>20</v>
      </c>
      <c r="L181" s="7" t="s">
        <v>536</v>
      </c>
    </row>
    <row r="182" customFormat="false" ht="15.65" hidden="false" customHeight="true" outlineLevel="0" collapsed="false">
      <c r="A182" s="2" t="str">
        <f aca="false">HYPERLINK("https://www.fabsurplus.com/sdi_catalog/salesItemDetails.do?id=80210")</f>
        <v>https://www.fabsurplus.com/sdi_catalog/salesItemDetails.do?id=80210</v>
      </c>
      <c r="B182" s="2" t="s">
        <v>542</v>
      </c>
      <c r="C182" s="2" t="s">
        <v>411</v>
      </c>
      <c r="D182" s="2" t="s">
        <v>543</v>
      </c>
      <c r="E182" s="2" t="s">
        <v>438</v>
      </c>
      <c r="F182" s="2" t="s">
        <v>16</v>
      </c>
      <c r="G182" s="2" t="s">
        <v>104</v>
      </c>
      <c r="H182" s="2" t="s">
        <v>18</v>
      </c>
      <c r="I182" s="2"/>
      <c r="J182" s="2" t="s">
        <v>19</v>
      </c>
      <c r="K182" s="2" t="s">
        <v>20</v>
      </c>
      <c r="L182" s="4" t="s">
        <v>501</v>
      </c>
    </row>
    <row r="183" customFormat="false" ht="15.65" hidden="false" customHeight="true" outlineLevel="0" collapsed="false">
      <c r="A183" s="5" t="str">
        <f aca="false">HYPERLINK("https://www.fabsurplus.com/sdi_catalog/salesItemDetails.do?id=83550")</f>
        <v>https://www.fabsurplus.com/sdi_catalog/salesItemDetails.do?id=83550</v>
      </c>
      <c r="B183" s="5" t="s">
        <v>544</v>
      </c>
      <c r="C183" s="5" t="s">
        <v>411</v>
      </c>
      <c r="D183" s="5" t="s">
        <v>545</v>
      </c>
      <c r="E183" s="5" t="s">
        <v>546</v>
      </c>
      <c r="F183" s="5" t="s">
        <v>151</v>
      </c>
      <c r="G183" s="5" t="s">
        <v>104</v>
      </c>
      <c r="H183" s="5" t="s">
        <v>32</v>
      </c>
      <c r="I183" s="5"/>
      <c r="J183" s="5" t="s">
        <v>19</v>
      </c>
      <c r="K183" s="5" t="s">
        <v>20</v>
      </c>
      <c r="L183" s="7" t="s">
        <v>547</v>
      </c>
    </row>
    <row r="184" customFormat="false" ht="15.65" hidden="false" customHeight="true" outlineLevel="0" collapsed="false">
      <c r="A184" s="2" t="str">
        <f aca="false">HYPERLINK("https://www.fabsurplus.com/sdi_catalog/salesItemDetails.do?id=87652")</f>
        <v>https://www.fabsurplus.com/sdi_catalog/salesItemDetails.do?id=87652</v>
      </c>
      <c r="B184" s="2" t="s">
        <v>548</v>
      </c>
      <c r="C184" s="2" t="s">
        <v>411</v>
      </c>
      <c r="D184" s="2" t="s">
        <v>419</v>
      </c>
      <c r="E184" s="2" t="s">
        <v>549</v>
      </c>
      <c r="F184" s="2" t="s">
        <v>16</v>
      </c>
      <c r="G184" s="2" t="s">
        <v>401</v>
      </c>
      <c r="H184" s="2" t="s">
        <v>18</v>
      </c>
      <c r="I184" s="2"/>
      <c r="J184" s="2" t="s">
        <v>19</v>
      </c>
      <c r="K184" s="2" t="s">
        <v>20</v>
      </c>
      <c r="L184" s="4" t="s">
        <v>550</v>
      </c>
    </row>
    <row r="185" customFormat="false" ht="15.65" hidden="false" customHeight="true" outlineLevel="0" collapsed="false">
      <c r="A185" s="5" t="str">
        <f aca="false">HYPERLINK("https://www.fabsurplus.com/sdi_catalog/salesItemDetails.do?id=92006")</f>
        <v>https://www.fabsurplus.com/sdi_catalog/salesItemDetails.do?id=92006</v>
      </c>
      <c r="B185" s="5" t="s">
        <v>551</v>
      </c>
      <c r="C185" s="5" t="s">
        <v>411</v>
      </c>
      <c r="D185" s="5" t="s">
        <v>437</v>
      </c>
      <c r="E185" s="5" t="s">
        <v>438</v>
      </c>
      <c r="F185" s="5" t="s">
        <v>16</v>
      </c>
      <c r="G185" s="5" t="s">
        <v>97</v>
      </c>
      <c r="H185" s="5" t="s">
        <v>18</v>
      </c>
      <c r="I185" s="5"/>
      <c r="J185" s="5" t="s">
        <v>19</v>
      </c>
      <c r="K185" s="5" t="s">
        <v>20</v>
      </c>
      <c r="L185" s="7" t="s">
        <v>552</v>
      </c>
    </row>
    <row r="186" customFormat="false" ht="15.65" hidden="false" customHeight="true" outlineLevel="0" collapsed="false">
      <c r="A186" s="2" t="str">
        <f aca="false">HYPERLINK("https://www.fabsurplus.com/sdi_catalog/salesItemDetails.do?id=92007")</f>
        <v>https://www.fabsurplus.com/sdi_catalog/salesItemDetails.do?id=92007</v>
      </c>
      <c r="B186" s="2" t="s">
        <v>553</v>
      </c>
      <c r="C186" s="2" t="s">
        <v>411</v>
      </c>
      <c r="D186" s="2" t="s">
        <v>554</v>
      </c>
      <c r="E186" s="2" t="s">
        <v>438</v>
      </c>
      <c r="F186" s="2" t="s">
        <v>16</v>
      </c>
      <c r="G186" s="2" t="s">
        <v>97</v>
      </c>
      <c r="H186" s="2" t="s">
        <v>18</v>
      </c>
      <c r="I186" s="2"/>
      <c r="J186" s="2" t="s">
        <v>19</v>
      </c>
      <c r="K186" s="2" t="s">
        <v>20</v>
      </c>
      <c r="L186" s="4" t="s">
        <v>555</v>
      </c>
    </row>
    <row r="187" customFormat="false" ht="15.65" hidden="false" customHeight="true" outlineLevel="0" collapsed="false">
      <c r="A187" s="5" t="str">
        <f aca="false">HYPERLINK("https://www.fabsurplus.com/sdi_catalog/salesItemDetails.do?id=92008")</f>
        <v>https://www.fabsurplus.com/sdi_catalog/salesItemDetails.do?id=92008</v>
      </c>
      <c r="B187" s="5" t="s">
        <v>556</v>
      </c>
      <c r="C187" s="5" t="s">
        <v>411</v>
      </c>
      <c r="D187" s="5" t="s">
        <v>447</v>
      </c>
      <c r="E187" s="5" t="s">
        <v>438</v>
      </c>
      <c r="F187" s="5" t="s">
        <v>16</v>
      </c>
      <c r="G187" s="5" t="s">
        <v>97</v>
      </c>
      <c r="H187" s="5" t="s">
        <v>18</v>
      </c>
      <c r="I187" s="5"/>
      <c r="J187" s="5" t="s">
        <v>19</v>
      </c>
      <c r="K187" s="5" t="s">
        <v>20</v>
      </c>
      <c r="L187" s="7" t="s">
        <v>557</v>
      </c>
    </row>
    <row r="188" customFormat="false" ht="15.65" hidden="false" customHeight="true" outlineLevel="0" collapsed="false">
      <c r="A188" s="2" t="str">
        <f aca="false">HYPERLINK("https://www.fabsurplus.com/sdi_catalog/salesItemDetails.do?id=92009")</f>
        <v>https://www.fabsurplus.com/sdi_catalog/salesItemDetails.do?id=92009</v>
      </c>
      <c r="B188" s="2" t="s">
        <v>558</v>
      </c>
      <c r="C188" s="2" t="s">
        <v>411</v>
      </c>
      <c r="D188" s="2" t="s">
        <v>559</v>
      </c>
      <c r="E188" s="2" t="s">
        <v>560</v>
      </c>
      <c r="F188" s="2" t="s">
        <v>561</v>
      </c>
      <c r="G188" s="2" t="s">
        <v>97</v>
      </c>
      <c r="H188" s="2" t="s">
        <v>18</v>
      </c>
      <c r="I188" s="2"/>
      <c r="J188" s="2" t="s">
        <v>19</v>
      </c>
      <c r="K188" s="2" t="s">
        <v>20</v>
      </c>
      <c r="L188" s="4" t="s">
        <v>562</v>
      </c>
    </row>
    <row r="189" customFormat="false" ht="15.65" hidden="false" customHeight="true" outlineLevel="0" collapsed="false">
      <c r="A189" s="5" t="str">
        <f aca="false">HYPERLINK("https://www.fabsurplus.com/sdi_catalog/salesItemDetails.do?id=103812")</f>
        <v>https://www.fabsurplus.com/sdi_catalog/salesItemDetails.do?id=103812</v>
      </c>
      <c r="B189" s="5" t="s">
        <v>563</v>
      </c>
      <c r="C189" s="5" t="s">
        <v>411</v>
      </c>
      <c r="D189" s="5" t="s">
        <v>559</v>
      </c>
      <c r="E189" s="5" t="s">
        <v>564</v>
      </c>
      <c r="F189" s="5" t="s">
        <v>16</v>
      </c>
      <c r="G189" s="5" t="s">
        <v>565</v>
      </c>
      <c r="H189" s="5" t="s">
        <v>18</v>
      </c>
      <c r="I189" s="5"/>
      <c r="J189" s="5" t="s">
        <v>19</v>
      </c>
      <c r="K189" s="5" t="s">
        <v>20</v>
      </c>
      <c r="L189" s="7" t="s">
        <v>566</v>
      </c>
    </row>
    <row r="190" customFormat="false" ht="15.65" hidden="false" customHeight="true" outlineLevel="0" collapsed="false">
      <c r="A190" s="2" t="str">
        <f aca="false">HYPERLINK("https://www.fabsurplus.com/sdi_catalog/salesItemDetails.do?id=80293")</f>
        <v>https://www.fabsurplus.com/sdi_catalog/salesItemDetails.do?id=80293</v>
      </c>
      <c r="B190" s="2" t="s">
        <v>567</v>
      </c>
      <c r="C190" s="2" t="s">
        <v>411</v>
      </c>
      <c r="D190" s="2" t="s">
        <v>568</v>
      </c>
      <c r="E190" s="2" t="s">
        <v>438</v>
      </c>
      <c r="F190" s="2" t="s">
        <v>151</v>
      </c>
      <c r="G190" s="2" t="s">
        <v>104</v>
      </c>
      <c r="H190" s="2" t="s">
        <v>32</v>
      </c>
      <c r="I190" s="2"/>
      <c r="J190" s="2" t="s">
        <v>19</v>
      </c>
      <c r="K190" s="2" t="s">
        <v>20</v>
      </c>
      <c r="L190" s="4" t="s">
        <v>501</v>
      </c>
    </row>
    <row r="191" customFormat="false" ht="15.65" hidden="false" customHeight="true" outlineLevel="0" collapsed="false">
      <c r="A191" s="5" t="str">
        <f aca="false">HYPERLINK("https://www.fabsurplus.com/sdi_catalog/salesItemDetails.do?id=80294")</f>
        <v>https://www.fabsurplus.com/sdi_catalog/salesItemDetails.do?id=80294</v>
      </c>
      <c r="B191" s="5" t="s">
        <v>569</v>
      </c>
      <c r="C191" s="5" t="s">
        <v>411</v>
      </c>
      <c r="D191" s="5" t="s">
        <v>570</v>
      </c>
      <c r="E191" s="5" t="s">
        <v>438</v>
      </c>
      <c r="F191" s="5" t="s">
        <v>108</v>
      </c>
      <c r="G191" s="5" t="s">
        <v>104</v>
      </c>
      <c r="H191" s="5" t="s">
        <v>32</v>
      </c>
      <c r="I191" s="5"/>
      <c r="J191" s="5" t="s">
        <v>19</v>
      </c>
      <c r="K191" s="5" t="s">
        <v>20</v>
      </c>
      <c r="L191" s="7" t="s">
        <v>571</v>
      </c>
    </row>
    <row r="192" customFormat="false" ht="15.65" hidden="false" customHeight="true" outlineLevel="0" collapsed="false">
      <c r="A192" s="2" t="str">
        <f aca="false">HYPERLINK("https://www.fabsurplus.com/sdi_catalog/salesItemDetails.do?id=80295")</f>
        <v>https://www.fabsurplus.com/sdi_catalog/salesItemDetails.do?id=80295</v>
      </c>
      <c r="B192" s="2" t="s">
        <v>572</v>
      </c>
      <c r="C192" s="2" t="s">
        <v>411</v>
      </c>
      <c r="D192" s="2" t="s">
        <v>573</v>
      </c>
      <c r="E192" s="2" t="s">
        <v>574</v>
      </c>
      <c r="F192" s="2" t="s">
        <v>16</v>
      </c>
      <c r="G192" s="2" t="s">
        <v>104</v>
      </c>
      <c r="H192" s="2" t="s">
        <v>18</v>
      </c>
      <c r="I192" s="2"/>
      <c r="J192" s="2" t="s">
        <v>19</v>
      </c>
      <c r="K192" s="2" t="s">
        <v>20</v>
      </c>
      <c r="L192" s="4" t="s">
        <v>575</v>
      </c>
    </row>
    <row r="193" customFormat="false" ht="15.65" hidden="false" customHeight="true" outlineLevel="0" collapsed="false">
      <c r="A193" s="5" t="str">
        <f aca="false">HYPERLINK("https://www.fabsurplus.com/sdi_catalog/salesItemDetails.do?id=80296")</f>
        <v>https://www.fabsurplus.com/sdi_catalog/salesItemDetails.do?id=80296</v>
      </c>
      <c r="B193" s="5" t="s">
        <v>576</v>
      </c>
      <c r="C193" s="5" t="s">
        <v>411</v>
      </c>
      <c r="D193" s="5" t="s">
        <v>577</v>
      </c>
      <c r="E193" s="5" t="s">
        <v>438</v>
      </c>
      <c r="F193" s="5" t="s">
        <v>151</v>
      </c>
      <c r="G193" s="5" t="s">
        <v>104</v>
      </c>
      <c r="H193" s="5" t="s">
        <v>18</v>
      </c>
      <c r="I193" s="5"/>
      <c r="J193" s="5" t="s">
        <v>19</v>
      </c>
      <c r="K193" s="5" t="s">
        <v>20</v>
      </c>
      <c r="L193" s="7" t="s">
        <v>445</v>
      </c>
    </row>
    <row r="194" customFormat="false" ht="15.65" hidden="false" customHeight="true" outlineLevel="0" collapsed="false">
      <c r="A194" s="2" t="str">
        <f aca="false">HYPERLINK("https://www.fabsurplus.com/sdi_catalog/salesItemDetails.do?id=80297")</f>
        <v>https://www.fabsurplus.com/sdi_catalog/salesItemDetails.do?id=80297</v>
      </c>
      <c r="B194" s="2" t="s">
        <v>578</v>
      </c>
      <c r="C194" s="2" t="s">
        <v>411</v>
      </c>
      <c r="D194" s="2" t="s">
        <v>579</v>
      </c>
      <c r="E194" s="2" t="s">
        <v>438</v>
      </c>
      <c r="F194" s="2" t="s">
        <v>203</v>
      </c>
      <c r="G194" s="2" t="s">
        <v>104</v>
      </c>
      <c r="H194" s="2" t="s">
        <v>32</v>
      </c>
      <c r="I194" s="2"/>
      <c r="J194" s="2" t="s">
        <v>19</v>
      </c>
      <c r="K194" s="2" t="s">
        <v>20</v>
      </c>
      <c r="L194" s="4" t="s">
        <v>580</v>
      </c>
    </row>
    <row r="195" customFormat="false" ht="15.65" hidden="false" customHeight="true" outlineLevel="0" collapsed="false">
      <c r="A195" s="5" t="str">
        <f aca="false">HYPERLINK("https://www.fabsurplus.com/sdi_catalog/salesItemDetails.do?id=80298")</f>
        <v>https://www.fabsurplus.com/sdi_catalog/salesItemDetails.do?id=80298</v>
      </c>
      <c r="B195" s="5" t="s">
        <v>581</v>
      </c>
      <c r="C195" s="5" t="s">
        <v>411</v>
      </c>
      <c r="D195" s="5" t="s">
        <v>582</v>
      </c>
      <c r="E195" s="5" t="s">
        <v>438</v>
      </c>
      <c r="F195" s="5" t="s">
        <v>86</v>
      </c>
      <c r="G195" s="5" t="s">
        <v>104</v>
      </c>
      <c r="H195" s="5" t="s">
        <v>32</v>
      </c>
      <c r="I195" s="5"/>
      <c r="J195" s="5" t="s">
        <v>19</v>
      </c>
      <c r="K195" s="5" t="s">
        <v>20</v>
      </c>
      <c r="L195" s="7" t="s">
        <v>495</v>
      </c>
    </row>
    <row r="196" customFormat="false" ht="15.65" hidden="false" customHeight="true" outlineLevel="0" collapsed="false">
      <c r="A196" s="2" t="str">
        <f aca="false">HYPERLINK("https://www.fabsurplus.com/sdi_catalog/salesItemDetails.do?id=80299")</f>
        <v>https://www.fabsurplus.com/sdi_catalog/salesItemDetails.do?id=80299</v>
      </c>
      <c r="B196" s="2" t="s">
        <v>583</v>
      </c>
      <c r="C196" s="2" t="s">
        <v>411</v>
      </c>
      <c r="D196" s="2" t="s">
        <v>554</v>
      </c>
      <c r="E196" s="2" t="s">
        <v>584</v>
      </c>
      <c r="F196" s="2" t="s">
        <v>108</v>
      </c>
      <c r="G196" s="2" t="s">
        <v>104</v>
      </c>
      <c r="H196" s="2" t="s">
        <v>32</v>
      </c>
      <c r="I196" s="2"/>
      <c r="J196" s="2" t="s">
        <v>19</v>
      </c>
      <c r="K196" s="2" t="s">
        <v>20</v>
      </c>
      <c r="L196" s="4" t="s">
        <v>585</v>
      </c>
    </row>
    <row r="197" customFormat="false" ht="15.65" hidden="false" customHeight="true" outlineLevel="0" collapsed="false">
      <c r="A197" s="5" t="str">
        <f aca="false">HYPERLINK("https://www.fabsurplus.com/sdi_catalog/salesItemDetails.do?id=80300")</f>
        <v>https://www.fabsurplus.com/sdi_catalog/salesItemDetails.do?id=80300</v>
      </c>
      <c r="B197" s="5" t="s">
        <v>586</v>
      </c>
      <c r="C197" s="5" t="s">
        <v>411</v>
      </c>
      <c r="D197" s="5" t="s">
        <v>587</v>
      </c>
      <c r="E197" s="5" t="s">
        <v>438</v>
      </c>
      <c r="F197" s="5" t="s">
        <v>151</v>
      </c>
      <c r="G197" s="5" t="s">
        <v>104</v>
      </c>
      <c r="H197" s="5" t="s">
        <v>18</v>
      </c>
      <c r="I197" s="5"/>
      <c r="J197" s="5" t="s">
        <v>19</v>
      </c>
      <c r="K197" s="5" t="s">
        <v>20</v>
      </c>
      <c r="L197" s="7" t="s">
        <v>445</v>
      </c>
    </row>
    <row r="198" customFormat="false" ht="15.65" hidden="false" customHeight="true" outlineLevel="0" collapsed="false">
      <c r="A198" s="2" t="str">
        <f aca="false">HYPERLINK("https://www.fabsurplus.com/sdi_catalog/salesItemDetails.do?id=80301")</f>
        <v>https://www.fabsurplus.com/sdi_catalog/salesItemDetails.do?id=80301</v>
      </c>
      <c r="B198" s="2" t="s">
        <v>588</v>
      </c>
      <c r="C198" s="2" t="s">
        <v>411</v>
      </c>
      <c r="D198" s="2" t="s">
        <v>589</v>
      </c>
      <c r="E198" s="2" t="s">
        <v>438</v>
      </c>
      <c r="F198" s="2" t="s">
        <v>86</v>
      </c>
      <c r="G198" s="2" t="s">
        <v>104</v>
      </c>
      <c r="H198" s="2" t="s">
        <v>32</v>
      </c>
      <c r="I198" s="2"/>
      <c r="J198" s="2" t="s">
        <v>19</v>
      </c>
      <c r="K198" s="2" t="s">
        <v>20</v>
      </c>
      <c r="L198" s="4" t="s">
        <v>590</v>
      </c>
    </row>
    <row r="199" customFormat="false" ht="15.65" hidden="false" customHeight="true" outlineLevel="0" collapsed="false">
      <c r="A199" s="5" t="str">
        <f aca="false">HYPERLINK("https://www.fabsurplus.com/sdi_catalog/salesItemDetails.do?id=80302")</f>
        <v>https://www.fabsurplus.com/sdi_catalog/salesItemDetails.do?id=80302</v>
      </c>
      <c r="B199" s="5" t="s">
        <v>591</v>
      </c>
      <c r="C199" s="5" t="s">
        <v>411</v>
      </c>
      <c r="D199" s="5" t="s">
        <v>592</v>
      </c>
      <c r="E199" s="5" t="s">
        <v>438</v>
      </c>
      <c r="F199" s="5" t="s">
        <v>151</v>
      </c>
      <c r="G199" s="5" t="s">
        <v>104</v>
      </c>
      <c r="H199" s="5" t="s">
        <v>18</v>
      </c>
      <c r="I199" s="5"/>
      <c r="J199" s="5" t="s">
        <v>19</v>
      </c>
      <c r="K199" s="5" t="s">
        <v>20</v>
      </c>
      <c r="L199" s="7" t="s">
        <v>593</v>
      </c>
    </row>
    <row r="200" customFormat="false" ht="15.65" hidden="false" customHeight="true" outlineLevel="0" collapsed="false">
      <c r="A200" s="2" t="str">
        <f aca="false">HYPERLINK("https://www.fabsurplus.com/sdi_catalog/salesItemDetails.do?id=108233")</f>
        <v>https://www.fabsurplus.com/sdi_catalog/salesItemDetails.do?id=108233</v>
      </c>
      <c r="B200" s="2" t="s">
        <v>594</v>
      </c>
      <c r="C200" s="2" t="s">
        <v>411</v>
      </c>
      <c r="D200" s="2" t="s">
        <v>595</v>
      </c>
      <c r="E200" s="2" t="s">
        <v>416</v>
      </c>
      <c r="F200" s="2" t="s">
        <v>16</v>
      </c>
      <c r="G200" s="2" t="s">
        <v>392</v>
      </c>
      <c r="H200" s="2"/>
      <c r="I200" s="3" t="n">
        <v>38139</v>
      </c>
      <c r="J200" s="2" t="s">
        <v>19</v>
      </c>
      <c r="K200" s="2"/>
      <c r="L200" s="2" t="s">
        <v>596</v>
      </c>
    </row>
    <row r="201" customFormat="false" ht="15.65" hidden="false" customHeight="true" outlineLevel="0" collapsed="false">
      <c r="A201" s="5" t="str">
        <f aca="false">HYPERLINK("https://www.fabsurplus.com/sdi_catalog/salesItemDetails.do?id=108234")</f>
        <v>https://www.fabsurplus.com/sdi_catalog/salesItemDetails.do?id=108234</v>
      </c>
      <c r="B201" s="5" t="s">
        <v>597</v>
      </c>
      <c r="C201" s="5" t="s">
        <v>411</v>
      </c>
      <c r="D201" s="5" t="s">
        <v>595</v>
      </c>
      <c r="E201" s="5" t="s">
        <v>416</v>
      </c>
      <c r="F201" s="5" t="s">
        <v>16</v>
      </c>
      <c r="G201" s="5" t="s">
        <v>392</v>
      </c>
      <c r="H201" s="5"/>
      <c r="I201" s="6" t="n">
        <v>38139</v>
      </c>
      <c r="J201" s="5" t="s">
        <v>19</v>
      </c>
      <c r="K201" s="5"/>
      <c r="L201" s="5" t="s">
        <v>596</v>
      </c>
    </row>
    <row r="202" customFormat="false" ht="15.65" hidden="false" customHeight="true" outlineLevel="0" collapsed="false">
      <c r="A202" s="2" t="str">
        <f aca="false">HYPERLINK("https://www.fabsurplus.com/sdi_catalog/salesItemDetails.do?id=108235")</f>
        <v>https://www.fabsurplus.com/sdi_catalog/salesItemDetails.do?id=108235</v>
      </c>
      <c r="B202" s="2" t="s">
        <v>598</v>
      </c>
      <c r="C202" s="2" t="s">
        <v>411</v>
      </c>
      <c r="D202" s="2" t="s">
        <v>595</v>
      </c>
      <c r="E202" s="2" t="s">
        <v>416</v>
      </c>
      <c r="F202" s="2" t="s">
        <v>16</v>
      </c>
      <c r="G202" s="2" t="s">
        <v>392</v>
      </c>
      <c r="H202" s="2"/>
      <c r="I202" s="3" t="n">
        <v>38139</v>
      </c>
      <c r="J202" s="2" t="s">
        <v>19</v>
      </c>
      <c r="K202" s="2"/>
      <c r="L202" s="2" t="s">
        <v>596</v>
      </c>
    </row>
    <row r="203" customFormat="false" ht="15.65" hidden="false" customHeight="true" outlineLevel="0" collapsed="false">
      <c r="A203" s="5" t="str">
        <f aca="false">HYPERLINK("https://www.fabsurplus.com/sdi_catalog/salesItemDetails.do?id=108236")</f>
        <v>https://www.fabsurplus.com/sdi_catalog/salesItemDetails.do?id=108236</v>
      </c>
      <c r="B203" s="5" t="s">
        <v>599</v>
      </c>
      <c r="C203" s="5" t="s">
        <v>411</v>
      </c>
      <c r="D203" s="5" t="s">
        <v>595</v>
      </c>
      <c r="E203" s="5" t="s">
        <v>416</v>
      </c>
      <c r="F203" s="5" t="s">
        <v>16</v>
      </c>
      <c r="G203" s="5" t="s">
        <v>392</v>
      </c>
      <c r="H203" s="5"/>
      <c r="I203" s="6" t="n">
        <v>38139</v>
      </c>
      <c r="J203" s="5" t="s">
        <v>19</v>
      </c>
      <c r="K203" s="5"/>
      <c r="L203" s="5" t="s">
        <v>596</v>
      </c>
    </row>
    <row r="204" customFormat="false" ht="15.65" hidden="false" customHeight="true" outlineLevel="0" collapsed="false">
      <c r="A204" s="2" t="str">
        <f aca="false">HYPERLINK("https://www.fabsurplus.com/sdi_catalog/salesItemDetails.do?id=108237")</f>
        <v>https://www.fabsurplus.com/sdi_catalog/salesItemDetails.do?id=108237</v>
      </c>
      <c r="B204" s="2" t="s">
        <v>600</v>
      </c>
      <c r="C204" s="2" t="s">
        <v>411</v>
      </c>
      <c r="D204" s="2" t="s">
        <v>595</v>
      </c>
      <c r="E204" s="2" t="s">
        <v>416</v>
      </c>
      <c r="F204" s="2" t="s">
        <v>16</v>
      </c>
      <c r="G204" s="2" t="s">
        <v>392</v>
      </c>
      <c r="H204" s="2"/>
      <c r="I204" s="3" t="n">
        <v>37408</v>
      </c>
      <c r="J204" s="2" t="s">
        <v>19</v>
      </c>
      <c r="K204" s="2"/>
      <c r="L204" s="2" t="s">
        <v>596</v>
      </c>
    </row>
    <row r="205" customFormat="false" ht="15.65" hidden="false" customHeight="true" outlineLevel="0" collapsed="false">
      <c r="A205" s="5" t="str">
        <f aca="false">HYPERLINK("https://www.fabsurplus.com/sdi_catalog/salesItemDetails.do?id=108238")</f>
        <v>https://www.fabsurplus.com/sdi_catalog/salesItemDetails.do?id=108238</v>
      </c>
      <c r="B205" s="5" t="s">
        <v>601</v>
      </c>
      <c r="C205" s="5" t="s">
        <v>411</v>
      </c>
      <c r="D205" s="5" t="s">
        <v>595</v>
      </c>
      <c r="E205" s="5" t="s">
        <v>416</v>
      </c>
      <c r="F205" s="5" t="s">
        <v>16</v>
      </c>
      <c r="G205" s="5" t="s">
        <v>392</v>
      </c>
      <c r="H205" s="5"/>
      <c r="I205" s="6" t="n">
        <v>37773</v>
      </c>
      <c r="J205" s="5" t="s">
        <v>19</v>
      </c>
      <c r="K205" s="5"/>
      <c r="L205" s="5" t="s">
        <v>596</v>
      </c>
    </row>
    <row r="206" customFormat="false" ht="15.65" hidden="false" customHeight="true" outlineLevel="0" collapsed="false">
      <c r="A206" s="2" t="str">
        <f aca="false">HYPERLINK("https://www.fabsurplus.com/sdi_catalog/salesItemDetails.do?id=108239")</f>
        <v>https://www.fabsurplus.com/sdi_catalog/salesItemDetails.do?id=108239</v>
      </c>
      <c r="B206" s="2" t="s">
        <v>602</v>
      </c>
      <c r="C206" s="2" t="s">
        <v>411</v>
      </c>
      <c r="D206" s="2" t="s">
        <v>595</v>
      </c>
      <c r="E206" s="2" t="s">
        <v>416</v>
      </c>
      <c r="F206" s="2" t="s">
        <v>16</v>
      </c>
      <c r="G206" s="2" t="s">
        <v>392</v>
      </c>
      <c r="H206" s="2"/>
      <c r="I206" s="3" t="n">
        <v>37043</v>
      </c>
      <c r="J206" s="2" t="s">
        <v>19</v>
      </c>
      <c r="K206" s="2"/>
      <c r="L206" s="2" t="s">
        <v>596</v>
      </c>
    </row>
    <row r="207" customFormat="false" ht="15.65" hidden="false" customHeight="true" outlineLevel="0" collapsed="false">
      <c r="A207" s="5" t="str">
        <f aca="false">HYPERLINK("https://www.fabsurplus.com/sdi_catalog/salesItemDetails.do?id=108240")</f>
        <v>https://www.fabsurplus.com/sdi_catalog/salesItemDetails.do?id=108240</v>
      </c>
      <c r="B207" s="5" t="s">
        <v>603</v>
      </c>
      <c r="C207" s="5" t="s">
        <v>411</v>
      </c>
      <c r="D207" s="5" t="s">
        <v>595</v>
      </c>
      <c r="E207" s="5" t="s">
        <v>416</v>
      </c>
      <c r="F207" s="5" t="s">
        <v>16</v>
      </c>
      <c r="G207" s="5" t="s">
        <v>392</v>
      </c>
      <c r="H207" s="5"/>
      <c r="I207" s="6" t="n">
        <v>37773</v>
      </c>
      <c r="J207" s="5" t="s">
        <v>19</v>
      </c>
      <c r="K207" s="5"/>
      <c r="L207" s="5" t="s">
        <v>596</v>
      </c>
    </row>
    <row r="208" customFormat="false" ht="15.65" hidden="false" customHeight="true" outlineLevel="0" collapsed="false">
      <c r="A208" s="2" t="str">
        <f aca="false">HYPERLINK("https://www.fabsurplus.com/sdi_catalog/salesItemDetails.do?id=108241")</f>
        <v>https://www.fabsurplus.com/sdi_catalog/salesItemDetails.do?id=108241</v>
      </c>
      <c r="B208" s="2" t="s">
        <v>604</v>
      </c>
      <c r="C208" s="2" t="s">
        <v>411</v>
      </c>
      <c r="D208" s="2" t="s">
        <v>386</v>
      </c>
      <c r="E208" s="2" t="s">
        <v>416</v>
      </c>
      <c r="F208" s="2" t="s">
        <v>16</v>
      </c>
      <c r="G208" s="2" t="s">
        <v>392</v>
      </c>
      <c r="H208" s="2"/>
      <c r="I208" s="3" t="n">
        <v>37043</v>
      </c>
      <c r="J208" s="2" t="s">
        <v>19</v>
      </c>
      <c r="K208" s="2"/>
      <c r="L208" s="2" t="s">
        <v>605</v>
      </c>
    </row>
    <row r="209" customFormat="false" ht="15.65" hidden="false" customHeight="true" outlineLevel="0" collapsed="false">
      <c r="A209" s="5" t="str">
        <f aca="false">HYPERLINK("https://www.fabsurplus.com/sdi_catalog/salesItemDetails.do?id=108242")</f>
        <v>https://www.fabsurplus.com/sdi_catalog/salesItemDetails.do?id=108242</v>
      </c>
      <c r="B209" s="5" t="s">
        <v>606</v>
      </c>
      <c r="C209" s="5" t="s">
        <v>411</v>
      </c>
      <c r="D209" s="5" t="s">
        <v>419</v>
      </c>
      <c r="E209" s="5" t="s">
        <v>607</v>
      </c>
      <c r="F209" s="5" t="s">
        <v>16</v>
      </c>
      <c r="G209" s="5" t="s">
        <v>392</v>
      </c>
      <c r="H209" s="5"/>
      <c r="I209" s="6" t="n">
        <v>37043</v>
      </c>
      <c r="J209" s="5" t="s">
        <v>19</v>
      </c>
      <c r="K209" s="5"/>
      <c r="L209" s="5" t="s">
        <v>608</v>
      </c>
    </row>
    <row r="210" customFormat="false" ht="15.65" hidden="false" customHeight="true" outlineLevel="0" collapsed="false">
      <c r="A210" s="2" t="str">
        <f aca="false">HYPERLINK("https://www.fabsurplus.com/sdi_catalog/salesItemDetails.do?id=108243")</f>
        <v>https://www.fabsurplus.com/sdi_catalog/salesItemDetails.do?id=108243</v>
      </c>
      <c r="B210" s="2" t="s">
        <v>609</v>
      </c>
      <c r="C210" s="2" t="s">
        <v>411</v>
      </c>
      <c r="D210" s="2" t="s">
        <v>610</v>
      </c>
      <c r="E210" s="2" t="s">
        <v>607</v>
      </c>
      <c r="F210" s="2" t="s">
        <v>16</v>
      </c>
      <c r="G210" s="2" t="s">
        <v>392</v>
      </c>
      <c r="H210" s="2"/>
      <c r="I210" s="3" t="n">
        <v>38139</v>
      </c>
      <c r="J210" s="2" t="s">
        <v>19</v>
      </c>
      <c r="K210" s="2"/>
      <c r="L210" s="2"/>
    </row>
    <row r="211" customFormat="false" ht="15.65" hidden="false" customHeight="true" outlineLevel="0" collapsed="false">
      <c r="A211" s="5" t="str">
        <f aca="false">HYPERLINK("https://www.fabsurplus.com/sdi_catalog/salesItemDetails.do?id=108244")</f>
        <v>https://www.fabsurplus.com/sdi_catalog/salesItemDetails.do?id=108244</v>
      </c>
      <c r="B211" s="5" t="s">
        <v>611</v>
      </c>
      <c r="C211" s="5" t="s">
        <v>411</v>
      </c>
      <c r="D211" s="5" t="s">
        <v>610</v>
      </c>
      <c r="E211" s="5" t="s">
        <v>607</v>
      </c>
      <c r="F211" s="5" t="s">
        <v>16</v>
      </c>
      <c r="G211" s="5" t="s">
        <v>392</v>
      </c>
      <c r="H211" s="5"/>
      <c r="I211" s="6" t="n">
        <v>38139</v>
      </c>
      <c r="J211" s="5" t="s">
        <v>19</v>
      </c>
      <c r="K211" s="5"/>
      <c r="L211" s="5"/>
    </row>
    <row r="212" customFormat="false" ht="15.65" hidden="false" customHeight="true" outlineLevel="0" collapsed="false">
      <c r="A212" s="2" t="str">
        <f aca="false">HYPERLINK("https://www.fabsurplus.com/sdi_catalog/salesItemDetails.do?id=108245")</f>
        <v>https://www.fabsurplus.com/sdi_catalog/salesItemDetails.do?id=108245</v>
      </c>
      <c r="B212" s="2" t="s">
        <v>612</v>
      </c>
      <c r="C212" s="2" t="s">
        <v>411</v>
      </c>
      <c r="D212" s="2" t="s">
        <v>610</v>
      </c>
      <c r="E212" s="2" t="s">
        <v>607</v>
      </c>
      <c r="F212" s="2" t="s">
        <v>16</v>
      </c>
      <c r="G212" s="2" t="s">
        <v>392</v>
      </c>
      <c r="H212" s="2"/>
      <c r="I212" s="3" t="n">
        <v>38139</v>
      </c>
      <c r="J212" s="2" t="s">
        <v>19</v>
      </c>
      <c r="K212" s="2"/>
      <c r="L212" s="2"/>
    </row>
    <row r="213" customFormat="false" ht="15.65" hidden="false" customHeight="true" outlineLevel="0" collapsed="false">
      <c r="A213" s="5" t="str">
        <f aca="false">HYPERLINK("https://www.fabsurplus.com/sdi_catalog/salesItemDetails.do?id=108246")</f>
        <v>https://www.fabsurplus.com/sdi_catalog/salesItemDetails.do?id=108246</v>
      </c>
      <c r="B213" s="5" t="s">
        <v>613</v>
      </c>
      <c r="C213" s="5" t="s">
        <v>411</v>
      </c>
      <c r="D213" s="5" t="s">
        <v>610</v>
      </c>
      <c r="E213" s="5" t="s">
        <v>607</v>
      </c>
      <c r="F213" s="5" t="s">
        <v>16</v>
      </c>
      <c r="G213" s="5" t="s">
        <v>392</v>
      </c>
      <c r="H213" s="5"/>
      <c r="I213" s="6" t="n">
        <v>38139</v>
      </c>
      <c r="J213" s="5" t="s">
        <v>19</v>
      </c>
      <c r="K213" s="5"/>
      <c r="L213" s="5"/>
    </row>
    <row r="214" customFormat="false" ht="15.65" hidden="false" customHeight="true" outlineLevel="0" collapsed="false">
      <c r="A214" s="2" t="str">
        <f aca="false">HYPERLINK("https://www.fabsurplus.com/sdi_catalog/salesItemDetails.do?id=108247")</f>
        <v>https://www.fabsurplus.com/sdi_catalog/salesItemDetails.do?id=108247</v>
      </c>
      <c r="B214" s="2" t="s">
        <v>614</v>
      </c>
      <c r="C214" s="2" t="s">
        <v>411</v>
      </c>
      <c r="D214" s="2" t="s">
        <v>610</v>
      </c>
      <c r="E214" s="2" t="s">
        <v>607</v>
      </c>
      <c r="F214" s="2" t="s">
        <v>16</v>
      </c>
      <c r="G214" s="2" t="s">
        <v>392</v>
      </c>
      <c r="H214" s="2"/>
      <c r="I214" s="3" t="n">
        <v>37773</v>
      </c>
      <c r="J214" s="2" t="s">
        <v>19</v>
      </c>
      <c r="K214" s="2"/>
      <c r="L214" s="2"/>
    </row>
    <row r="215" customFormat="false" ht="15.65" hidden="false" customHeight="true" outlineLevel="0" collapsed="false">
      <c r="A215" s="5" t="str">
        <f aca="false">HYPERLINK("https://www.fabsurplus.com/sdi_catalog/salesItemDetails.do?id=108248")</f>
        <v>https://www.fabsurplus.com/sdi_catalog/salesItemDetails.do?id=108248</v>
      </c>
      <c r="B215" s="5" t="s">
        <v>615</v>
      </c>
      <c r="C215" s="5" t="s">
        <v>411</v>
      </c>
      <c r="D215" s="5" t="s">
        <v>610</v>
      </c>
      <c r="E215" s="5" t="s">
        <v>607</v>
      </c>
      <c r="F215" s="5" t="s">
        <v>16</v>
      </c>
      <c r="G215" s="5" t="s">
        <v>392</v>
      </c>
      <c r="H215" s="5"/>
      <c r="I215" s="6" t="n">
        <v>37408</v>
      </c>
      <c r="J215" s="5" t="s">
        <v>19</v>
      </c>
      <c r="K215" s="5"/>
      <c r="L215" s="5"/>
    </row>
    <row r="216" customFormat="false" ht="15.65" hidden="false" customHeight="true" outlineLevel="0" collapsed="false">
      <c r="A216" s="2" t="str">
        <f aca="false">HYPERLINK("https://www.fabsurplus.com/sdi_catalog/salesItemDetails.do?id=108249")</f>
        <v>https://www.fabsurplus.com/sdi_catalog/salesItemDetails.do?id=108249</v>
      </c>
      <c r="B216" s="2" t="s">
        <v>616</v>
      </c>
      <c r="C216" s="2" t="s">
        <v>411</v>
      </c>
      <c r="D216" s="2" t="s">
        <v>610</v>
      </c>
      <c r="E216" s="2" t="s">
        <v>607</v>
      </c>
      <c r="F216" s="2" t="s">
        <v>16</v>
      </c>
      <c r="G216" s="2" t="s">
        <v>392</v>
      </c>
      <c r="H216" s="2"/>
      <c r="I216" s="3" t="n">
        <v>37043</v>
      </c>
      <c r="J216" s="2" t="s">
        <v>19</v>
      </c>
      <c r="K216" s="2"/>
      <c r="L216" s="2"/>
    </row>
    <row r="217" customFormat="false" ht="15.65" hidden="false" customHeight="true" outlineLevel="0" collapsed="false">
      <c r="A217" s="5" t="str">
        <f aca="false">HYPERLINK("https://www.fabsurplus.com/sdi_catalog/salesItemDetails.do?id=108250")</f>
        <v>https://www.fabsurplus.com/sdi_catalog/salesItemDetails.do?id=108250</v>
      </c>
      <c r="B217" s="5" t="s">
        <v>617</v>
      </c>
      <c r="C217" s="5" t="s">
        <v>411</v>
      </c>
      <c r="D217" s="5" t="s">
        <v>610</v>
      </c>
      <c r="E217" s="5" t="s">
        <v>607</v>
      </c>
      <c r="F217" s="5" t="s">
        <v>16</v>
      </c>
      <c r="G217" s="5" t="s">
        <v>392</v>
      </c>
      <c r="H217" s="5"/>
      <c r="I217" s="6" t="n">
        <v>37773</v>
      </c>
      <c r="J217" s="5" t="s">
        <v>19</v>
      </c>
      <c r="K217" s="5"/>
      <c r="L217" s="5"/>
    </row>
    <row r="218" customFormat="false" ht="15.65" hidden="false" customHeight="true" outlineLevel="0" collapsed="false">
      <c r="A218" s="2" t="str">
        <f aca="false">HYPERLINK("https://www.fabsurplus.com/sdi_catalog/salesItemDetails.do?id=109022")</f>
        <v>https://www.fabsurplus.com/sdi_catalog/salesItemDetails.do?id=109022</v>
      </c>
      <c r="B218" s="2" t="s">
        <v>618</v>
      </c>
      <c r="C218" s="2" t="s">
        <v>411</v>
      </c>
      <c r="D218" s="2" t="s">
        <v>619</v>
      </c>
      <c r="E218" s="2" t="s">
        <v>620</v>
      </c>
      <c r="F218" s="2" t="s">
        <v>16</v>
      </c>
      <c r="G218" s="2" t="s">
        <v>401</v>
      </c>
      <c r="H218" s="2" t="s">
        <v>32</v>
      </c>
      <c r="I218" s="3" t="n">
        <v>39569</v>
      </c>
      <c r="J218" s="2" t="s">
        <v>19</v>
      </c>
      <c r="K218" s="2" t="s">
        <v>20</v>
      </c>
      <c r="L218" s="4" t="s">
        <v>621</v>
      </c>
    </row>
    <row r="219" customFormat="false" ht="15.65" hidden="false" customHeight="true" outlineLevel="0" collapsed="false">
      <c r="A219" s="5" t="str">
        <f aca="false">HYPERLINK("https://www.fabsurplus.com/sdi_catalog/salesItemDetails.do?id=109538")</f>
        <v>https://www.fabsurplus.com/sdi_catalog/salesItemDetails.do?id=109538</v>
      </c>
      <c r="B219" s="5" t="s">
        <v>622</v>
      </c>
      <c r="C219" s="5" t="s">
        <v>385</v>
      </c>
      <c r="D219" s="5" t="s">
        <v>623</v>
      </c>
      <c r="E219" s="5" t="s">
        <v>624</v>
      </c>
      <c r="F219" s="5" t="s">
        <v>16</v>
      </c>
      <c r="G219" s="5" t="s">
        <v>392</v>
      </c>
      <c r="H219" s="5" t="s">
        <v>18</v>
      </c>
      <c r="I219" s="6" t="n">
        <v>43862</v>
      </c>
      <c r="J219" s="5" t="s">
        <v>19</v>
      </c>
      <c r="K219" s="5" t="s">
        <v>20</v>
      </c>
      <c r="L219" s="7" t="s">
        <v>625</v>
      </c>
    </row>
    <row r="220" customFormat="false" ht="15.65" hidden="false" customHeight="true" outlineLevel="0" collapsed="false">
      <c r="A220" s="2" t="str">
        <f aca="false">HYPERLINK("https://www.fabsurplus.com/sdi_catalog/salesItemDetails.do?id=82926")</f>
        <v>https://www.fabsurplus.com/sdi_catalog/salesItemDetails.do?id=82926</v>
      </c>
      <c r="B220" s="2" t="s">
        <v>626</v>
      </c>
      <c r="C220" s="2" t="s">
        <v>411</v>
      </c>
      <c r="D220" s="2" t="s">
        <v>627</v>
      </c>
      <c r="E220" s="2" t="s">
        <v>628</v>
      </c>
      <c r="F220" s="2" t="s">
        <v>16</v>
      </c>
      <c r="G220" s="2" t="s">
        <v>104</v>
      </c>
      <c r="H220" s="2" t="s">
        <v>32</v>
      </c>
      <c r="I220" s="2"/>
      <c r="J220" s="2" t="s">
        <v>19</v>
      </c>
      <c r="K220" s="2" t="s">
        <v>20</v>
      </c>
      <c r="L220" s="4" t="s">
        <v>629</v>
      </c>
    </row>
    <row r="221" customFormat="false" ht="15.65" hidden="false" customHeight="true" outlineLevel="0" collapsed="false">
      <c r="A221" s="5" t="str">
        <f aca="false">HYPERLINK("https://www.fabsurplus.com/sdi_catalog/salesItemDetails.do?id=108993")</f>
        <v>https://www.fabsurplus.com/sdi_catalog/salesItemDetails.do?id=108993</v>
      </c>
      <c r="B221" s="5" t="s">
        <v>630</v>
      </c>
      <c r="C221" s="5" t="s">
        <v>631</v>
      </c>
      <c r="D221" s="5" t="s">
        <v>632</v>
      </c>
      <c r="E221" s="5" t="s">
        <v>633</v>
      </c>
      <c r="F221" s="5" t="s">
        <v>16</v>
      </c>
      <c r="G221" s="5" t="s">
        <v>104</v>
      </c>
      <c r="H221" s="5" t="s">
        <v>32</v>
      </c>
      <c r="I221" s="5"/>
      <c r="J221" s="5"/>
      <c r="K221" s="5" t="s">
        <v>20</v>
      </c>
      <c r="L221" s="7" t="s">
        <v>634</v>
      </c>
    </row>
    <row r="222" customFormat="false" ht="15.65" hidden="false" customHeight="true" outlineLevel="0" collapsed="false">
      <c r="A222" s="2" t="str">
        <f aca="false">HYPERLINK("https://www.fabsurplus.com/sdi_catalog/salesItemDetails.do?id=107109")</f>
        <v>https://www.fabsurplus.com/sdi_catalog/salesItemDetails.do?id=107109</v>
      </c>
      <c r="B222" s="2" t="s">
        <v>635</v>
      </c>
      <c r="C222" s="2" t="s">
        <v>636</v>
      </c>
      <c r="D222" s="2" t="s">
        <v>637</v>
      </c>
      <c r="E222" s="2" t="s">
        <v>279</v>
      </c>
      <c r="F222" s="2" t="s">
        <v>16</v>
      </c>
      <c r="G222" s="2" t="s">
        <v>104</v>
      </c>
      <c r="H222" s="2" t="s">
        <v>18</v>
      </c>
      <c r="I222" s="2"/>
      <c r="J222" s="2" t="s">
        <v>19</v>
      </c>
      <c r="K222" s="2" t="s">
        <v>20</v>
      </c>
      <c r="L222" s="2" t="s">
        <v>638</v>
      </c>
    </row>
    <row r="223" customFormat="false" ht="15.65" hidden="false" customHeight="true" outlineLevel="0" collapsed="false">
      <c r="A223" s="5" t="str">
        <f aca="false">HYPERLINK("https://www.fabsurplus.com/sdi_catalog/salesItemDetails.do?id=107110")</f>
        <v>https://www.fabsurplus.com/sdi_catalog/salesItemDetails.do?id=107110</v>
      </c>
      <c r="B223" s="5" t="s">
        <v>639</v>
      </c>
      <c r="C223" s="5" t="s">
        <v>636</v>
      </c>
      <c r="D223" s="5" t="s">
        <v>637</v>
      </c>
      <c r="E223" s="5" t="s">
        <v>279</v>
      </c>
      <c r="F223" s="5" t="s">
        <v>16</v>
      </c>
      <c r="G223" s="5" t="s">
        <v>104</v>
      </c>
      <c r="H223" s="5" t="s">
        <v>18</v>
      </c>
      <c r="I223" s="5"/>
      <c r="J223" s="5" t="s">
        <v>19</v>
      </c>
      <c r="K223" s="5" t="s">
        <v>20</v>
      </c>
      <c r="L223" s="7" t="s">
        <v>640</v>
      </c>
    </row>
    <row r="224" customFormat="false" ht="15.65" hidden="false" customHeight="true" outlineLevel="0" collapsed="false">
      <c r="A224" s="2" t="str">
        <f aca="false">HYPERLINK("https://www.fabsurplus.com/sdi_catalog/salesItemDetails.do?id=107258")</f>
        <v>https://www.fabsurplus.com/sdi_catalog/salesItemDetails.do?id=107258</v>
      </c>
      <c r="B224" s="2" t="s">
        <v>641</v>
      </c>
      <c r="C224" s="2" t="s">
        <v>636</v>
      </c>
      <c r="D224" s="2" t="s">
        <v>642</v>
      </c>
      <c r="E224" s="2" t="s">
        <v>279</v>
      </c>
      <c r="F224" s="2" t="s">
        <v>16</v>
      </c>
      <c r="G224" s="2" t="s">
        <v>104</v>
      </c>
      <c r="H224" s="2" t="s">
        <v>275</v>
      </c>
      <c r="I224" s="2"/>
      <c r="J224" s="2" t="s">
        <v>286</v>
      </c>
      <c r="K224" s="2" t="s">
        <v>20</v>
      </c>
      <c r="L224" s="2" t="s">
        <v>643</v>
      </c>
    </row>
    <row r="225" customFormat="false" ht="15.65" hidden="false" customHeight="true" outlineLevel="0" collapsed="false">
      <c r="A225" s="5" t="str">
        <f aca="false">HYPERLINK("https://www.fabsurplus.com/sdi_catalog/salesItemDetails.do?id=109824")</f>
        <v>https://www.fabsurplus.com/sdi_catalog/salesItemDetails.do?id=109824</v>
      </c>
      <c r="B225" s="5" t="s">
        <v>644</v>
      </c>
      <c r="C225" s="5" t="s">
        <v>645</v>
      </c>
      <c r="D225" s="5" t="s">
        <v>646</v>
      </c>
      <c r="E225" s="5" t="s">
        <v>164</v>
      </c>
      <c r="F225" s="5" t="s">
        <v>16</v>
      </c>
      <c r="G225" s="5" t="s">
        <v>165</v>
      </c>
      <c r="H225" s="5"/>
      <c r="I225" s="5"/>
      <c r="J225" s="5" t="s">
        <v>42</v>
      </c>
      <c r="K225" s="5"/>
      <c r="L225" s="7" t="s">
        <v>647</v>
      </c>
    </row>
    <row r="226" customFormat="false" ht="15.65" hidden="false" customHeight="true" outlineLevel="0" collapsed="false">
      <c r="A226" s="2" t="str">
        <f aca="false">HYPERLINK("https://www.fabsurplus.com/sdi_catalog/salesItemDetails.do?id=109825")</f>
        <v>https://www.fabsurplus.com/sdi_catalog/salesItemDetails.do?id=109825</v>
      </c>
      <c r="B226" s="2" t="s">
        <v>648</v>
      </c>
      <c r="C226" s="2" t="s">
        <v>645</v>
      </c>
      <c r="D226" s="2" t="s">
        <v>646</v>
      </c>
      <c r="E226" s="2" t="s">
        <v>164</v>
      </c>
      <c r="F226" s="2" t="s">
        <v>16</v>
      </c>
      <c r="G226" s="2" t="s">
        <v>165</v>
      </c>
      <c r="H226" s="2"/>
      <c r="I226" s="2"/>
      <c r="J226" s="2" t="s">
        <v>42</v>
      </c>
      <c r="K226" s="2"/>
      <c r="L226" s="4" t="s">
        <v>647</v>
      </c>
    </row>
    <row r="227" customFormat="false" ht="15.65" hidden="false" customHeight="true" outlineLevel="0" collapsed="false">
      <c r="A227" s="5" t="str">
        <f aca="false">HYPERLINK("https://www.fabsurplus.com/sdi_catalog/salesItemDetails.do?id=109826")</f>
        <v>https://www.fabsurplus.com/sdi_catalog/salesItemDetails.do?id=109826</v>
      </c>
      <c r="B227" s="5" t="s">
        <v>649</v>
      </c>
      <c r="C227" s="5" t="s">
        <v>645</v>
      </c>
      <c r="D227" s="5" t="s">
        <v>646</v>
      </c>
      <c r="E227" s="5" t="s">
        <v>164</v>
      </c>
      <c r="F227" s="5" t="s">
        <v>16</v>
      </c>
      <c r="G227" s="5" t="s">
        <v>165</v>
      </c>
      <c r="H227" s="5"/>
      <c r="I227" s="5"/>
      <c r="J227" s="5" t="s">
        <v>42</v>
      </c>
      <c r="K227" s="5"/>
      <c r="L227" s="7" t="s">
        <v>647</v>
      </c>
    </row>
    <row r="228" customFormat="false" ht="15.65" hidden="false" customHeight="true" outlineLevel="0" collapsed="false">
      <c r="A228" s="2" t="str">
        <f aca="false">HYPERLINK("https://www.fabsurplus.com/sdi_catalog/salesItemDetails.do?id=109827")</f>
        <v>https://www.fabsurplus.com/sdi_catalog/salesItemDetails.do?id=109827</v>
      </c>
      <c r="B228" s="2" t="s">
        <v>650</v>
      </c>
      <c r="C228" s="2" t="s">
        <v>645</v>
      </c>
      <c r="D228" s="2" t="s">
        <v>646</v>
      </c>
      <c r="E228" s="2" t="s">
        <v>164</v>
      </c>
      <c r="F228" s="2" t="s">
        <v>16</v>
      </c>
      <c r="G228" s="2" t="s">
        <v>165</v>
      </c>
      <c r="H228" s="2"/>
      <c r="I228" s="2"/>
      <c r="J228" s="2" t="s">
        <v>42</v>
      </c>
      <c r="K228" s="2"/>
      <c r="L228" s="4" t="s">
        <v>647</v>
      </c>
    </row>
    <row r="229" customFormat="false" ht="15.65" hidden="false" customHeight="true" outlineLevel="0" collapsed="false">
      <c r="A229" s="5" t="str">
        <f aca="false">HYPERLINK("https://www.fabsurplus.com/sdi_catalog/salesItemDetails.do?id=109828")</f>
        <v>https://www.fabsurplus.com/sdi_catalog/salesItemDetails.do?id=109828</v>
      </c>
      <c r="B229" s="5" t="s">
        <v>651</v>
      </c>
      <c r="C229" s="5" t="s">
        <v>645</v>
      </c>
      <c r="D229" s="5" t="s">
        <v>646</v>
      </c>
      <c r="E229" s="5" t="s">
        <v>164</v>
      </c>
      <c r="F229" s="5" t="s">
        <v>16</v>
      </c>
      <c r="G229" s="5" t="s">
        <v>165</v>
      </c>
      <c r="H229" s="5"/>
      <c r="I229" s="5"/>
      <c r="J229" s="5" t="s">
        <v>42</v>
      </c>
      <c r="K229" s="5"/>
      <c r="L229" s="7" t="s">
        <v>647</v>
      </c>
    </row>
    <row r="230" customFormat="false" ht="15.65" hidden="false" customHeight="true" outlineLevel="0" collapsed="false">
      <c r="A230" s="2" t="str">
        <f aca="false">HYPERLINK("https://www.fabsurplus.com/sdi_catalog/salesItemDetails.do?id=109829")</f>
        <v>https://www.fabsurplus.com/sdi_catalog/salesItemDetails.do?id=109829</v>
      </c>
      <c r="B230" s="2" t="s">
        <v>652</v>
      </c>
      <c r="C230" s="2" t="s">
        <v>645</v>
      </c>
      <c r="D230" s="2" t="s">
        <v>646</v>
      </c>
      <c r="E230" s="2" t="s">
        <v>164</v>
      </c>
      <c r="F230" s="2" t="s">
        <v>16</v>
      </c>
      <c r="G230" s="2" t="s">
        <v>165</v>
      </c>
      <c r="H230" s="2"/>
      <c r="I230" s="2"/>
      <c r="J230" s="2" t="s">
        <v>42</v>
      </c>
      <c r="K230" s="2"/>
      <c r="L230" s="4" t="s">
        <v>647</v>
      </c>
    </row>
    <row r="231" customFormat="false" ht="15.65" hidden="false" customHeight="true" outlineLevel="0" collapsed="false">
      <c r="A231" s="5" t="str">
        <f aca="false">HYPERLINK("https://www.fabsurplus.com/sdi_catalog/salesItemDetails.do?id=109830")</f>
        <v>https://www.fabsurplus.com/sdi_catalog/salesItemDetails.do?id=109830</v>
      </c>
      <c r="B231" s="5" t="s">
        <v>653</v>
      </c>
      <c r="C231" s="5" t="s">
        <v>645</v>
      </c>
      <c r="D231" s="5" t="s">
        <v>646</v>
      </c>
      <c r="E231" s="5" t="s">
        <v>164</v>
      </c>
      <c r="F231" s="5" t="s">
        <v>16</v>
      </c>
      <c r="G231" s="5" t="s">
        <v>165</v>
      </c>
      <c r="H231" s="5"/>
      <c r="I231" s="5"/>
      <c r="J231" s="5" t="s">
        <v>42</v>
      </c>
      <c r="K231" s="5"/>
      <c r="L231" s="7" t="s">
        <v>647</v>
      </c>
    </row>
    <row r="232" customFormat="false" ht="15.65" hidden="false" customHeight="true" outlineLevel="0" collapsed="false">
      <c r="A232" s="2" t="str">
        <f aca="false">HYPERLINK("https://www.fabsurplus.com/sdi_catalog/salesItemDetails.do?id=109831")</f>
        <v>https://www.fabsurplus.com/sdi_catalog/salesItemDetails.do?id=109831</v>
      </c>
      <c r="B232" s="2" t="s">
        <v>654</v>
      </c>
      <c r="C232" s="2" t="s">
        <v>645</v>
      </c>
      <c r="D232" s="2" t="s">
        <v>646</v>
      </c>
      <c r="E232" s="2" t="s">
        <v>164</v>
      </c>
      <c r="F232" s="2" t="s">
        <v>16</v>
      </c>
      <c r="G232" s="2" t="s">
        <v>165</v>
      </c>
      <c r="H232" s="2"/>
      <c r="I232" s="2"/>
      <c r="J232" s="2" t="s">
        <v>42</v>
      </c>
      <c r="K232" s="2"/>
      <c r="L232" s="4" t="s">
        <v>647</v>
      </c>
    </row>
    <row r="233" customFormat="false" ht="15.65" hidden="false" customHeight="true" outlineLevel="0" collapsed="false">
      <c r="A233" s="5" t="str">
        <f aca="false">HYPERLINK("https://www.fabsurplus.com/sdi_catalog/salesItemDetails.do?id=109832")</f>
        <v>https://www.fabsurplus.com/sdi_catalog/salesItemDetails.do?id=109832</v>
      </c>
      <c r="B233" s="5" t="s">
        <v>655</v>
      </c>
      <c r="C233" s="5" t="s">
        <v>645</v>
      </c>
      <c r="D233" s="5" t="s">
        <v>646</v>
      </c>
      <c r="E233" s="5" t="s">
        <v>164</v>
      </c>
      <c r="F233" s="5" t="s">
        <v>16</v>
      </c>
      <c r="G233" s="5" t="s">
        <v>165</v>
      </c>
      <c r="H233" s="5"/>
      <c r="I233" s="5"/>
      <c r="J233" s="5" t="s">
        <v>42</v>
      </c>
      <c r="K233" s="5"/>
      <c r="L233" s="7" t="s">
        <v>647</v>
      </c>
    </row>
    <row r="234" customFormat="false" ht="15.65" hidden="false" customHeight="true" outlineLevel="0" collapsed="false">
      <c r="A234" s="2" t="str">
        <f aca="false">HYPERLINK("https://www.fabsurplus.com/sdi_catalog/salesItemDetails.do?id=109833")</f>
        <v>https://www.fabsurplus.com/sdi_catalog/salesItemDetails.do?id=109833</v>
      </c>
      <c r="B234" s="2" t="s">
        <v>656</v>
      </c>
      <c r="C234" s="2" t="s">
        <v>645</v>
      </c>
      <c r="D234" s="2" t="s">
        <v>657</v>
      </c>
      <c r="E234" s="2" t="s">
        <v>164</v>
      </c>
      <c r="F234" s="2" t="s">
        <v>16</v>
      </c>
      <c r="G234" s="2" t="s">
        <v>165</v>
      </c>
      <c r="H234" s="2"/>
      <c r="I234" s="2"/>
      <c r="J234" s="2" t="s">
        <v>42</v>
      </c>
      <c r="K234" s="2"/>
      <c r="L234" s="4" t="s">
        <v>658</v>
      </c>
    </row>
    <row r="235" customFormat="false" ht="15.65" hidden="false" customHeight="true" outlineLevel="0" collapsed="false">
      <c r="A235" s="5" t="str">
        <f aca="false">HYPERLINK("https://www.fabsurplus.com/sdi_catalog/salesItemDetails.do?id=109834")</f>
        <v>https://www.fabsurplus.com/sdi_catalog/salesItemDetails.do?id=109834</v>
      </c>
      <c r="B235" s="5" t="s">
        <v>659</v>
      </c>
      <c r="C235" s="5" t="s">
        <v>645</v>
      </c>
      <c r="D235" s="5" t="s">
        <v>657</v>
      </c>
      <c r="E235" s="5" t="s">
        <v>164</v>
      </c>
      <c r="F235" s="5" t="s">
        <v>16</v>
      </c>
      <c r="G235" s="5" t="s">
        <v>165</v>
      </c>
      <c r="H235" s="5"/>
      <c r="I235" s="5"/>
      <c r="J235" s="5" t="s">
        <v>42</v>
      </c>
      <c r="K235" s="5"/>
      <c r="L235" s="7" t="s">
        <v>658</v>
      </c>
    </row>
    <row r="236" customFormat="false" ht="15.65" hidden="false" customHeight="true" outlineLevel="0" collapsed="false">
      <c r="A236" s="2" t="str">
        <f aca="false">HYPERLINK("https://www.fabsurplus.com/sdi_catalog/salesItemDetails.do?id=109835")</f>
        <v>https://www.fabsurplus.com/sdi_catalog/salesItemDetails.do?id=109835</v>
      </c>
      <c r="B236" s="2" t="s">
        <v>660</v>
      </c>
      <c r="C236" s="2" t="s">
        <v>645</v>
      </c>
      <c r="D236" s="2" t="s">
        <v>657</v>
      </c>
      <c r="E236" s="2" t="s">
        <v>164</v>
      </c>
      <c r="F236" s="2" t="s">
        <v>16</v>
      </c>
      <c r="G236" s="2" t="s">
        <v>165</v>
      </c>
      <c r="H236" s="2"/>
      <c r="I236" s="2"/>
      <c r="J236" s="2" t="s">
        <v>42</v>
      </c>
      <c r="K236" s="2"/>
      <c r="L236" s="4" t="s">
        <v>658</v>
      </c>
    </row>
    <row r="237" customFormat="false" ht="15.65" hidden="false" customHeight="true" outlineLevel="0" collapsed="false">
      <c r="A237" s="5" t="str">
        <f aca="false">HYPERLINK("https://www.fabsurplus.com/sdi_catalog/salesItemDetails.do?id=109836")</f>
        <v>https://www.fabsurplus.com/sdi_catalog/salesItemDetails.do?id=109836</v>
      </c>
      <c r="B237" s="5" t="s">
        <v>661</v>
      </c>
      <c r="C237" s="5" t="s">
        <v>645</v>
      </c>
      <c r="D237" s="5" t="s">
        <v>662</v>
      </c>
      <c r="E237" s="5" t="s">
        <v>164</v>
      </c>
      <c r="F237" s="5" t="s">
        <v>16</v>
      </c>
      <c r="G237" s="5" t="s">
        <v>165</v>
      </c>
      <c r="H237" s="5"/>
      <c r="I237" s="5"/>
      <c r="J237" s="5" t="s">
        <v>42</v>
      </c>
      <c r="K237" s="5"/>
      <c r="L237" s="5" t="s">
        <v>663</v>
      </c>
    </row>
    <row r="238" customFormat="false" ht="15.65" hidden="false" customHeight="true" outlineLevel="0" collapsed="false">
      <c r="A238" s="2" t="str">
        <f aca="false">HYPERLINK("https://www.fabsurplus.com/sdi_catalog/salesItemDetails.do?id=109837")</f>
        <v>https://www.fabsurplus.com/sdi_catalog/salesItemDetails.do?id=109837</v>
      </c>
      <c r="B238" s="2" t="s">
        <v>664</v>
      </c>
      <c r="C238" s="2" t="s">
        <v>645</v>
      </c>
      <c r="D238" s="2" t="s">
        <v>665</v>
      </c>
      <c r="E238" s="2" t="s">
        <v>170</v>
      </c>
      <c r="F238" s="2" t="s">
        <v>16</v>
      </c>
      <c r="G238" s="2" t="s">
        <v>165</v>
      </c>
      <c r="H238" s="2"/>
      <c r="I238" s="2"/>
      <c r="J238" s="2" t="s">
        <v>42</v>
      </c>
      <c r="K238" s="2"/>
      <c r="L238" s="2" t="s">
        <v>666</v>
      </c>
    </row>
    <row r="239" customFormat="false" ht="15.65" hidden="false" customHeight="true" outlineLevel="0" collapsed="false">
      <c r="A239" s="5" t="str">
        <f aca="false">HYPERLINK("https://www.fabsurplus.com/sdi_catalog/salesItemDetails.do?id=109838")</f>
        <v>https://www.fabsurplus.com/sdi_catalog/salesItemDetails.do?id=109838</v>
      </c>
      <c r="B239" s="5" t="s">
        <v>667</v>
      </c>
      <c r="C239" s="5" t="s">
        <v>645</v>
      </c>
      <c r="D239" s="5" t="s">
        <v>668</v>
      </c>
      <c r="E239" s="5" t="s">
        <v>170</v>
      </c>
      <c r="F239" s="5" t="s">
        <v>16</v>
      </c>
      <c r="G239" s="5" t="s">
        <v>165</v>
      </c>
      <c r="H239" s="5"/>
      <c r="I239" s="5"/>
      <c r="J239" s="5" t="s">
        <v>42</v>
      </c>
      <c r="K239" s="5"/>
      <c r="L239" s="5" t="s">
        <v>669</v>
      </c>
    </row>
    <row r="240" customFormat="false" ht="15.65" hidden="false" customHeight="true" outlineLevel="0" collapsed="false">
      <c r="A240" s="2" t="str">
        <f aca="false">HYPERLINK("https://www.fabsurplus.com/sdi_catalog/salesItemDetails.do?id=109839")</f>
        <v>https://www.fabsurplus.com/sdi_catalog/salesItemDetails.do?id=109839</v>
      </c>
      <c r="B240" s="2" t="s">
        <v>670</v>
      </c>
      <c r="C240" s="2" t="s">
        <v>645</v>
      </c>
      <c r="D240" s="2" t="s">
        <v>671</v>
      </c>
      <c r="E240" s="2" t="s">
        <v>170</v>
      </c>
      <c r="F240" s="2" t="s">
        <v>16</v>
      </c>
      <c r="G240" s="2" t="s">
        <v>165</v>
      </c>
      <c r="H240" s="2"/>
      <c r="I240" s="2"/>
      <c r="J240" s="2" t="s">
        <v>42</v>
      </c>
      <c r="K240" s="2"/>
      <c r="L240" s="2" t="s">
        <v>672</v>
      </c>
    </row>
    <row r="241" customFormat="false" ht="15.65" hidden="false" customHeight="true" outlineLevel="0" collapsed="false">
      <c r="A241" s="5" t="str">
        <f aca="false">HYPERLINK("https://www.fabsurplus.com/sdi_catalog/salesItemDetails.do?id=109840")</f>
        <v>https://www.fabsurplus.com/sdi_catalog/salesItemDetails.do?id=109840</v>
      </c>
      <c r="B241" s="5" t="s">
        <v>673</v>
      </c>
      <c r="C241" s="5" t="s">
        <v>645</v>
      </c>
      <c r="D241" s="5" t="s">
        <v>671</v>
      </c>
      <c r="E241" s="5" t="s">
        <v>170</v>
      </c>
      <c r="F241" s="5" t="s">
        <v>16</v>
      </c>
      <c r="G241" s="5" t="s">
        <v>165</v>
      </c>
      <c r="H241" s="5"/>
      <c r="I241" s="5"/>
      <c r="J241" s="5" t="s">
        <v>42</v>
      </c>
      <c r="K241" s="5"/>
      <c r="L241" s="5" t="s">
        <v>674</v>
      </c>
    </row>
    <row r="242" customFormat="false" ht="15.65" hidden="false" customHeight="true" outlineLevel="0" collapsed="false">
      <c r="A242" s="2" t="str">
        <f aca="false">HYPERLINK("https://www.fabsurplus.com/sdi_catalog/salesItemDetails.do?id=109841")</f>
        <v>https://www.fabsurplus.com/sdi_catalog/salesItemDetails.do?id=109841</v>
      </c>
      <c r="B242" s="2" t="s">
        <v>675</v>
      </c>
      <c r="C242" s="2" t="s">
        <v>645</v>
      </c>
      <c r="D242" s="2" t="s">
        <v>676</v>
      </c>
      <c r="E242" s="2" t="s">
        <v>170</v>
      </c>
      <c r="F242" s="2" t="s">
        <v>16</v>
      </c>
      <c r="G242" s="2" t="s">
        <v>165</v>
      </c>
      <c r="H242" s="2"/>
      <c r="I242" s="2"/>
      <c r="J242" s="2" t="s">
        <v>42</v>
      </c>
      <c r="K242" s="2"/>
      <c r="L242" s="2" t="s">
        <v>677</v>
      </c>
    </row>
    <row r="243" customFormat="false" ht="15.65" hidden="false" customHeight="true" outlineLevel="0" collapsed="false">
      <c r="A243" s="5" t="str">
        <f aca="false">HYPERLINK("https://www.fabsurplus.com/sdi_catalog/salesItemDetails.do?id=109842")</f>
        <v>https://www.fabsurplus.com/sdi_catalog/salesItemDetails.do?id=109842</v>
      </c>
      <c r="B243" s="5" t="s">
        <v>678</v>
      </c>
      <c r="C243" s="5" t="s">
        <v>645</v>
      </c>
      <c r="D243" s="5" t="s">
        <v>676</v>
      </c>
      <c r="E243" s="5" t="s">
        <v>170</v>
      </c>
      <c r="F243" s="5" t="s">
        <v>16</v>
      </c>
      <c r="G243" s="5" t="s">
        <v>165</v>
      </c>
      <c r="H243" s="5"/>
      <c r="I243" s="5"/>
      <c r="J243" s="5" t="s">
        <v>42</v>
      </c>
      <c r="K243" s="5"/>
      <c r="L243" s="5" t="s">
        <v>679</v>
      </c>
    </row>
    <row r="244" customFormat="false" ht="15.65" hidden="false" customHeight="true" outlineLevel="0" collapsed="false">
      <c r="A244" s="2" t="str">
        <f aca="false">HYPERLINK("https://www.fabsurplus.com/sdi_catalog/salesItemDetails.do?id=109843")</f>
        <v>https://www.fabsurplus.com/sdi_catalog/salesItemDetails.do?id=109843</v>
      </c>
      <c r="B244" s="2" t="s">
        <v>680</v>
      </c>
      <c r="C244" s="2" t="s">
        <v>645</v>
      </c>
      <c r="D244" s="2" t="s">
        <v>676</v>
      </c>
      <c r="E244" s="2" t="s">
        <v>170</v>
      </c>
      <c r="F244" s="2" t="s">
        <v>16</v>
      </c>
      <c r="G244" s="2" t="s">
        <v>165</v>
      </c>
      <c r="H244" s="2"/>
      <c r="I244" s="2"/>
      <c r="J244" s="2" t="s">
        <v>42</v>
      </c>
      <c r="K244" s="2"/>
      <c r="L244" s="2" t="s">
        <v>681</v>
      </c>
    </row>
    <row r="245" customFormat="false" ht="15.65" hidden="false" customHeight="true" outlineLevel="0" collapsed="false">
      <c r="A245" s="5" t="str">
        <f aca="false">HYPERLINK("https://www.fabsurplus.com/sdi_catalog/salesItemDetails.do?id=109844")</f>
        <v>https://www.fabsurplus.com/sdi_catalog/salesItemDetails.do?id=109844</v>
      </c>
      <c r="B245" s="5" t="s">
        <v>682</v>
      </c>
      <c r="C245" s="5" t="s">
        <v>645</v>
      </c>
      <c r="D245" s="5" t="s">
        <v>676</v>
      </c>
      <c r="E245" s="5" t="s">
        <v>170</v>
      </c>
      <c r="F245" s="5" t="s">
        <v>16</v>
      </c>
      <c r="G245" s="5" t="s">
        <v>165</v>
      </c>
      <c r="H245" s="5"/>
      <c r="I245" s="5"/>
      <c r="J245" s="5" t="s">
        <v>42</v>
      </c>
      <c r="K245" s="5"/>
      <c r="L245" s="5" t="s">
        <v>683</v>
      </c>
    </row>
    <row r="246" customFormat="false" ht="15.65" hidden="false" customHeight="true" outlineLevel="0" collapsed="false">
      <c r="A246" s="2" t="str">
        <f aca="false">HYPERLINK("https://www.fabsurplus.com/sdi_catalog/salesItemDetails.do?id=109845")</f>
        <v>https://www.fabsurplus.com/sdi_catalog/salesItemDetails.do?id=109845</v>
      </c>
      <c r="B246" s="2" t="s">
        <v>684</v>
      </c>
      <c r="C246" s="2" t="s">
        <v>645</v>
      </c>
      <c r="D246" s="2" t="s">
        <v>685</v>
      </c>
      <c r="E246" s="2" t="s">
        <v>170</v>
      </c>
      <c r="F246" s="2" t="s">
        <v>16</v>
      </c>
      <c r="G246" s="2" t="s">
        <v>165</v>
      </c>
      <c r="H246" s="2"/>
      <c r="I246" s="2"/>
      <c r="J246" s="2" t="s">
        <v>42</v>
      </c>
      <c r="K246" s="2"/>
      <c r="L246" s="2" t="s">
        <v>686</v>
      </c>
    </row>
    <row r="247" customFormat="false" ht="15.65" hidden="false" customHeight="true" outlineLevel="0" collapsed="false">
      <c r="A247" s="5" t="str">
        <f aca="false">HYPERLINK("https://www.fabsurplus.com/sdi_catalog/salesItemDetails.do?id=109846")</f>
        <v>https://www.fabsurplus.com/sdi_catalog/salesItemDetails.do?id=109846</v>
      </c>
      <c r="B247" s="5" t="s">
        <v>687</v>
      </c>
      <c r="C247" s="5" t="s">
        <v>645</v>
      </c>
      <c r="D247" s="5" t="s">
        <v>685</v>
      </c>
      <c r="E247" s="5" t="s">
        <v>170</v>
      </c>
      <c r="F247" s="5" t="s">
        <v>16</v>
      </c>
      <c r="G247" s="5" t="s">
        <v>165</v>
      </c>
      <c r="H247" s="5"/>
      <c r="I247" s="5"/>
      <c r="J247" s="5" t="s">
        <v>42</v>
      </c>
      <c r="K247" s="5"/>
      <c r="L247" s="5" t="s">
        <v>688</v>
      </c>
    </row>
    <row r="248" customFormat="false" ht="15.65" hidden="false" customHeight="true" outlineLevel="0" collapsed="false">
      <c r="A248" s="2" t="str">
        <f aca="false">HYPERLINK("https://www.fabsurplus.com/sdi_catalog/salesItemDetails.do?id=109847")</f>
        <v>https://www.fabsurplus.com/sdi_catalog/salesItemDetails.do?id=109847</v>
      </c>
      <c r="B248" s="2" t="s">
        <v>689</v>
      </c>
      <c r="C248" s="2" t="s">
        <v>645</v>
      </c>
      <c r="D248" s="2" t="s">
        <v>690</v>
      </c>
      <c r="E248" s="2" t="s">
        <v>170</v>
      </c>
      <c r="F248" s="2" t="s">
        <v>16</v>
      </c>
      <c r="G248" s="2" t="s">
        <v>165</v>
      </c>
      <c r="H248" s="2"/>
      <c r="I248" s="2"/>
      <c r="J248" s="2" t="s">
        <v>42</v>
      </c>
      <c r="K248" s="2"/>
      <c r="L248" s="2" t="s">
        <v>691</v>
      </c>
    </row>
    <row r="249" customFormat="false" ht="15.65" hidden="false" customHeight="true" outlineLevel="0" collapsed="false">
      <c r="A249" s="5" t="str">
        <f aca="false">HYPERLINK("https://www.fabsurplus.com/sdi_catalog/salesItemDetails.do?id=109848")</f>
        <v>https://www.fabsurplus.com/sdi_catalog/salesItemDetails.do?id=109848</v>
      </c>
      <c r="B249" s="5" t="s">
        <v>692</v>
      </c>
      <c r="C249" s="5" t="s">
        <v>645</v>
      </c>
      <c r="D249" s="5" t="s">
        <v>306</v>
      </c>
      <c r="E249" s="5" t="s">
        <v>170</v>
      </c>
      <c r="F249" s="5" t="s">
        <v>16</v>
      </c>
      <c r="G249" s="5" t="s">
        <v>165</v>
      </c>
      <c r="H249" s="5"/>
      <c r="I249" s="5"/>
      <c r="J249" s="5" t="s">
        <v>42</v>
      </c>
      <c r="K249" s="5"/>
      <c r="L249" s="5" t="s">
        <v>693</v>
      </c>
    </row>
    <row r="250" customFormat="false" ht="15.65" hidden="false" customHeight="true" outlineLevel="0" collapsed="false">
      <c r="A250" s="2" t="str">
        <f aca="false">HYPERLINK("https://www.fabsurplus.com/sdi_catalog/salesItemDetails.do?id=109849")</f>
        <v>https://www.fabsurplus.com/sdi_catalog/salesItemDetails.do?id=109849</v>
      </c>
      <c r="B250" s="2" t="s">
        <v>694</v>
      </c>
      <c r="C250" s="2" t="s">
        <v>645</v>
      </c>
      <c r="D250" s="2" t="s">
        <v>306</v>
      </c>
      <c r="E250" s="2" t="s">
        <v>170</v>
      </c>
      <c r="F250" s="2" t="s">
        <v>16</v>
      </c>
      <c r="G250" s="2" t="s">
        <v>165</v>
      </c>
      <c r="H250" s="2"/>
      <c r="I250" s="2"/>
      <c r="J250" s="2" t="s">
        <v>42</v>
      </c>
      <c r="K250" s="2"/>
      <c r="L250" s="2" t="s">
        <v>695</v>
      </c>
    </row>
    <row r="251" customFormat="false" ht="15.65" hidden="false" customHeight="true" outlineLevel="0" collapsed="false">
      <c r="A251" s="5" t="str">
        <f aca="false">HYPERLINK("https://www.fabsurplus.com/sdi_catalog/salesItemDetails.do?id=109850")</f>
        <v>https://www.fabsurplus.com/sdi_catalog/salesItemDetails.do?id=109850</v>
      </c>
      <c r="B251" s="5" t="s">
        <v>696</v>
      </c>
      <c r="C251" s="5" t="s">
        <v>645</v>
      </c>
      <c r="D251" s="5" t="s">
        <v>306</v>
      </c>
      <c r="E251" s="5" t="s">
        <v>170</v>
      </c>
      <c r="F251" s="5" t="s">
        <v>16</v>
      </c>
      <c r="G251" s="5" t="s">
        <v>165</v>
      </c>
      <c r="H251" s="5"/>
      <c r="I251" s="5"/>
      <c r="J251" s="5" t="s">
        <v>42</v>
      </c>
      <c r="K251" s="5"/>
      <c r="L251" s="5" t="s">
        <v>697</v>
      </c>
    </row>
    <row r="252" customFormat="false" ht="15.65" hidden="false" customHeight="true" outlineLevel="0" collapsed="false">
      <c r="A252" s="2" t="str">
        <f aca="false">HYPERLINK("https://www.fabsurplus.com/sdi_catalog/salesItemDetails.do?id=109851")</f>
        <v>https://www.fabsurplus.com/sdi_catalog/salesItemDetails.do?id=109851</v>
      </c>
      <c r="B252" s="2" t="s">
        <v>698</v>
      </c>
      <c r="C252" s="2" t="s">
        <v>645</v>
      </c>
      <c r="D252" s="2" t="s">
        <v>306</v>
      </c>
      <c r="E252" s="2" t="s">
        <v>170</v>
      </c>
      <c r="F252" s="2" t="s">
        <v>16</v>
      </c>
      <c r="G252" s="2" t="s">
        <v>165</v>
      </c>
      <c r="H252" s="2"/>
      <c r="I252" s="2"/>
      <c r="J252" s="2" t="s">
        <v>42</v>
      </c>
      <c r="K252" s="2"/>
      <c r="L252" s="2" t="s">
        <v>697</v>
      </c>
    </row>
    <row r="253" customFormat="false" ht="15.65" hidden="false" customHeight="true" outlineLevel="0" collapsed="false">
      <c r="A253" s="5" t="str">
        <f aca="false">HYPERLINK("https://www.fabsurplus.com/sdi_catalog/salesItemDetails.do?id=109852")</f>
        <v>https://www.fabsurplus.com/sdi_catalog/salesItemDetails.do?id=109852</v>
      </c>
      <c r="B253" s="5" t="s">
        <v>699</v>
      </c>
      <c r="C253" s="5" t="s">
        <v>645</v>
      </c>
      <c r="D253" s="5" t="s">
        <v>306</v>
      </c>
      <c r="E253" s="5" t="s">
        <v>170</v>
      </c>
      <c r="F253" s="5" t="s">
        <v>16</v>
      </c>
      <c r="G253" s="5" t="s">
        <v>165</v>
      </c>
      <c r="H253" s="5"/>
      <c r="I253" s="5"/>
      <c r="J253" s="5" t="s">
        <v>42</v>
      </c>
      <c r="K253" s="5"/>
      <c r="L253" s="5" t="s">
        <v>697</v>
      </c>
    </row>
    <row r="254" customFormat="false" ht="15.65" hidden="false" customHeight="true" outlineLevel="0" collapsed="false">
      <c r="A254" s="2" t="str">
        <f aca="false">HYPERLINK("https://www.fabsurplus.com/sdi_catalog/salesItemDetails.do?id=109853")</f>
        <v>https://www.fabsurplus.com/sdi_catalog/salesItemDetails.do?id=109853</v>
      </c>
      <c r="B254" s="2" t="s">
        <v>700</v>
      </c>
      <c r="C254" s="2" t="s">
        <v>645</v>
      </c>
      <c r="D254" s="2" t="s">
        <v>306</v>
      </c>
      <c r="E254" s="2" t="s">
        <v>170</v>
      </c>
      <c r="F254" s="2" t="s">
        <v>16</v>
      </c>
      <c r="G254" s="2" t="s">
        <v>165</v>
      </c>
      <c r="H254" s="2"/>
      <c r="I254" s="2"/>
      <c r="J254" s="2" t="s">
        <v>42</v>
      </c>
      <c r="K254" s="2"/>
      <c r="L254" s="2" t="s">
        <v>697</v>
      </c>
    </row>
    <row r="255" customFormat="false" ht="15.65" hidden="false" customHeight="true" outlineLevel="0" collapsed="false">
      <c r="A255" s="5" t="str">
        <f aca="false">HYPERLINK("https://www.fabsurplus.com/sdi_catalog/salesItemDetails.do?id=109854")</f>
        <v>https://www.fabsurplus.com/sdi_catalog/salesItemDetails.do?id=109854</v>
      </c>
      <c r="B255" s="5" t="s">
        <v>701</v>
      </c>
      <c r="C255" s="5" t="s">
        <v>645</v>
      </c>
      <c r="D255" s="5" t="s">
        <v>306</v>
      </c>
      <c r="E255" s="5" t="s">
        <v>170</v>
      </c>
      <c r="F255" s="5" t="s">
        <v>16</v>
      </c>
      <c r="G255" s="5" t="s">
        <v>165</v>
      </c>
      <c r="H255" s="5"/>
      <c r="I255" s="5"/>
      <c r="J255" s="5" t="s">
        <v>42</v>
      </c>
      <c r="K255" s="5"/>
      <c r="L255" s="5" t="s">
        <v>702</v>
      </c>
    </row>
    <row r="256" customFormat="false" ht="15.65" hidden="false" customHeight="true" outlineLevel="0" collapsed="false">
      <c r="A256" s="2" t="str">
        <f aca="false">HYPERLINK("https://www.fabsurplus.com/sdi_catalog/salesItemDetails.do?id=109855")</f>
        <v>https://www.fabsurplus.com/sdi_catalog/salesItemDetails.do?id=109855</v>
      </c>
      <c r="B256" s="2" t="s">
        <v>703</v>
      </c>
      <c r="C256" s="2" t="s">
        <v>645</v>
      </c>
      <c r="D256" s="2" t="s">
        <v>306</v>
      </c>
      <c r="E256" s="2" t="s">
        <v>170</v>
      </c>
      <c r="F256" s="2" t="s">
        <v>16</v>
      </c>
      <c r="G256" s="2" t="s">
        <v>165</v>
      </c>
      <c r="H256" s="2"/>
      <c r="I256" s="2"/>
      <c r="J256" s="2" t="s">
        <v>42</v>
      </c>
      <c r="K256" s="2"/>
      <c r="L256" s="2" t="s">
        <v>702</v>
      </c>
    </row>
    <row r="257" customFormat="false" ht="15.65" hidden="false" customHeight="true" outlineLevel="0" collapsed="false">
      <c r="A257" s="5" t="str">
        <f aca="false">HYPERLINK("https://www.fabsurplus.com/sdi_catalog/salesItemDetails.do?id=109856")</f>
        <v>https://www.fabsurplus.com/sdi_catalog/salesItemDetails.do?id=109856</v>
      </c>
      <c r="B257" s="5" t="s">
        <v>704</v>
      </c>
      <c r="C257" s="5" t="s">
        <v>645</v>
      </c>
      <c r="D257" s="5" t="s">
        <v>306</v>
      </c>
      <c r="E257" s="5" t="s">
        <v>170</v>
      </c>
      <c r="F257" s="5" t="s">
        <v>16</v>
      </c>
      <c r="G257" s="5" t="s">
        <v>165</v>
      </c>
      <c r="H257" s="5"/>
      <c r="I257" s="5"/>
      <c r="J257" s="5" t="s">
        <v>42</v>
      </c>
      <c r="K257" s="5"/>
      <c r="L257" s="5" t="s">
        <v>705</v>
      </c>
    </row>
    <row r="258" customFormat="false" ht="15.65" hidden="false" customHeight="true" outlineLevel="0" collapsed="false">
      <c r="A258" s="2" t="str">
        <f aca="false">HYPERLINK("https://www.fabsurplus.com/sdi_catalog/salesItemDetails.do?id=109857")</f>
        <v>https://www.fabsurplus.com/sdi_catalog/salesItemDetails.do?id=109857</v>
      </c>
      <c r="B258" s="2" t="s">
        <v>706</v>
      </c>
      <c r="C258" s="2" t="s">
        <v>645</v>
      </c>
      <c r="D258" s="2" t="s">
        <v>306</v>
      </c>
      <c r="E258" s="2" t="s">
        <v>170</v>
      </c>
      <c r="F258" s="2" t="s">
        <v>16</v>
      </c>
      <c r="G258" s="2" t="s">
        <v>165</v>
      </c>
      <c r="H258" s="2"/>
      <c r="I258" s="2"/>
      <c r="J258" s="2" t="s">
        <v>42</v>
      </c>
      <c r="K258" s="2"/>
      <c r="L258" s="2" t="s">
        <v>705</v>
      </c>
    </row>
    <row r="259" customFormat="false" ht="15.65" hidden="false" customHeight="true" outlineLevel="0" collapsed="false">
      <c r="A259" s="5" t="str">
        <f aca="false">HYPERLINK("https://www.fabsurplus.com/sdi_catalog/salesItemDetails.do?id=109858")</f>
        <v>https://www.fabsurplus.com/sdi_catalog/salesItemDetails.do?id=109858</v>
      </c>
      <c r="B259" s="5" t="s">
        <v>707</v>
      </c>
      <c r="C259" s="5" t="s">
        <v>645</v>
      </c>
      <c r="D259" s="5" t="s">
        <v>306</v>
      </c>
      <c r="E259" s="5" t="s">
        <v>170</v>
      </c>
      <c r="F259" s="5" t="s">
        <v>16</v>
      </c>
      <c r="G259" s="5" t="s">
        <v>165</v>
      </c>
      <c r="H259" s="5"/>
      <c r="I259" s="5"/>
      <c r="J259" s="5" t="s">
        <v>42</v>
      </c>
      <c r="K259" s="5"/>
      <c r="L259" s="5" t="s">
        <v>705</v>
      </c>
    </row>
    <row r="260" customFormat="false" ht="15.65" hidden="false" customHeight="true" outlineLevel="0" collapsed="false">
      <c r="A260" s="2" t="str">
        <f aca="false">HYPERLINK("https://www.fabsurplus.com/sdi_catalog/salesItemDetails.do?id=109859")</f>
        <v>https://www.fabsurplus.com/sdi_catalog/salesItemDetails.do?id=109859</v>
      </c>
      <c r="B260" s="2" t="s">
        <v>708</v>
      </c>
      <c r="C260" s="2" t="s">
        <v>645</v>
      </c>
      <c r="D260" s="2" t="s">
        <v>306</v>
      </c>
      <c r="E260" s="2" t="s">
        <v>170</v>
      </c>
      <c r="F260" s="2" t="s">
        <v>16</v>
      </c>
      <c r="G260" s="2" t="s">
        <v>165</v>
      </c>
      <c r="H260" s="2"/>
      <c r="I260" s="2"/>
      <c r="J260" s="2" t="s">
        <v>42</v>
      </c>
      <c r="K260" s="2"/>
      <c r="L260" s="2" t="s">
        <v>705</v>
      </c>
    </row>
    <row r="261" customFormat="false" ht="15.65" hidden="false" customHeight="true" outlineLevel="0" collapsed="false">
      <c r="A261" s="5" t="str">
        <f aca="false">HYPERLINK("https://www.fabsurplus.com/sdi_catalog/salesItemDetails.do?id=109860")</f>
        <v>https://www.fabsurplus.com/sdi_catalog/salesItemDetails.do?id=109860</v>
      </c>
      <c r="B261" s="5" t="s">
        <v>709</v>
      </c>
      <c r="C261" s="5" t="s">
        <v>645</v>
      </c>
      <c r="D261" s="5" t="s">
        <v>306</v>
      </c>
      <c r="E261" s="5" t="s">
        <v>170</v>
      </c>
      <c r="F261" s="5" t="s">
        <v>16</v>
      </c>
      <c r="G261" s="5" t="s">
        <v>165</v>
      </c>
      <c r="H261" s="5"/>
      <c r="I261" s="5"/>
      <c r="J261" s="5" t="s">
        <v>42</v>
      </c>
      <c r="K261" s="5"/>
      <c r="L261" s="5" t="s">
        <v>710</v>
      </c>
    </row>
    <row r="262" customFormat="false" ht="15.65" hidden="false" customHeight="true" outlineLevel="0" collapsed="false">
      <c r="A262" s="2" t="str">
        <f aca="false">HYPERLINK("https://www.fabsurplus.com/sdi_catalog/salesItemDetails.do?id=109861")</f>
        <v>https://www.fabsurplus.com/sdi_catalog/salesItemDetails.do?id=109861</v>
      </c>
      <c r="B262" s="2" t="s">
        <v>711</v>
      </c>
      <c r="C262" s="2" t="s">
        <v>645</v>
      </c>
      <c r="D262" s="2" t="s">
        <v>306</v>
      </c>
      <c r="E262" s="2" t="s">
        <v>170</v>
      </c>
      <c r="F262" s="2" t="s">
        <v>16</v>
      </c>
      <c r="G262" s="2" t="s">
        <v>165</v>
      </c>
      <c r="H262" s="2"/>
      <c r="I262" s="2"/>
      <c r="J262" s="2" t="s">
        <v>42</v>
      </c>
      <c r="K262" s="2"/>
      <c r="L262" s="2" t="s">
        <v>712</v>
      </c>
    </row>
    <row r="263" customFormat="false" ht="15.65" hidden="false" customHeight="true" outlineLevel="0" collapsed="false">
      <c r="A263" s="5" t="str">
        <f aca="false">HYPERLINK("https://www.fabsurplus.com/sdi_catalog/salesItemDetails.do?id=109862")</f>
        <v>https://www.fabsurplus.com/sdi_catalog/salesItemDetails.do?id=109862</v>
      </c>
      <c r="B263" s="5" t="s">
        <v>713</v>
      </c>
      <c r="C263" s="5" t="s">
        <v>645</v>
      </c>
      <c r="D263" s="5" t="s">
        <v>313</v>
      </c>
      <c r="E263" s="5" t="s">
        <v>170</v>
      </c>
      <c r="F263" s="5" t="s">
        <v>16</v>
      </c>
      <c r="G263" s="5" t="s">
        <v>165</v>
      </c>
      <c r="H263" s="5"/>
      <c r="I263" s="5"/>
      <c r="J263" s="5" t="s">
        <v>42</v>
      </c>
      <c r="K263" s="5"/>
      <c r="L263" s="5" t="s">
        <v>714</v>
      </c>
    </row>
    <row r="264" customFormat="false" ht="15.65" hidden="false" customHeight="true" outlineLevel="0" collapsed="false">
      <c r="A264" s="2" t="str">
        <f aca="false">HYPERLINK("https://www.fabsurplus.com/sdi_catalog/salesItemDetails.do?id=109863")</f>
        <v>https://www.fabsurplus.com/sdi_catalog/salesItemDetails.do?id=109863</v>
      </c>
      <c r="B264" s="2" t="s">
        <v>715</v>
      </c>
      <c r="C264" s="2" t="s">
        <v>645</v>
      </c>
      <c r="D264" s="2" t="s">
        <v>313</v>
      </c>
      <c r="E264" s="2" t="s">
        <v>170</v>
      </c>
      <c r="F264" s="2" t="s">
        <v>16</v>
      </c>
      <c r="G264" s="2" t="s">
        <v>165</v>
      </c>
      <c r="H264" s="2"/>
      <c r="I264" s="2"/>
      <c r="J264" s="2" t="s">
        <v>42</v>
      </c>
      <c r="K264" s="2"/>
      <c r="L264" s="2" t="s">
        <v>716</v>
      </c>
    </row>
    <row r="265" customFormat="false" ht="15.65" hidden="false" customHeight="true" outlineLevel="0" collapsed="false">
      <c r="A265" s="5" t="str">
        <f aca="false">HYPERLINK("https://www.fabsurplus.com/sdi_catalog/salesItemDetails.do?id=109864")</f>
        <v>https://www.fabsurplus.com/sdi_catalog/salesItemDetails.do?id=109864</v>
      </c>
      <c r="B265" s="5" t="s">
        <v>717</v>
      </c>
      <c r="C265" s="5" t="s">
        <v>645</v>
      </c>
      <c r="D265" s="5" t="s">
        <v>313</v>
      </c>
      <c r="E265" s="5" t="s">
        <v>170</v>
      </c>
      <c r="F265" s="5" t="s">
        <v>16</v>
      </c>
      <c r="G265" s="5" t="s">
        <v>165</v>
      </c>
      <c r="H265" s="5"/>
      <c r="I265" s="5"/>
      <c r="J265" s="5" t="s">
        <v>42</v>
      </c>
      <c r="K265" s="5"/>
      <c r="L265" s="5" t="s">
        <v>718</v>
      </c>
    </row>
    <row r="266" customFormat="false" ht="15.65" hidden="false" customHeight="true" outlineLevel="0" collapsed="false">
      <c r="A266" s="2" t="str">
        <f aca="false">HYPERLINK("https://www.fabsurplus.com/sdi_catalog/salesItemDetails.do?id=109865")</f>
        <v>https://www.fabsurplus.com/sdi_catalog/salesItemDetails.do?id=109865</v>
      </c>
      <c r="B266" s="2" t="s">
        <v>719</v>
      </c>
      <c r="C266" s="2" t="s">
        <v>645</v>
      </c>
      <c r="D266" s="2" t="s">
        <v>313</v>
      </c>
      <c r="E266" s="2" t="s">
        <v>170</v>
      </c>
      <c r="F266" s="2" t="s">
        <v>16</v>
      </c>
      <c r="G266" s="2" t="s">
        <v>165</v>
      </c>
      <c r="H266" s="2"/>
      <c r="I266" s="2"/>
      <c r="J266" s="2" t="s">
        <v>42</v>
      </c>
      <c r="K266" s="2"/>
      <c r="L266" s="2" t="s">
        <v>720</v>
      </c>
    </row>
    <row r="267" customFormat="false" ht="15.65" hidden="false" customHeight="true" outlineLevel="0" collapsed="false">
      <c r="A267" s="5" t="str">
        <f aca="false">HYPERLINK("https://www.fabsurplus.com/sdi_catalog/salesItemDetails.do?id=109866")</f>
        <v>https://www.fabsurplus.com/sdi_catalog/salesItemDetails.do?id=109866</v>
      </c>
      <c r="B267" s="5" t="s">
        <v>721</v>
      </c>
      <c r="C267" s="5" t="s">
        <v>645</v>
      </c>
      <c r="D267" s="5" t="s">
        <v>313</v>
      </c>
      <c r="E267" s="5" t="s">
        <v>170</v>
      </c>
      <c r="F267" s="5" t="s">
        <v>16</v>
      </c>
      <c r="G267" s="5" t="s">
        <v>165</v>
      </c>
      <c r="H267" s="5"/>
      <c r="I267" s="5"/>
      <c r="J267" s="5" t="s">
        <v>42</v>
      </c>
      <c r="K267" s="5"/>
      <c r="L267" s="5" t="s">
        <v>720</v>
      </c>
    </row>
    <row r="268" customFormat="false" ht="15.65" hidden="false" customHeight="true" outlineLevel="0" collapsed="false">
      <c r="A268" s="2" t="str">
        <f aca="false">HYPERLINK("https://www.fabsurplus.com/sdi_catalog/salesItemDetails.do?id=109867")</f>
        <v>https://www.fabsurplus.com/sdi_catalog/salesItemDetails.do?id=109867</v>
      </c>
      <c r="B268" s="2" t="s">
        <v>722</v>
      </c>
      <c r="C268" s="2" t="s">
        <v>645</v>
      </c>
      <c r="D268" s="2" t="s">
        <v>313</v>
      </c>
      <c r="E268" s="2" t="s">
        <v>170</v>
      </c>
      <c r="F268" s="2" t="s">
        <v>16</v>
      </c>
      <c r="G268" s="2" t="s">
        <v>165</v>
      </c>
      <c r="H268" s="2"/>
      <c r="I268" s="2"/>
      <c r="J268" s="2" t="s">
        <v>42</v>
      </c>
      <c r="K268" s="2"/>
      <c r="L268" s="2" t="s">
        <v>723</v>
      </c>
    </row>
    <row r="269" customFormat="false" ht="15.65" hidden="false" customHeight="true" outlineLevel="0" collapsed="false">
      <c r="A269" s="5" t="str">
        <f aca="false">HYPERLINK("https://www.fabsurplus.com/sdi_catalog/salesItemDetails.do?id=109868")</f>
        <v>https://www.fabsurplus.com/sdi_catalog/salesItemDetails.do?id=109868</v>
      </c>
      <c r="B269" s="5" t="s">
        <v>724</v>
      </c>
      <c r="C269" s="5" t="s">
        <v>645</v>
      </c>
      <c r="D269" s="5" t="s">
        <v>313</v>
      </c>
      <c r="E269" s="5" t="s">
        <v>170</v>
      </c>
      <c r="F269" s="5" t="s">
        <v>16</v>
      </c>
      <c r="G269" s="5" t="s">
        <v>165</v>
      </c>
      <c r="H269" s="5"/>
      <c r="I269" s="5"/>
      <c r="J269" s="5" t="s">
        <v>42</v>
      </c>
      <c r="K269" s="5"/>
      <c r="L269" s="5" t="s">
        <v>725</v>
      </c>
    </row>
    <row r="270" customFormat="false" ht="15.65" hidden="false" customHeight="true" outlineLevel="0" collapsed="false">
      <c r="A270" s="2" t="str">
        <f aca="false">HYPERLINK("https://www.fabsurplus.com/sdi_catalog/salesItemDetails.do?id=109869")</f>
        <v>https://www.fabsurplus.com/sdi_catalog/salesItemDetails.do?id=109869</v>
      </c>
      <c r="B270" s="2" t="s">
        <v>726</v>
      </c>
      <c r="C270" s="2" t="s">
        <v>645</v>
      </c>
      <c r="D270" s="2" t="s">
        <v>313</v>
      </c>
      <c r="E270" s="2" t="s">
        <v>170</v>
      </c>
      <c r="F270" s="2" t="s">
        <v>16</v>
      </c>
      <c r="G270" s="2" t="s">
        <v>165</v>
      </c>
      <c r="H270" s="2"/>
      <c r="I270" s="2"/>
      <c r="J270" s="2" t="s">
        <v>42</v>
      </c>
      <c r="K270" s="2"/>
      <c r="L270" s="2" t="s">
        <v>727</v>
      </c>
    </row>
    <row r="271" customFormat="false" ht="15.65" hidden="false" customHeight="true" outlineLevel="0" collapsed="false">
      <c r="A271" s="5" t="str">
        <f aca="false">HYPERLINK("https://www.fabsurplus.com/sdi_catalog/salesItemDetails.do?id=109870")</f>
        <v>https://www.fabsurplus.com/sdi_catalog/salesItemDetails.do?id=109870</v>
      </c>
      <c r="B271" s="5" t="s">
        <v>728</v>
      </c>
      <c r="C271" s="5" t="s">
        <v>645</v>
      </c>
      <c r="D271" s="5" t="s">
        <v>313</v>
      </c>
      <c r="E271" s="5" t="s">
        <v>170</v>
      </c>
      <c r="F271" s="5" t="s">
        <v>16</v>
      </c>
      <c r="G271" s="5" t="s">
        <v>165</v>
      </c>
      <c r="H271" s="5"/>
      <c r="I271" s="5"/>
      <c r="J271" s="5" t="s">
        <v>42</v>
      </c>
      <c r="K271" s="5"/>
      <c r="L271" s="5" t="s">
        <v>727</v>
      </c>
    </row>
    <row r="272" customFormat="false" ht="15.65" hidden="false" customHeight="true" outlineLevel="0" collapsed="false">
      <c r="A272" s="2" t="str">
        <f aca="false">HYPERLINK("https://www.fabsurplus.com/sdi_catalog/salesItemDetails.do?id=109871")</f>
        <v>https://www.fabsurplus.com/sdi_catalog/salesItemDetails.do?id=109871</v>
      </c>
      <c r="B272" s="2" t="s">
        <v>729</v>
      </c>
      <c r="C272" s="2" t="s">
        <v>645</v>
      </c>
      <c r="D272" s="2" t="s">
        <v>313</v>
      </c>
      <c r="E272" s="2" t="s">
        <v>170</v>
      </c>
      <c r="F272" s="2" t="s">
        <v>16</v>
      </c>
      <c r="G272" s="2" t="s">
        <v>165</v>
      </c>
      <c r="H272" s="2"/>
      <c r="I272" s="2"/>
      <c r="J272" s="2" t="s">
        <v>42</v>
      </c>
      <c r="K272" s="2"/>
      <c r="L272" s="2" t="s">
        <v>727</v>
      </c>
    </row>
    <row r="273" customFormat="false" ht="15.65" hidden="false" customHeight="true" outlineLevel="0" collapsed="false">
      <c r="A273" s="5" t="str">
        <f aca="false">HYPERLINK("https://www.fabsurplus.com/sdi_catalog/salesItemDetails.do?id=109872")</f>
        <v>https://www.fabsurplus.com/sdi_catalog/salesItemDetails.do?id=109872</v>
      </c>
      <c r="B273" s="5" t="s">
        <v>730</v>
      </c>
      <c r="C273" s="5" t="s">
        <v>645</v>
      </c>
      <c r="D273" s="5" t="s">
        <v>313</v>
      </c>
      <c r="E273" s="5" t="s">
        <v>170</v>
      </c>
      <c r="F273" s="5" t="s">
        <v>16</v>
      </c>
      <c r="G273" s="5" t="s">
        <v>165</v>
      </c>
      <c r="H273" s="5"/>
      <c r="I273" s="5"/>
      <c r="J273" s="5" t="s">
        <v>42</v>
      </c>
      <c r="K273" s="5"/>
      <c r="L273" s="5" t="s">
        <v>727</v>
      </c>
    </row>
    <row r="274" customFormat="false" ht="15.65" hidden="false" customHeight="true" outlineLevel="0" collapsed="false">
      <c r="A274" s="2" t="str">
        <f aca="false">HYPERLINK("https://www.fabsurplus.com/sdi_catalog/salesItemDetails.do?id=109873")</f>
        <v>https://www.fabsurplus.com/sdi_catalog/salesItemDetails.do?id=109873</v>
      </c>
      <c r="B274" s="2" t="s">
        <v>731</v>
      </c>
      <c r="C274" s="2" t="s">
        <v>645</v>
      </c>
      <c r="D274" s="2" t="s">
        <v>313</v>
      </c>
      <c r="E274" s="2" t="s">
        <v>170</v>
      </c>
      <c r="F274" s="2" t="s">
        <v>16</v>
      </c>
      <c r="G274" s="2" t="s">
        <v>165</v>
      </c>
      <c r="H274" s="2"/>
      <c r="I274" s="2"/>
      <c r="J274" s="2" t="s">
        <v>42</v>
      </c>
      <c r="K274" s="2"/>
      <c r="L274" s="2" t="s">
        <v>727</v>
      </c>
    </row>
    <row r="275" customFormat="false" ht="15.65" hidden="false" customHeight="true" outlineLevel="0" collapsed="false">
      <c r="A275" s="5" t="str">
        <f aca="false">HYPERLINK("https://www.fabsurplus.com/sdi_catalog/salesItemDetails.do?id=109874")</f>
        <v>https://www.fabsurplus.com/sdi_catalog/salesItemDetails.do?id=109874</v>
      </c>
      <c r="B275" s="5" t="s">
        <v>732</v>
      </c>
      <c r="C275" s="5" t="s">
        <v>645</v>
      </c>
      <c r="D275" s="5" t="s">
        <v>733</v>
      </c>
      <c r="E275" s="5" t="s">
        <v>170</v>
      </c>
      <c r="F275" s="5" t="s">
        <v>16</v>
      </c>
      <c r="G275" s="5" t="s">
        <v>165</v>
      </c>
      <c r="H275" s="5"/>
      <c r="I275" s="5"/>
      <c r="J275" s="5" t="s">
        <v>42</v>
      </c>
      <c r="K275" s="5"/>
      <c r="L275" s="5" t="s">
        <v>734</v>
      </c>
    </row>
    <row r="276" customFormat="false" ht="15.65" hidden="false" customHeight="true" outlineLevel="0" collapsed="false">
      <c r="A276" s="2" t="str">
        <f aca="false">HYPERLINK("https://www.fabsurplus.com/sdi_catalog/salesItemDetails.do?id=109875")</f>
        <v>https://www.fabsurplus.com/sdi_catalog/salesItemDetails.do?id=109875</v>
      </c>
      <c r="B276" s="2" t="s">
        <v>735</v>
      </c>
      <c r="C276" s="2" t="s">
        <v>645</v>
      </c>
      <c r="D276" s="2" t="s">
        <v>642</v>
      </c>
      <c r="E276" s="2" t="s">
        <v>170</v>
      </c>
      <c r="F276" s="2" t="s">
        <v>16</v>
      </c>
      <c r="G276" s="2" t="s">
        <v>165</v>
      </c>
      <c r="H276" s="2"/>
      <c r="I276" s="2"/>
      <c r="J276" s="2" t="s">
        <v>42</v>
      </c>
      <c r="K276" s="2"/>
      <c r="L276" s="2" t="s">
        <v>736</v>
      </c>
    </row>
    <row r="277" customFormat="false" ht="15.65" hidden="false" customHeight="true" outlineLevel="0" collapsed="false">
      <c r="A277" s="5" t="str">
        <f aca="false">HYPERLINK("https://www.fabsurplus.com/sdi_catalog/salesItemDetails.do?id=109876")</f>
        <v>https://www.fabsurplus.com/sdi_catalog/salesItemDetails.do?id=109876</v>
      </c>
      <c r="B277" s="5" t="s">
        <v>737</v>
      </c>
      <c r="C277" s="5" t="s">
        <v>645</v>
      </c>
      <c r="D277" s="5" t="s">
        <v>642</v>
      </c>
      <c r="E277" s="5" t="s">
        <v>170</v>
      </c>
      <c r="F277" s="5" t="s">
        <v>16</v>
      </c>
      <c r="G277" s="5" t="s">
        <v>165</v>
      </c>
      <c r="H277" s="5"/>
      <c r="I277" s="5"/>
      <c r="J277" s="5" t="s">
        <v>42</v>
      </c>
      <c r="K277" s="5"/>
      <c r="L277" s="5" t="s">
        <v>738</v>
      </c>
    </row>
    <row r="278" customFormat="false" ht="15.65" hidden="false" customHeight="true" outlineLevel="0" collapsed="false">
      <c r="A278" s="2" t="str">
        <f aca="false">HYPERLINK("https://www.fabsurplus.com/sdi_catalog/salesItemDetails.do?id=109877")</f>
        <v>https://www.fabsurplus.com/sdi_catalog/salesItemDetails.do?id=109877</v>
      </c>
      <c r="B278" s="2" t="s">
        <v>739</v>
      </c>
      <c r="C278" s="2" t="s">
        <v>645</v>
      </c>
      <c r="D278" s="2" t="s">
        <v>642</v>
      </c>
      <c r="E278" s="2" t="s">
        <v>170</v>
      </c>
      <c r="F278" s="2" t="s">
        <v>16</v>
      </c>
      <c r="G278" s="2" t="s">
        <v>165</v>
      </c>
      <c r="H278" s="2"/>
      <c r="I278" s="2"/>
      <c r="J278" s="2" t="s">
        <v>42</v>
      </c>
      <c r="K278" s="2"/>
      <c r="L278" s="2" t="s">
        <v>738</v>
      </c>
    </row>
    <row r="279" customFormat="false" ht="15.65" hidden="false" customHeight="true" outlineLevel="0" collapsed="false">
      <c r="A279" s="5" t="str">
        <f aca="false">HYPERLINK("https://www.fabsurplus.com/sdi_catalog/salesItemDetails.do?id=109878")</f>
        <v>https://www.fabsurplus.com/sdi_catalog/salesItemDetails.do?id=109878</v>
      </c>
      <c r="B279" s="5" t="s">
        <v>740</v>
      </c>
      <c r="C279" s="5" t="s">
        <v>645</v>
      </c>
      <c r="D279" s="5" t="s">
        <v>642</v>
      </c>
      <c r="E279" s="5" t="s">
        <v>170</v>
      </c>
      <c r="F279" s="5" t="s">
        <v>16</v>
      </c>
      <c r="G279" s="5" t="s">
        <v>165</v>
      </c>
      <c r="H279" s="5"/>
      <c r="I279" s="5"/>
      <c r="J279" s="5" t="s">
        <v>42</v>
      </c>
      <c r="K279" s="5"/>
      <c r="L279" s="5" t="s">
        <v>741</v>
      </c>
    </row>
    <row r="280" customFormat="false" ht="15.65" hidden="false" customHeight="true" outlineLevel="0" collapsed="false">
      <c r="A280" s="2" t="str">
        <f aca="false">HYPERLINK("https://www.fabsurplus.com/sdi_catalog/salesItemDetails.do?id=109879")</f>
        <v>https://www.fabsurplus.com/sdi_catalog/salesItemDetails.do?id=109879</v>
      </c>
      <c r="B280" s="2" t="s">
        <v>742</v>
      </c>
      <c r="C280" s="2" t="s">
        <v>645</v>
      </c>
      <c r="D280" s="2" t="s">
        <v>642</v>
      </c>
      <c r="E280" s="2" t="s">
        <v>170</v>
      </c>
      <c r="F280" s="2" t="s">
        <v>16</v>
      </c>
      <c r="G280" s="2" t="s">
        <v>165</v>
      </c>
      <c r="H280" s="2"/>
      <c r="I280" s="2"/>
      <c r="J280" s="2" t="s">
        <v>42</v>
      </c>
      <c r="K280" s="2"/>
      <c r="L280" s="2" t="s">
        <v>741</v>
      </c>
    </row>
    <row r="281" customFormat="false" ht="15.65" hidden="false" customHeight="true" outlineLevel="0" collapsed="false">
      <c r="A281" s="5" t="str">
        <f aca="false">HYPERLINK("https://www.fabsurplus.com/sdi_catalog/salesItemDetails.do?id=109880")</f>
        <v>https://www.fabsurplus.com/sdi_catalog/salesItemDetails.do?id=109880</v>
      </c>
      <c r="B281" s="5" t="s">
        <v>743</v>
      </c>
      <c r="C281" s="5" t="s">
        <v>645</v>
      </c>
      <c r="D281" s="5" t="s">
        <v>744</v>
      </c>
      <c r="E281" s="5" t="s">
        <v>164</v>
      </c>
      <c r="F281" s="5" t="s">
        <v>16</v>
      </c>
      <c r="G281" s="5" t="s">
        <v>165</v>
      </c>
      <c r="H281" s="5"/>
      <c r="I281" s="5"/>
      <c r="J281" s="5" t="s">
        <v>42</v>
      </c>
      <c r="K281" s="5"/>
      <c r="L281" s="5" t="s">
        <v>745</v>
      </c>
    </row>
    <row r="282" customFormat="false" ht="15.65" hidden="false" customHeight="true" outlineLevel="0" collapsed="false">
      <c r="A282" s="2" t="str">
        <f aca="false">HYPERLINK("https://www.fabsurplus.com/sdi_catalog/salesItemDetails.do?id=109881")</f>
        <v>https://www.fabsurplus.com/sdi_catalog/salesItemDetails.do?id=109881</v>
      </c>
      <c r="B282" s="2" t="s">
        <v>746</v>
      </c>
      <c r="C282" s="2" t="s">
        <v>645</v>
      </c>
      <c r="D282" s="2" t="s">
        <v>747</v>
      </c>
      <c r="E282" s="2" t="s">
        <v>748</v>
      </c>
      <c r="F282" s="2" t="s">
        <v>16</v>
      </c>
      <c r="G282" s="2" t="s">
        <v>165</v>
      </c>
      <c r="H282" s="2"/>
      <c r="I282" s="2"/>
      <c r="J282" s="2" t="s">
        <v>42</v>
      </c>
      <c r="K282" s="2"/>
      <c r="L282" s="2" t="s">
        <v>749</v>
      </c>
    </row>
    <row r="283" customFormat="false" ht="15.65" hidden="false" customHeight="true" outlineLevel="0" collapsed="false">
      <c r="A283" s="5" t="str">
        <f aca="false">HYPERLINK("https://www.fabsurplus.com/sdi_catalog/salesItemDetails.do?id=109882")</f>
        <v>https://www.fabsurplus.com/sdi_catalog/salesItemDetails.do?id=109882</v>
      </c>
      <c r="B283" s="5" t="s">
        <v>750</v>
      </c>
      <c r="C283" s="5" t="s">
        <v>645</v>
      </c>
      <c r="D283" s="5" t="s">
        <v>751</v>
      </c>
      <c r="E283" s="5" t="s">
        <v>170</v>
      </c>
      <c r="F283" s="5" t="s">
        <v>16</v>
      </c>
      <c r="G283" s="5" t="s">
        <v>165</v>
      </c>
      <c r="H283" s="5"/>
      <c r="I283" s="5"/>
      <c r="J283" s="5" t="s">
        <v>42</v>
      </c>
      <c r="K283" s="5"/>
      <c r="L283" s="5" t="s">
        <v>752</v>
      </c>
    </row>
    <row r="284" customFormat="false" ht="15.65" hidden="false" customHeight="true" outlineLevel="0" collapsed="false">
      <c r="A284" s="2" t="str">
        <f aca="false">HYPERLINK("https://www.fabsurplus.com/sdi_catalog/salesItemDetails.do?id=109883")</f>
        <v>https://www.fabsurplus.com/sdi_catalog/salesItemDetails.do?id=109883</v>
      </c>
      <c r="B284" s="2" t="s">
        <v>753</v>
      </c>
      <c r="C284" s="2" t="s">
        <v>645</v>
      </c>
      <c r="D284" s="2" t="s">
        <v>754</v>
      </c>
      <c r="E284" s="2" t="s">
        <v>170</v>
      </c>
      <c r="F284" s="2" t="s">
        <v>16</v>
      </c>
      <c r="G284" s="2" t="s">
        <v>165</v>
      </c>
      <c r="H284" s="2"/>
      <c r="I284" s="2"/>
      <c r="J284" s="2" t="s">
        <v>42</v>
      </c>
      <c r="K284" s="2"/>
      <c r="L284" s="2" t="s">
        <v>755</v>
      </c>
    </row>
    <row r="285" customFormat="false" ht="15.65" hidden="false" customHeight="true" outlineLevel="0" collapsed="false">
      <c r="A285" s="5" t="str">
        <f aca="false">HYPERLINK("https://www.fabsurplus.com/sdi_catalog/salesItemDetails.do?id=109884")</f>
        <v>https://www.fabsurplus.com/sdi_catalog/salesItemDetails.do?id=109884</v>
      </c>
      <c r="B285" s="5" t="s">
        <v>756</v>
      </c>
      <c r="C285" s="5" t="s">
        <v>645</v>
      </c>
      <c r="D285" s="5" t="s">
        <v>757</v>
      </c>
      <c r="E285" s="5" t="s">
        <v>170</v>
      </c>
      <c r="F285" s="5" t="s">
        <v>16</v>
      </c>
      <c r="G285" s="5" t="s">
        <v>165</v>
      </c>
      <c r="H285" s="5"/>
      <c r="I285" s="5"/>
      <c r="J285" s="5" t="s">
        <v>42</v>
      </c>
      <c r="K285" s="5"/>
      <c r="L285" s="5" t="s">
        <v>755</v>
      </c>
    </row>
    <row r="286" customFormat="false" ht="15.65" hidden="false" customHeight="true" outlineLevel="0" collapsed="false">
      <c r="A286" s="2" t="str">
        <f aca="false">HYPERLINK("https://www.fabsurplus.com/sdi_catalog/salesItemDetails.do?id=109885")</f>
        <v>https://www.fabsurplus.com/sdi_catalog/salesItemDetails.do?id=109885</v>
      </c>
      <c r="B286" s="2" t="s">
        <v>758</v>
      </c>
      <c r="C286" s="2" t="s">
        <v>645</v>
      </c>
      <c r="D286" s="2" t="s">
        <v>759</v>
      </c>
      <c r="E286" s="2" t="s">
        <v>164</v>
      </c>
      <c r="F286" s="2" t="s">
        <v>16</v>
      </c>
      <c r="G286" s="2" t="s">
        <v>165</v>
      </c>
      <c r="H286" s="2"/>
      <c r="I286" s="2"/>
      <c r="J286" s="2" t="s">
        <v>42</v>
      </c>
      <c r="K286" s="2"/>
      <c r="L286" s="4" t="s">
        <v>760</v>
      </c>
    </row>
    <row r="287" customFormat="false" ht="15.65" hidden="false" customHeight="true" outlineLevel="0" collapsed="false">
      <c r="A287" s="5" t="str">
        <f aca="false">HYPERLINK("https://www.fabsurplus.com/sdi_catalog/salesItemDetails.do?id=109630")</f>
        <v>https://www.fabsurplus.com/sdi_catalog/salesItemDetails.do?id=109630</v>
      </c>
      <c r="B287" s="5" t="s">
        <v>761</v>
      </c>
      <c r="C287" s="5" t="s">
        <v>645</v>
      </c>
      <c r="D287" s="5" t="s">
        <v>762</v>
      </c>
      <c r="E287" s="5" t="s">
        <v>763</v>
      </c>
      <c r="F287" s="5" t="s">
        <v>16</v>
      </c>
      <c r="G287" s="5" t="s">
        <v>165</v>
      </c>
      <c r="H287" s="5"/>
      <c r="I287" s="5"/>
      <c r="J287" s="5" t="s">
        <v>42</v>
      </c>
      <c r="K287" s="5"/>
      <c r="L287" s="5" t="s">
        <v>764</v>
      </c>
    </row>
    <row r="288" customFormat="false" ht="15.65" hidden="false" customHeight="true" outlineLevel="0" collapsed="false">
      <c r="A288" s="2" t="str">
        <f aca="false">HYPERLINK("https://www.fabsurplus.com/sdi_catalog/salesItemDetails.do?id=109886")</f>
        <v>https://www.fabsurplus.com/sdi_catalog/salesItemDetails.do?id=109886</v>
      </c>
      <c r="B288" s="2" t="s">
        <v>765</v>
      </c>
      <c r="C288" s="2" t="s">
        <v>645</v>
      </c>
      <c r="D288" s="2" t="s">
        <v>766</v>
      </c>
      <c r="E288" s="2" t="s">
        <v>170</v>
      </c>
      <c r="F288" s="2" t="s">
        <v>16</v>
      </c>
      <c r="G288" s="2" t="s">
        <v>165</v>
      </c>
      <c r="H288" s="2"/>
      <c r="I288" s="2"/>
      <c r="J288" s="2" t="s">
        <v>42</v>
      </c>
      <c r="K288" s="2"/>
      <c r="L288" s="4" t="s">
        <v>767</v>
      </c>
    </row>
    <row r="289" customFormat="false" ht="15.65" hidden="false" customHeight="true" outlineLevel="0" collapsed="false">
      <c r="A289" s="5" t="str">
        <f aca="false">HYPERLINK("https://www.fabsurplus.com/sdi_catalog/salesItemDetails.do?id=109631")</f>
        <v>https://www.fabsurplus.com/sdi_catalog/salesItemDetails.do?id=109631</v>
      </c>
      <c r="B289" s="5" t="s">
        <v>768</v>
      </c>
      <c r="C289" s="5" t="s">
        <v>645</v>
      </c>
      <c r="D289" s="5" t="s">
        <v>769</v>
      </c>
      <c r="E289" s="5" t="s">
        <v>164</v>
      </c>
      <c r="F289" s="5" t="s">
        <v>16</v>
      </c>
      <c r="G289" s="5" t="s">
        <v>165</v>
      </c>
      <c r="H289" s="5"/>
      <c r="I289" s="5"/>
      <c r="J289" s="5" t="s">
        <v>42</v>
      </c>
      <c r="K289" s="5"/>
      <c r="L289" s="5" t="s">
        <v>770</v>
      </c>
    </row>
    <row r="290" customFormat="false" ht="15.65" hidden="false" customHeight="true" outlineLevel="0" collapsed="false">
      <c r="A290" s="2" t="str">
        <f aca="false">HYPERLINK("https://www.fabsurplus.com/sdi_catalog/salesItemDetails.do?id=109887")</f>
        <v>https://www.fabsurplus.com/sdi_catalog/salesItemDetails.do?id=109887</v>
      </c>
      <c r="B290" s="2" t="s">
        <v>771</v>
      </c>
      <c r="C290" s="2" t="s">
        <v>645</v>
      </c>
      <c r="D290" s="2" t="s">
        <v>766</v>
      </c>
      <c r="E290" s="2" t="s">
        <v>170</v>
      </c>
      <c r="F290" s="2" t="s">
        <v>16</v>
      </c>
      <c r="G290" s="2" t="s">
        <v>165</v>
      </c>
      <c r="H290" s="2"/>
      <c r="I290" s="2"/>
      <c r="J290" s="2" t="s">
        <v>42</v>
      </c>
      <c r="K290" s="2"/>
      <c r="L290" s="4" t="s">
        <v>767</v>
      </c>
    </row>
    <row r="291" customFormat="false" ht="15.65" hidden="false" customHeight="true" outlineLevel="0" collapsed="false">
      <c r="A291" s="5" t="str">
        <f aca="false">HYPERLINK("https://www.fabsurplus.com/sdi_catalog/salesItemDetails.do?id=109632")</f>
        <v>https://www.fabsurplus.com/sdi_catalog/salesItemDetails.do?id=109632</v>
      </c>
      <c r="B291" s="5" t="s">
        <v>772</v>
      </c>
      <c r="C291" s="5" t="s">
        <v>645</v>
      </c>
      <c r="D291" s="5" t="s">
        <v>769</v>
      </c>
      <c r="E291" s="5" t="s">
        <v>164</v>
      </c>
      <c r="F291" s="5" t="s">
        <v>16</v>
      </c>
      <c r="G291" s="5" t="s">
        <v>165</v>
      </c>
      <c r="H291" s="5"/>
      <c r="I291" s="5"/>
      <c r="J291" s="5" t="s">
        <v>42</v>
      </c>
      <c r="K291" s="5"/>
      <c r="L291" s="5" t="s">
        <v>770</v>
      </c>
    </row>
    <row r="292" customFormat="false" ht="15.65" hidden="false" customHeight="true" outlineLevel="0" collapsed="false">
      <c r="A292" s="2" t="str">
        <f aca="false">HYPERLINK("https://www.fabsurplus.com/sdi_catalog/salesItemDetails.do?id=109888")</f>
        <v>https://www.fabsurplus.com/sdi_catalog/salesItemDetails.do?id=109888</v>
      </c>
      <c r="B292" s="2" t="s">
        <v>773</v>
      </c>
      <c r="C292" s="2" t="s">
        <v>645</v>
      </c>
      <c r="D292" s="2" t="s">
        <v>766</v>
      </c>
      <c r="E292" s="2" t="s">
        <v>170</v>
      </c>
      <c r="F292" s="2" t="s">
        <v>16</v>
      </c>
      <c r="G292" s="2" t="s">
        <v>165</v>
      </c>
      <c r="H292" s="2"/>
      <c r="I292" s="2"/>
      <c r="J292" s="2" t="s">
        <v>42</v>
      </c>
      <c r="K292" s="2"/>
      <c r="L292" s="4" t="s">
        <v>767</v>
      </c>
    </row>
    <row r="293" customFormat="false" ht="15.65" hidden="false" customHeight="true" outlineLevel="0" collapsed="false">
      <c r="A293" s="5" t="str">
        <f aca="false">HYPERLINK("https://www.fabsurplus.com/sdi_catalog/salesItemDetails.do?id=109633")</f>
        <v>https://www.fabsurplus.com/sdi_catalog/salesItemDetails.do?id=109633</v>
      </c>
      <c r="B293" s="5" t="s">
        <v>774</v>
      </c>
      <c r="C293" s="5" t="s">
        <v>645</v>
      </c>
      <c r="D293" s="5" t="s">
        <v>775</v>
      </c>
      <c r="E293" s="5" t="s">
        <v>164</v>
      </c>
      <c r="F293" s="5" t="s">
        <v>16</v>
      </c>
      <c r="G293" s="5" t="s">
        <v>165</v>
      </c>
      <c r="H293" s="5"/>
      <c r="I293" s="5"/>
      <c r="J293" s="5" t="s">
        <v>42</v>
      </c>
      <c r="K293" s="5"/>
      <c r="L293" s="5" t="s">
        <v>776</v>
      </c>
    </row>
    <row r="294" customFormat="false" ht="15.65" hidden="false" customHeight="true" outlineLevel="0" collapsed="false">
      <c r="A294" s="2" t="str">
        <f aca="false">HYPERLINK("https://www.fabsurplus.com/sdi_catalog/salesItemDetails.do?id=109889")</f>
        <v>https://www.fabsurplus.com/sdi_catalog/salesItemDetails.do?id=109889</v>
      </c>
      <c r="B294" s="2" t="s">
        <v>777</v>
      </c>
      <c r="C294" s="2" t="s">
        <v>645</v>
      </c>
      <c r="D294" s="2" t="s">
        <v>778</v>
      </c>
      <c r="E294" s="2" t="s">
        <v>170</v>
      </c>
      <c r="F294" s="2" t="s">
        <v>16</v>
      </c>
      <c r="G294" s="2" t="s">
        <v>165</v>
      </c>
      <c r="H294" s="2"/>
      <c r="I294" s="2"/>
      <c r="J294" s="2" t="s">
        <v>42</v>
      </c>
      <c r="K294" s="2"/>
      <c r="L294" s="2" t="s">
        <v>686</v>
      </c>
    </row>
    <row r="295" customFormat="false" ht="15.65" hidden="false" customHeight="true" outlineLevel="0" collapsed="false">
      <c r="A295" s="5" t="str">
        <f aca="false">HYPERLINK("https://www.fabsurplus.com/sdi_catalog/salesItemDetails.do?id=109634")</f>
        <v>https://www.fabsurplus.com/sdi_catalog/salesItemDetails.do?id=109634</v>
      </c>
      <c r="B295" s="5" t="s">
        <v>779</v>
      </c>
      <c r="C295" s="5" t="s">
        <v>645</v>
      </c>
      <c r="D295" s="5" t="s">
        <v>775</v>
      </c>
      <c r="E295" s="5" t="s">
        <v>164</v>
      </c>
      <c r="F295" s="5" t="s">
        <v>16</v>
      </c>
      <c r="G295" s="5" t="s">
        <v>165</v>
      </c>
      <c r="H295" s="5"/>
      <c r="I295" s="5"/>
      <c r="J295" s="5" t="s">
        <v>42</v>
      </c>
      <c r="K295" s="5"/>
      <c r="L295" s="5" t="s">
        <v>776</v>
      </c>
    </row>
    <row r="296" customFormat="false" ht="15.65" hidden="false" customHeight="true" outlineLevel="0" collapsed="false">
      <c r="A296" s="2" t="str">
        <f aca="false">HYPERLINK("https://www.fabsurplus.com/sdi_catalog/salesItemDetails.do?id=109890")</f>
        <v>https://www.fabsurplus.com/sdi_catalog/salesItemDetails.do?id=109890</v>
      </c>
      <c r="B296" s="2" t="s">
        <v>780</v>
      </c>
      <c r="C296" s="2" t="s">
        <v>645</v>
      </c>
      <c r="D296" s="2" t="s">
        <v>778</v>
      </c>
      <c r="E296" s="2" t="s">
        <v>170</v>
      </c>
      <c r="F296" s="2" t="s">
        <v>16</v>
      </c>
      <c r="G296" s="2" t="s">
        <v>165</v>
      </c>
      <c r="H296" s="2"/>
      <c r="I296" s="2"/>
      <c r="J296" s="2" t="s">
        <v>42</v>
      </c>
      <c r="K296" s="2"/>
      <c r="L296" s="2" t="s">
        <v>686</v>
      </c>
    </row>
    <row r="297" customFormat="false" ht="15.65" hidden="false" customHeight="true" outlineLevel="0" collapsed="false">
      <c r="A297" s="5" t="str">
        <f aca="false">HYPERLINK("https://www.fabsurplus.com/sdi_catalog/salesItemDetails.do?id=109635")</f>
        <v>https://www.fabsurplus.com/sdi_catalog/salesItemDetails.do?id=109635</v>
      </c>
      <c r="B297" s="5" t="s">
        <v>781</v>
      </c>
      <c r="C297" s="5" t="s">
        <v>645</v>
      </c>
      <c r="D297" s="5" t="s">
        <v>775</v>
      </c>
      <c r="E297" s="5" t="s">
        <v>164</v>
      </c>
      <c r="F297" s="5" t="s">
        <v>16</v>
      </c>
      <c r="G297" s="5" t="s">
        <v>165</v>
      </c>
      <c r="H297" s="5"/>
      <c r="I297" s="5"/>
      <c r="J297" s="5" t="s">
        <v>42</v>
      </c>
      <c r="K297" s="5"/>
      <c r="L297" s="5" t="s">
        <v>776</v>
      </c>
    </row>
    <row r="298" customFormat="false" ht="15.65" hidden="false" customHeight="true" outlineLevel="0" collapsed="false">
      <c r="A298" s="2" t="str">
        <f aca="false">HYPERLINK("https://www.fabsurplus.com/sdi_catalog/salesItemDetails.do?id=109891")</f>
        <v>https://www.fabsurplus.com/sdi_catalog/salesItemDetails.do?id=109891</v>
      </c>
      <c r="B298" s="2" t="s">
        <v>782</v>
      </c>
      <c r="C298" s="2" t="s">
        <v>645</v>
      </c>
      <c r="D298" s="2" t="s">
        <v>778</v>
      </c>
      <c r="E298" s="2" t="s">
        <v>170</v>
      </c>
      <c r="F298" s="2" t="s">
        <v>16</v>
      </c>
      <c r="G298" s="2" t="s">
        <v>165</v>
      </c>
      <c r="H298" s="2"/>
      <c r="I298" s="2"/>
      <c r="J298" s="2" t="s">
        <v>42</v>
      </c>
      <c r="K298" s="2"/>
      <c r="L298" s="2" t="s">
        <v>783</v>
      </c>
    </row>
    <row r="299" customFormat="false" ht="15.65" hidden="false" customHeight="true" outlineLevel="0" collapsed="false">
      <c r="A299" s="5" t="str">
        <f aca="false">HYPERLINK("https://www.fabsurplus.com/sdi_catalog/salesItemDetails.do?id=109636")</f>
        <v>https://www.fabsurplus.com/sdi_catalog/salesItemDetails.do?id=109636</v>
      </c>
      <c r="B299" s="5" t="s">
        <v>784</v>
      </c>
      <c r="C299" s="5" t="s">
        <v>645</v>
      </c>
      <c r="D299" s="5" t="s">
        <v>775</v>
      </c>
      <c r="E299" s="5" t="s">
        <v>164</v>
      </c>
      <c r="F299" s="5" t="s">
        <v>16</v>
      </c>
      <c r="G299" s="5" t="s">
        <v>165</v>
      </c>
      <c r="H299" s="5"/>
      <c r="I299" s="5"/>
      <c r="J299" s="5" t="s">
        <v>42</v>
      </c>
      <c r="K299" s="5"/>
      <c r="L299" s="5" t="s">
        <v>776</v>
      </c>
    </row>
    <row r="300" customFormat="false" ht="15.65" hidden="false" customHeight="true" outlineLevel="0" collapsed="false">
      <c r="A300" s="2" t="str">
        <f aca="false">HYPERLINK("https://www.fabsurplus.com/sdi_catalog/salesItemDetails.do?id=109892")</f>
        <v>https://www.fabsurplus.com/sdi_catalog/salesItemDetails.do?id=109892</v>
      </c>
      <c r="B300" s="2" t="s">
        <v>785</v>
      </c>
      <c r="C300" s="2" t="s">
        <v>645</v>
      </c>
      <c r="D300" s="2" t="s">
        <v>786</v>
      </c>
      <c r="E300" s="2" t="s">
        <v>763</v>
      </c>
      <c r="F300" s="2" t="s">
        <v>16</v>
      </c>
      <c r="G300" s="2" t="s">
        <v>165</v>
      </c>
      <c r="H300" s="2"/>
      <c r="I300" s="2"/>
      <c r="J300" s="2" t="s">
        <v>42</v>
      </c>
      <c r="K300" s="2"/>
      <c r="L300" s="2" t="s">
        <v>787</v>
      </c>
    </row>
    <row r="301" customFormat="false" ht="15.65" hidden="false" customHeight="true" outlineLevel="0" collapsed="false">
      <c r="A301" s="5" t="str">
        <f aca="false">HYPERLINK("https://www.fabsurplus.com/sdi_catalog/salesItemDetails.do?id=109637")</f>
        <v>https://www.fabsurplus.com/sdi_catalog/salesItemDetails.do?id=109637</v>
      </c>
      <c r="B301" s="5" t="s">
        <v>788</v>
      </c>
      <c r="C301" s="5" t="s">
        <v>645</v>
      </c>
      <c r="D301" s="5" t="s">
        <v>789</v>
      </c>
      <c r="E301" s="5" t="s">
        <v>170</v>
      </c>
      <c r="F301" s="5" t="s">
        <v>16</v>
      </c>
      <c r="G301" s="5" t="s">
        <v>165</v>
      </c>
      <c r="H301" s="5"/>
      <c r="I301" s="5"/>
      <c r="J301" s="5" t="s">
        <v>42</v>
      </c>
      <c r="K301" s="5"/>
      <c r="L301" s="5" t="s">
        <v>790</v>
      </c>
    </row>
    <row r="302" customFormat="false" ht="15.65" hidden="false" customHeight="true" outlineLevel="0" collapsed="false">
      <c r="A302" s="2" t="str">
        <f aca="false">HYPERLINK("https://www.fabsurplus.com/sdi_catalog/salesItemDetails.do?id=109893")</f>
        <v>https://www.fabsurplus.com/sdi_catalog/salesItemDetails.do?id=109893</v>
      </c>
      <c r="B302" s="2" t="s">
        <v>791</v>
      </c>
      <c r="C302" s="2" t="s">
        <v>645</v>
      </c>
      <c r="D302" s="2" t="s">
        <v>792</v>
      </c>
      <c r="E302" s="2" t="s">
        <v>164</v>
      </c>
      <c r="F302" s="2" t="s">
        <v>16</v>
      </c>
      <c r="G302" s="2" t="s">
        <v>165</v>
      </c>
      <c r="H302" s="2"/>
      <c r="I302" s="2"/>
      <c r="J302" s="2" t="s">
        <v>42</v>
      </c>
      <c r="K302" s="2"/>
      <c r="L302" s="2" t="s">
        <v>686</v>
      </c>
    </row>
    <row r="303" customFormat="false" ht="15.65" hidden="false" customHeight="true" outlineLevel="0" collapsed="false">
      <c r="A303" s="5" t="str">
        <f aca="false">HYPERLINK("https://www.fabsurplus.com/sdi_catalog/salesItemDetails.do?id=109638")</f>
        <v>https://www.fabsurplus.com/sdi_catalog/salesItemDetails.do?id=109638</v>
      </c>
      <c r="B303" s="5" t="s">
        <v>793</v>
      </c>
      <c r="C303" s="5" t="s">
        <v>645</v>
      </c>
      <c r="D303" s="5" t="s">
        <v>789</v>
      </c>
      <c r="E303" s="5" t="s">
        <v>170</v>
      </c>
      <c r="F303" s="5" t="s">
        <v>16</v>
      </c>
      <c r="G303" s="5" t="s">
        <v>165</v>
      </c>
      <c r="H303" s="5"/>
      <c r="I303" s="5"/>
      <c r="J303" s="5" t="s">
        <v>42</v>
      </c>
      <c r="K303" s="5"/>
      <c r="L303" s="5" t="s">
        <v>794</v>
      </c>
    </row>
    <row r="304" customFormat="false" ht="15.65" hidden="false" customHeight="true" outlineLevel="0" collapsed="false">
      <c r="A304" s="2" t="str">
        <f aca="false">HYPERLINK("https://www.fabsurplus.com/sdi_catalog/salesItemDetails.do?id=109639")</f>
        <v>https://www.fabsurplus.com/sdi_catalog/salesItemDetails.do?id=109639</v>
      </c>
      <c r="B304" s="2" t="s">
        <v>795</v>
      </c>
      <c r="C304" s="2" t="s">
        <v>645</v>
      </c>
      <c r="D304" s="2" t="s">
        <v>789</v>
      </c>
      <c r="E304" s="2" t="s">
        <v>170</v>
      </c>
      <c r="F304" s="2" t="s">
        <v>16</v>
      </c>
      <c r="G304" s="2" t="s">
        <v>165</v>
      </c>
      <c r="H304" s="2"/>
      <c r="I304" s="2"/>
      <c r="J304" s="2" t="s">
        <v>42</v>
      </c>
      <c r="K304" s="2"/>
      <c r="L304" s="2" t="s">
        <v>796</v>
      </c>
    </row>
    <row r="305" customFormat="false" ht="15.65" hidden="false" customHeight="true" outlineLevel="0" collapsed="false">
      <c r="A305" s="5" t="str">
        <f aca="false">HYPERLINK("https://www.fabsurplus.com/sdi_catalog/salesItemDetails.do?id=109640")</f>
        <v>https://www.fabsurplus.com/sdi_catalog/salesItemDetails.do?id=109640</v>
      </c>
      <c r="B305" s="5" t="s">
        <v>797</v>
      </c>
      <c r="C305" s="5" t="s">
        <v>645</v>
      </c>
      <c r="D305" s="5" t="s">
        <v>789</v>
      </c>
      <c r="E305" s="5" t="s">
        <v>170</v>
      </c>
      <c r="F305" s="5" t="s">
        <v>16</v>
      </c>
      <c r="G305" s="5" t="s">
        <v>165</v>
      </c>
      <c r="H305" s="5"/>
      <c r="I305" s="5"/>
      <c r="J305" s="5" t="s">
        <v>42</v>
      </c>
      <c r="K305" s="5"/>
      <c r="L305" s="5" t="s">
        <v>798</v>
      </c>
    </row>
    <row r="306" customFormat="false" ht="15.65" hidden="false" customHeight="true" outlineLevel="0" collapsed="false">
      <c r="A306" s="2" t="str">
        <f aca="false">HYPERLINK("https://www.fabsurplus.com/sdi_catalog/salesItemDetails.do?id=109641")</f>
        <v>https://www.fabsurplus.com/sdi_catalog/salesItemDetails.do?id=109641</v>
      </c>
      <c r="B306" s="2" t="s">
        <v>799</v>
      </c>
      <c r="C306" s="2" t="s">
        <v>645</v>
      </c>
      <c r="D306" s="2" t="s">
        <v>800</v>
      </c>
      <c r="E306" s="2" t="s">
        <v>170</v>
      </c>
      <c r="F306" s="2" t="s">
        <v>16</v>
      </c>
      <c r="G306" s="2" t="s">
        <v>165</v>
      </c>
      <c r="H306" s="2"/>
      <c r="I306" s="2"/>
      <c r="J306" s="2" t="s">
        <v>42</v>
      </c>
      <c r="K306" s="2"/>
      <c r="L306" s="4" t="s">
        <v>801</v>
      </c>
    </row>
    <row r="307" customFormat="false" ht="15.65" hidden="false" customHeight="true" outlineLevel="0" collapsed="false">
      <c r="A307" s="5" t="str">
        <f aca="false">HYPERLINK("https://www.fabsurplus.com/sdi_catalog/salesItemDetails.do?id=109642")</f>
        <v>https://www.fabsurplus.com/sdi_catalog/salesItemDetails.do?id=109642</v>
      </c>
      <c r="B307" s="5" t="s">
        <v>802</v>
      </c>
      <c r="C307" s="5" t="s">
        <v>645</v>
      </c>
      <c r="D307" s="5" t="s">
        <v>800</v>
      </c>
      <c r="E307" s="5" t="s">
        <v>170</v>
      </c>
      <c r="F307" s="5" t="s">
        <v>16</v>
      </c>
      <c r="G307" s="5" t="s">
        <v>165</v>
      </c>
      <c r="H307" s="5"/>
      <c r="I307" s="5"/>
      <c r="J307" s="5" t="s">
        <v>42</v>
      </c>
      <c r="K307" s="5"/>
      <c r="L307" s="7" t="s">
        <v>801</v>
      </c>
    </row>
    <row r="308" customFormat="false" ht="15.65" hidden="false" customHeight="true" outlineLevel="0" collapsed="false">
      <c r="A308" s="2" t="str">
        <f aca="false">HYPERLINK("https://www.fabsurplus.com/sdi_catalog/salesItemDetails.do?id=109643")</f>
        <v>https://www.fabsurplus.com/sdi_catalog/salesItemDetails.do?id=109643</v>
      </c>
      <c r="B308" s="2" t="s">
        <v>803</v>
      </c>
      <c r="C308" s="2" t="s">
        <v>645</v>
      </c>
      <c r="D308" s="2" t="s">
        <v>804</v>
      </c>
      <c r="E308" s="2" t="s">
        <v>170</v>
      </c>
      <c r="F308" s="2" t="s">
        <v>16</v>
      </c>
      <c r="G308" s="2" t="s">
        <v>165</v>
      </c>
      <c r="H308" s="2"/>
      <c r="I308" s="2"/>
      <c r="J308" s="2" t="s">
        <v>42</v>
      </c>
      <c r="K308" s="2"/>
      <c r="L308" s="2" t="s">
        <v>805</v>
      </c>
    </row>
    <row r="309" customFormat="false" ht="15.65" hidden="false" customHeight="true" outlineLevel="0" collapsed="false">
      <c r="A309" s="5" t="str">
        <f aca="false">HYPERLINK("https://www.fabsurplus.com/sdi_catalog/salesItemDetails.do?id=109644")</f>
        <v>https://www.fabsurplus.com/sdi_catalog/salesItemDetails.do?id=109644</v>
      </c>
      <c r="B309" s="5" t="s">
        <v>806</v>
      </c>
      <c r="C309" s="5" t="s">
        <v>645</v>
      </c>
      <c r="D309" s="5" t="s">
        <v>807</v>
      </c>
      <c r="E309" s="5" t="s">
        <v>170</v>
      </c>
      <c r="F309" s="5" t="s">
        <v>16</v>
      </c>
      <c r="G309" s="5" t="s">
        <v>165</v>
      </c>
      <c r="H309" s="5"/>
      <c r="I309" s="5"/>
      <c r="J309" s="5" t="s">
        <v>42</v>
      </c>
      <c r="K309" s="5"/>
      <c r="L309" s="5" t="s">
        <v>808</v>
      </c>
    </row>
    <row r="310" customFormat="false" ht="15.65" hidden="false" customHeight="true" outlineLevel="0" collapsed="false">
      <c r="A310" s="2" t="str">
        <f aca="false">HYPERLINK("https://www.fabsurplus.com/sdi_catalog/salesItemDetails.do?id=109645")</f>
        <v>https://www.fabsurplus.com/sdi_catalog/salesItemDetails.do?id=109645</v>
      </c>
      <c r="B310" s="2" t="s">
        <v>809</v>
      </c>
      <c r="C310" s="2" t="s">
        <v>645</v>
      </c>
      <c r="D310" s="2" t="s">
        <v>807</v>
      </c>
      <c r="E310" s="2" t="s">
        <v>170</v>
      </c>
      <c r="F310" s="2" t="s">
        <v>16</v>
      </c>
      <c r="G310" s="2" t="s">
        <v>165</v>
      </c>
      <c r="H310" s="2"/>
      <c r="I310" s="2"/>
      <c r="J310" s="2" t="s">
        <v>42</v>
      </c>
      <c r="K310" s="2"/>
      <c r="L310" s="2" t="s">
        <v>808</v>
      </c>
    </row>
    <row r="311" customFormat="false" ht="15.65" hidden="false" customHeight="true" outlineLevel="0" collapsed="false">
      <c r="A311" s="5" t="str">
        <f aca="false">HYPERLINK("https://www.fabsurplus.com/sdi_catalog/salesItemDetails.do?id=109646")</f>
        <v>https://www.fabsurplus.com/sdi_catalog/salesItemDetails.do?id=109646</v>
      </c>
      <c r="B311" s="5" t="s">
        <v>810</v>
      </c>
      <c r="C311" s="5" t="s">
        <v>645</v>
      </c>
      <c r="D311" s="5" t="s">
        <v>811</v>
      </c>
      <c r="E311" s="5" t="s">
        <v>170</v>
      </c>
      <c r="F311" s="5" t="s">
        <v>16</v>
      </c>
      <c r="G311" s="5" t="s">
        <v>165</v>
      </c>
      <c r="H311" s="5"/>
      <c r="I311" s="5"/>
      <c r="J311" s="5" t="s">
        <v>42</v>
      </c>
      <c r="K311" s="5"/>
      <c r="L311" s="5" t="s">
        <v>686</v>
      </c>
    </row>
    <row r="312" customFormat="false" ht="15.65" hidden="false" customHeight="true" outlineLevel="0" collapsed="false">
      <c r="A312" s="2" t="str">
        <f aca="false">HYPERLINK("https://www.fabsurplus.com/sdi_catalog/salesItemDetails.do?id=109647")</f>
        <v>https://www.fabsurplus.com/sdi_catalog/salesItemDetails.do?id=109647</v>
      </c>
      <c r="B312" s="2" t="s">
        <v>812</v>
      </c>
      <c r="C312" s="2" t="s">
        <v>645</v>
      </c>
      <c r="D312" s="2" t="s">
        <v>813</v>
      </c>
      <c r="E312" s="2" t="s">
        <v>763</v>
      </c>
      <c r="F312" s="2" t="s">
        <v>16</v>
      </c>
      <c r="G312" s="2" t="s">
        <v>165</v>
      </c>
      <c r="H312" s="2"/>
      <c r="I312" s="2"/>
      <c r="J312" s="2" t="s">
        <v>42</v>
      </c>
      <c r="K312" s="2"/>
      <c r="L312" s="2" t="s">
        <v>814</v>
      </c>
    </row>
    <row r="313" customFormat="false" ht="15.65" hidden="false" customHeight="true" outlineLevel="0" collapsed="false">
      <c r="A313" s="5" t="str">
        <f aca="false">HYPERLINK("https://www.fabsurplus.com/sdi_catalog/salesItemDetails.do?id=109648")</f>
        <v>https://www.fabsurplus.com/sdi_catalog/salesItemDetails.do?id=109648</v>
      </c>
      <c r="B313" s="5" t="s">
        <v>815</v>
      </c>
      <c r="C313" s="5" t="s">
        <v>645</v>
      </c>
      <c r="D313" s="5" t="s">
        <v>816</v>
      </c>
      <c r="E313" s="5" t="s">
        <v>763</v>
      </c>
      <c r="F313" s="5" t="s">
        <v>16</v>
      </c>
      <c r="G313" s="5" t="s">
        <v>165</v>
      </c>
      <c r="H313" s="5"/>
      <c r="I313" s="5"/>
      <c r="J313" s="5" t="s">
        <v>42</v>
      </c>
      <c r="K313" s="5"/>
      <c r="L313" s="5" t="s">
        <v>817</v>
      </c>
    </row>
    <row r="314" customFormat="false" ht="15.65" hidden="false" customHeight="true" outlineLevel="0" collapsed="false">
      <c r="A314" s="2" t="str">
        <f aca="false">HYPERLINK("https://www.fabsurplus.com/sdi_catalog/salesItemDetails.do?id=109649")</f>
        <v>https://www.fabsurplus.com/sdi_catalog/salesItemDetails.do?id=109649</v>
      </c>
      <c r="B314" s="2" t="s">
        <v>818</v>
      </c>
      <c r="C314" s="2" t="s">
        <v>645</v>
      </c>
      <c r="D314" s="2" t="s">
        <v>816</v>
      </c>
      <c r="E314" s="2" t="s">
        <v>763</v>
      </c>
      <c r="F314" s="2" t="s">
        <v>16</v>
      </c>
      <c r="G314" s="2" t="s">
        <v>165</v>
      </c>
      <c r="H314" s="2"/>
      <c r="I314" s="2"/>
      <c r="J314" s="2" t="s">
        <v>42</v>
      </c>
      <c r="K314" s="2"/>
      <c r="L314" s="2" t="s">
        <v>819</v>
      </c>
    </row>
    <row r="315" customFormat="false" ht="15.65" hidden="false" customHeight="true" outlineLevel="0" collapsed="false">
      <c r="A315" s="5" t="str">
        <f aca="false">HYPERLINK("https://www.fabsurplus.com/sdi_catalog/salesItemDetails.do?id=109650")</f>
        <v>https://www.fabsurplus.com/sdi_catalog/salesItemDetails.do?id=109650</v>
      </c>
      <c r="B315" s="5" t="s">
        <v>820</v>
      </c>
      <c r="C315" s="5" t="s">
        <v>645</v>
      </c>
      <c r="D315" s="5" t="s">
        <v>816</v>
      </c>
      <c r="E315" s="5" t="s">
        <v>763</v>
      </c>
      <c r="F315" s="5" t="s">
        <v>16</v>
      </c>
      <c r="G315" s="5" t="s">
        <v>165</v>
      </c>
      <c r="H315" s="5"/>
      <c r="I315" s="5"/>
      <c r="J315" s="5" t="s">
        <v>42</v>
      </c>
      <c r="K315" s="5"/>
      <c r="L315" s="5" t="s">
        <v>819</v>
      </c>
    </row>
    <row r="316" customFormat="false" ht="15.65" hidden="false" customHeight="true" outlineLevel="0" collapsed="false">
      <c r="A316" s="2" t="str">
        <f aca="false">HYPERLINK("https://www.fabsurplus.com/sdi_catalog/salesItemDetails.do?id=109651")</f>
        <v>https://www.fabsurplus.com/sdi_catalog/salesItemDetails.do?id=109651</v>
      </c>
      <c r="B316" s="2" t="s">
        <v>821</v>
      </c>
      <c r="C316" s="2" t="s">
        <v>645</v>
      </c>
      <c r="D316" s="2" t="s">
        <v>816</v>
      </c>
      <c r="E316" s="2" t="s">
        <v>763</v>
      </c>
      <c r="F316" s="2" t="s">
        <v>16</v>
      </c>
      <c r="G316" s="2" t="s">
        <v>165</v>
      </c>
      <c r="H316" s="2"/>
      <c r="I316" s="2"/>
      <c r="J316" s="2" t="s">
        <v>42</v>
      </c>
      <c r="K316" s="2"/>
      <c r="L316" s="2" t="s">
        <v>819</v>
      </c>
    </row>
    <row r="317" customFormat="false" ht="15.65" hidden="false" customHeight="true" outlineLevel="0" collapsed="false">
      <c r="A317" s="5" t="str">
        <f aca="false">HYPERLINK("https://www.fabsurplus.com/sdi_catalog/salesItemDetails.do?id=109652")</f>
        <v>https://www.fabsurplus.com/sdi_catalog/salesItemDetails.do?id=109652</v>
      </c>
      <c r="B317" s="5" t="s">
        <v>822</v>
      </c>
      <c r="C317" s="5" t="s">
        <v>645</v>
      </c>
      <c r="D317" s="5" t="s">
        <v>823</v>
      </c>
      <c r="E317" s="5" t="s">
        <v>164</v>
      </c>
      <c r="F317" s="5" t="s">
        <v>16</v>
      </c>
      <c r="G317" s="5" t="s">
        <v>165</v>
      </c>
      <c r="H317" s="5"/>
      <c r="I317" s="5"/>
      <c r="J317" s="5" t="s">
        <v>42</v>
      </c>
      <c r="K317" s="5"/>
      <c r="L317" s="5" t="s">
        <v>824</v>
      </c>
    </row>
    <row r="318" customFormat="false" ht="15.65" hidden="false" customHeight="true" outlineLevel="0" collapsed="false">
      <c r="A318" s="2" t="str">
        <f aca="false">HYPERLINK("https://www.fabsurplus.com/sdi_catalog/salesItemDetails.do?id=109653")</f>
        <v>https://www.fabsurplus.com/sdi_catalog/salesItemDetails.do?id=109653</v>
      </c>
      <c r="B318" s="2" t="s">
        <v>825</v>
      </c>
      <c r="C318" s="2" t="s">
        <v>645</v>
      </c>
      <c r="D318" s="2" t="s">
        <v>826</v>
      </c>
      <c r="E318" s="2" t="s">
        <v>763</v>
      </c>
      <c r="F318" s="2" t="s">
        <v>16</v>
      </c>
      <c r="G318" s="2" t="s">
        <v>165</v>
      </c>
      <c r="H318" s="2"/>
      <c r="I318" s="2"/>
      <c r="J318" s="2" t="s">
        <v>42</v>
      </c>
      <c r="K318" s="2"/>
      <c r="L318" s="2" t="s">
        <v>827</v>
      </c>
    </row>
    <row r="319" customFormat="false" ht="15.65" hidden="false" customHeight="true" outlineLevel="0" collapsed="false">
      <c r="A319" s="5" t="str">
        <f aca="false">HYPERLINK("https://www.fabsurplus.com/sdi_catalog/salesItemDetails.do?id=109654")</f>
        <v>https://www.fabsurplus.com/sdi_catalog/salesItemDetails.do?id=109654</v>
      </c>
      <c r="B319" s="5" t="s">
        <v>828</v>
      </c>
      <c r="C319" s="5" t="s">
        <v>645</v>
      </c>
      <c r="D319" s="5" t="s">
        <v>826</v>
      </c>
      <c r="E319" s="5" t="s">
        <v>763</v>
      </c>
      <c r="F319" s="5" t="s">
        <v>16</v>
      </c>
      <c r="G319" s="5" t="s">
        <v>165</v>
      </c>
      <c r="H319" s="5"/>
      <c r="I319" s="5"/>
      <c r="J319" s="5" t="s">
        <v>42</v>
      </c>
      <c r="K319" s="5"/>
      <c r="L319" s="5" t="s">
        <v>827</v>
      </c>
    </row>
    <row r="320" customFormat="false" ht="15.65" hidden="false" customHeight="true" outlineLevel="0" collapsed="false">
      <c r="A320" s="2" t="str">
        <f aca="false">HYPERLINK("https://www.fabsurplus.com/sdi_catalog/salesItemDetails.do?id=109655")</f>
        <v>https://www.fabsurplus.com/sdi_catalog/salesItemDetails.do?id=109655</v>
      </c>
      <c r="B320" s="2" t="s">
        <v>829</v>
      </c>
      <c r="C320" s="2" t="s">
        <v>645</v>
      </c>
      <c r="D320" s="2" t="s">
        <v>826</v>
      </c>
      <c r="E320" s="2" t="s">
        <v>763</v>
      </c>
      <c r="F320" s="2" t="s">
        <v>16</v>
      </c>
      <c r="G320" s="2" t="s">
        <v>165</v>
      </c>
      <c r="H320" s="2"/>
      <c r="I320" s="2"/>
      <c r="J320" s="2" t="s">
        <v>42</v>
      </c>
      <c r="K320" s="2"/>
      <c r="L320" s="2" t="s">
        <v>830</v>
      </c>
    </row>
    <row r="321" customFormat="false" ht="15.65" hidden="false" customHeight="true" outlineLevel="0" collapsed="false">
      <c r="A321" s="5" t="str">
        <f aca="false">HYPERLINK("https://www.fabsurplus.com/sdi_catalog/salesItemDetails.do?id=109656")</f>
        <v>https://www.fabsurplus.com/sdi_catalog/salesItemDetails.do?id=109656</v>
      </c>
      <c r="B321" s="5" t="s">
        <v>831</v>
      </c>
      <c r="C321" s="5" t="s">
        <v>645</v>
      </c>
      <c r="D321" s="5" t="s">
        <v>832</v>
      </c>
      <c r="E321" s="5" t="s">
        <v>164</v>
      </c>
      <c r="F321" s="5" t="s">
        <v>16</v>
      </c>
      <c r="G321" s="5" t="s">
        <v>165</v>
      </c>
      <c r="H321" s="5"/>
      <c r="I321" s="5"/>
      <c r="J321" s="5" t="s">
        <v>42</v>
      </c>
      <c r="K321" s="5"/>
      <c r="L321" s="5" t="s">
        <v>833</v>
      </c>
    </row>
    <row r="322" customFormat="false" ht="15.65" hidden="false" customHeight="true" outlineLevel="0" collapsed="false">
      <c r="A322" s="2" t="str">
        <f aca="false">HYPERLINK("https://www.fabsurplus.com/sdi_catalog/salesItemDetails.do?id=109657")</f>
        <v>https://www.fabsurplus.com/sdi_catalog/salesItemDetails.do?id=109657</v>
      </c>
      <c r="B322" s="2" t="s">
        <v>834</v>
      </c>
      <c r="C322" s="2" t="s">
        <v>645</v>
      </c>
      <c r="D322" s="2" t="s">
        <v>835</v>
      </c>
      <c r="E322" s="2" t="s">
        <v>763</v>
      </c>
      <c r="F322" s="2" t="s">
        <v>16</v>
      </c>
      <c r="G322" s="2" t="s">
        <v>165</v>
      </c>
      <c r="H322" s="2"/>
      <c r="I322" s="2"/>
      <c r="J322" s="2" t="s">
        <v>42</v>
      </c>
      <c r="K322" s="2"/>
      <c r="L322" s="2" t="s">
        <v>836</v>
      </c>
    </row>
    <row r="323" customFormat="false" ht="15.65" hidden="false" customHeight="true" outlineLevel="0" collapsed="false">
      <c r="A323" s="5" t="str">
        <f aca="false">HYPERLINK("https://www.fabsurplus.com/sdi_catalog/salesItemDetails.do?id=109658")</f>
        <v>https://www.fabsurplus.com/sdi_catalog/salesItemDetails.do?id=109658</v>
      </c>
      <c r="B323" s="5" t="s">
        <v>837</v>
      </c>
      <c r="C323" s="5" t="s">
        <v>645</v>
      </c>
      <c r="D323" s="5" t="s">
        <v>835</v>
      </c>
      <c r="E323" s="5" t="s">
        <v>763</v>
      </c>
      <c r="F323" s="5" t="s">
        <v>16</v>
      </c>
      <c r="G323" s="5" t="s">
        <v>165</v>
      </c>
      <c r="H323" s="5"/>
      <c r="I323" s="5"/>
      <c r="J323" s="5" t="s">
        <v>42</v>
      </c>
      <c r="K323" s="5"/>
      <c r="L323" s="5" t="s">
        <v>838</v>
      </c>
    </row>
    <row r="324" customFormat="false" ht="15.65" hidden="false" customHeight="true" outlineLevel="0" collapsed="false">
      <c r="A324" s="2" t="str">
        <f aca="false">HYPERLINK("https://www.fabsurplus.com/sdi_catalog/salesItemDetails.do?id=109659")</f>
        <v>https://www.fabsurplus.com/sdi_catalog/salesItemDetails.do?id=109659</v>
      </c>
      <c r="B324" s="2" t="s">
        <v>839</v>
      </c>
      <c r="C324" s="2" t="s">
        <v>645</v>
      </c>
      <c r="D324" s="2" t="s">
        <v>274</v>
      </c>
      <c r="E324" s="2" t="s">
        <v>164</v>
      </c>
      <c r="F324" s="2" t="s">
        <v>16</v>
      </c>
      <c r="G324" s="2" t="s">
        <v>165</v>
      </c>
      <c r="H324" s="2"/>
      <c r="I324" s="2"/>
      <c r="J324" s="2" t="s">
        <v>42</v>
      </c>
      <c r="K324" s="2"/>
      <c r="L324" s="2" t="s">
        <v>840</v>
      </c>
    </row>
    <row r="325" customFormat="false" ht="15.65" hidden="false" customHeight="true" outlineLevel="0" collapsed="false">
      <c r="A325" s="5" t="str">
        <f aca="false">HYPERLINK("https://www.fabsurplus.com/sdi_catalog/salesItemDetails.do?id=109660")</f>
        <v>https://www.fabsurplus.com/sdi_catalog/salesItemDetails.do?id=109660</v>
      </c>
      <c r="B325" s="5" t="s">
        <v>841</v>
      </c>
      <c r="C325" s="5" t="s">
        <v>645</v>
      </c>
      <c r="D325" s="5" t="s">
        <v>274</v>
      </c>
      <c r="E325" s="5" t="s">
        <v>164</v>
      </c>
      <c r="F325" s="5" t="s">
        <v>16</v>
      </c>
      <c r="G325" s="5" t="s">
        <v>165</v>
      </c>
      <c r="H325" s="5"/>
      <c r="I325" s="5"/>
      <c r="J325" s="5" t="s">
        <v>42</v>
      </c>
      <c r="K325" s="5"/>
      <c r="L325" s="5" t="s">
        <v>840</v>
      </c>
    </row>
    <row r="326" customFormat="false" ht="15.65" hidden="false" customHeight="true" outlineLevel="0" collapsed="false">
      <c r="A326" s="2" t="str">
        <f aca="false">HYPERLINK("https://www.fabsurplus.com/sdi_catalog/salesItemDetails.do?id=109661")</f>
        <v>https://www.fabsurplus.com/sdi_catalog/salesItemDetails.do?id=109661</v>
      </c>
      <c r="B326" s="2" t="s">
        <v>842</v>
      </c>
      <c r="C326" s="2" t="s">
        <v>645</v>
      </c>
      <c r="D326" s="2" t="s">
        <v>843</v>
      </c>
      <c r="E326" s="2" t="s">
        <v>763</v>
      </c>
      <c r="F326" s="2" t="s">
        <v>16</v>
      </c>
      <c r="G326" s="2" t="s">
        <v>165</v>
      </c>
      <c r="H326" s="2"/>
      <c r="I326" s="2"/>
      <c r="J326" s="2" t="s">
        <v>42</v>
      </c>
      <c r="K326" s="2"/>
      <c r="L326" s="2" t="s">
        <v>844</v>
      </c>
    </row>
    <row r="327" customFormat="false" ht="15.65" hidden="false" customHeight="true" outlineLevel="0" collapsed="false">
      <c r="A327" s="5" t="str">
        <f aca="false">HYPERLINK("https://www.fabsurplus.com/sdi_catalog/salesItemDetails.do?id=109662")</f>
        <v>https://www.fabsurplus.com/sdi_catalog/salesItemDetails.do?id=109662</v>
      </c>
      <c r="B327" s="5" t="s">
        <v>845</v>
      </c>
      <c r="C327" s="5" t="s">
        <v>645</v>
      </c>
      <c r="D327" s="5" t="s">
        <v>846</v>
      </c>
      <c r="E327" s="5" t="s">
        <v>164</v>
      </c>
      <c r="F327" s="5" t="s">
        <v>16</v>
      </c>
      <c r="G327" s="5" t="s">
        <v>165</v>
      </c>
      <c r="H327" s="5"/>
      <c r="I327" s="5"/>
      <c r="J327" s="5" t="s">
        <v>42</v>
      </c>
      <c r="K327" s="5"/>
      <c r="L327" s="5" t="s">
        <v>847</v>
      </c>
    </row>
    <row r="328" customFormat="false" ht="15.65" hidden="false" customHeight="true" outlineLevel="0" collapsed="false">
      <c r="A328" s="2" t="str">
        <f aca="false">HYPERLINK("https://www.fabsurplus.com/sdi_catalog/salesItemDetails.do?id=109663")</f>
        <v>https://www.fabsurplus.com/sdi_catalog/salesItemDetails.do?id=109663</v>
      </c>
      <c r="B328" s="2" t="s">
        <v>848</v>
      </c>
      <c r="C328" s="2" t="s">
        <v>645</v>
      </c>
      <c r="D328" s="2" t="s">
        <v>846</v>
      </c>
      <c r="E328" s="2" t="s">
        <v>164</v>
      </c>
      <c r="F328" s="2" t="s">
        <v>16</v>
      </c>
      <c r="G328" s="2" t="s">
        <v>165</v>
      </c>
      <c r="H328" s="2"/>
      <c r="I328" s="2"/>
      <c r="J328" s="2" t="s">
        <v>42</v>
      </c>
      <c r="K328" s="2"/>
      <c r="L328" s="2" t="s">
        <v>833</v>
      </c>
    </row>
    <row r="329" customFormat="false" ht="15.65" hidden="false" customHeight="true" outlineLevel="0" collapsed="false">
      <c r="A329" s="5" t="str">
        <f aca="false">HYPERLINK("https://www.fabsurplus.com/sdi_catalog/salesItemDetails.do?id=109664")</f>
        <v>https://www.fabsurplus.com/sdi_catalog/salesItemDetails.do?id=109664</v>
      </c>
      <c r="B329" s="5" t="s">
        <v>849</v>
      </c>
      <c r="C329" s="5" t="s">
        <v>645</v>
      </c>
      <c r="D329" s="5" t="s">
        <v>846</v>
      </c>
      <c r="E329" s="5" t="s">
        <v>164</v>
      </c>
      <c r="F329" s="5" t="s">
        <v>16</v>
      </c>
      <c r="G329" s="5" t="s">
        <v>165</v>
      </c>
      <c r="H329" s="5"/>
      <c r="I329" s="5"/>
      <c r="J329" s="5" t="s">
        <v>42</v>
      </c>
      <c r="K329" s="5"/>
      <c r="L329" s="5" t="s">
        <v>850</v>
      </c>
    </row>
    <row r="330" customFormat="false" ht="15.65" hidden="false" customHeight="true" outlineLevel="0" collapsed="false">
      <c r="A330" s="2" t="str">
        <f aca="false">HYPERLINK("https://www.fabsurplus.com/sdi_catalog/salesItemDetails.do?id=109665")</f>
        <v>https://www.fabsurplus.com/sdi_catalog/salesItemDetails.do?id=109665</v>
      </c>
      <c r="B330" s="2" t="s">
        <v>851</v>
      </c>
      <c r="C330" s="2" t="s">
        <v>645</v>
      </c>
      <c r="D330" s="2" t="s">
        <v>846</v>
      </c>
      <c r="E330" s="2" t="s">
        <v>164</v>
      </c>
      <c r="F330" s="2" t="s">
        <v>16</v>
      </c>
      <c r="G330" s="2" t="s">
        <v>165</v>
      </c>
      <c r="H330" s="2"/>
      <c r="I330" s="2"/>
      <c r="J330" s="2" t="s">
        <v>42</v>
      </c>
      <c r="K330" s="2"/>
      <c r="L330" s="2" t="s">
        <v>852</v>
      </c>
    </row>
    <row r="331" customFormat="false" ht="15.65" hidden="false" customHeight="true" outlineLevel="0" collapsed="false">
      <c r="A331" s="5" t="str">
        <f aca="false">HYPERLINK("https://www.fabsurplus.com/sdi_catalog/salesItemDetails.do?id=109666")</f>
        <v>https://www.fabsurplus.com/sdi_catalog/salesItemDetails.do?id=109666</v>
      </c>
      <c r="B331" s="5" t="s">
        <v>853</v>
      </c>
      <c r="C331" s="5" t="s">
        <v>645</v>
      </c>
      <c r="D331" s="5" t="s">
        <v>854</v>
      </c>
      <c r="E331" s="5" t="s">
        <v>170</v>
      </c>
      <c r="F331" s="5" t="s">
        <v>16</v>
      </c>
      <c r="G331" s="5" t="s">
        <v>165</v>
      </c>
      <c r="H331" s="5"/>
      <c r="I331" s="5"/>
      <c r="J331" s="5" t="s">
        <v>42</v>
      </c>
      <c r="K331" s="5"/>
      <c r="L331" s="5" t="s">
        <v>855</v>
      </c>
    </row>
    <row r="332" customFormat="false" ht="15.65" hidden="false" customHeight="true" outlineLevel="0" collapsed="false">
      <c r="A332" s="2" t="str">
        <f aca="false">HYPERLINK("https://www.fabsurplus.com/sdi_catalog/salesItemDetails.do?id=109667")</f>
        <v>https://www.fabsurplus.com/sdi_catalog/salesItemDetails.do?id=109667</v>
      </c>
      <c r="B332" s="2" t="s">
        <v>856</v>
      </c>
      <c r="C332" s="2" t="s">
        <v>645</v>
      </c>
      <c r="D332" s="2" t="s">
        <v>857</v>
      </c>
      <c r="E332" s="2" t="s">
        <v>170</v>
      </c>
      <c r="F332" s="2" t="s">
        <v>16</v>
      </c>
      <c r="G332" s="2" t="s">
        <v>165</v>
      </c>
      <c r="H332" s="2"/>
      <c r="I332" s="2"/>
      <c r="J332" s="2" t="s">
        <v>42</v>
      </c>
      <c r="K332" s="2"/>
      <c r="L332" s="2" t="s">
        <v>858</v>
      </c>
    </row>
    <row r="333" customFormat="false" ht="15.65" hidden="false" customHeight="true" outlineLevel="0" collapsed="false">
      <c r="A333" s="5" t="str">
        <f aca="false">HYPERLINK("https://www.fabsurplus.com/sdi_catalog/salesItemDetails.do?id=109668")</f>
        <v>https://www.fabsurplus.com/sdi_catalog/salesItemDetails.do?id=109668</v>
      </c>
      <c r="B333" s="5" t="s">
        <v>859</v>
      </c>
      <c r="C333" s="5" t="s">
        <v>645</v>
      </c>
      <c r="D333" s="5" t="s">
        <v>860</v>
      </c>
      <c r="E333" s="5" t="s">
        <v>170</v>
      </c>
      <c r="F333" s="5" t="s">
        <v>16</v>
      </c>
      <c r="G333" s="5" t="s">
        <v>165</v>
      </c>
      <c r="H333" s="5"/>
      <c r="I333" s="5"/>
      <c r="J333" s="5" t="s">
        <v>42</v>
      </c>
      <c r="K333" s="5"/>
      <c r="L333" s="5" t="s">
        <v>861</v>
      </c>
    </row>
    <row r="334" customFormat="false" ht="15.65" hidden="false" customHeight="true" outlineLevel="0" collapsed="false">
      <c r="A334" s="2" t="str">
        <f aca="false">HYPERLINK("https://www.fabsurplus.com/sdi_catalog/salesItemDetails.do?id=109669")</f>
        <v>https://www.fabsurplus.com/sdi_catalog/salesItemDetails.do?id=109669</v>
      </c>
      <c r="B334" s="2" t="s">
        <v>862</v>
      </c>
      <c r="C334" s="2" t="s">
        <v>645</v>
      </c>
      <c r="D334" s="2" t="s">
        <v>278</v>
      </c>
      <c r="E334" s="2" t="s">
        <v>170</v>
      </c>
      <c r="F334" s="2" t="s">
        <v>16</v>
      </c>
      <c r="G334" s="2" t="s">
        <v>165</v>
      </c>
      <c r="H334" s="2"/>
      <c r="I334" s="2"/>
      <c r="J334" s="2" t="s">
        <v>42</v>
      </c>
      <c r="K334" s="2"/>
      <c r="L334" s="2" t="s">
        <v>855</v>
      </c>
    </row>
    <row r="335" customFormat="false" ht="15.65" hidden="false" customHeight="true" outlineLevel="0" collapsed="false">
      <c r="A335" s="5" t="str">
        <f aca="false">HYPERLINK("https://www.fabsurplus.com/sdi_catalog/salesItemDetails.do?id=109670")</f>
        <v>https://www.fabsurplus.com/sdi_catalog/salesItemDetails.do?id=109670</v>
      </c>
      <c r="B335" s="5" t="s">
        <v>863</v>
      </c>
      <c r="C335" s="5" t="s">
        <v>645</v>
      </c>
      <c r="D335" s="5" t="s">
        <v>278</v>
      </c>
      <c r="E335" s="5" t="s">
        <v>170</v>
      </c>
      <c r="F335" s="5" t="s">
        <v>16</v>
      </c>
      <c r="G335" s="5" t="s">
        <v>165</v>
      </c>
      <c r="H335" s="5"/>
      <c r="I335" s="5"/>
      <c r="J335" s="5" t="s">
        <v>42</v>
      </c>
      <c r="K335" s="5"/>
      <c r="L335" s="5" t="s">
        <v>855</v>
      </c>
    </row>
    <row r="336" customFormat="false" ht="15.65" hidden="false" customHeight="true" outlineLevel="0" collapsed="false">
      <c r="A336" s="2" t="str">
        <f aca="false">HYPERLINK("https://www.fabsurplus.com/sdi_catalog/salesItemDetails.do?id=109671")</f>
        <v>https://www.fabsurplus.com/sdi_catalog/salesItemDetails.do?id=109671</v>
      </c>
      <c r="B336" s="2" t="s">
        <v>864</v>
      </c>
      <c r="C336" s="2" t="s">
        <v>645</v>
      </c>
      <c r="D336" s="2" t="s">
        <v>865</v>
      </c>
      <c r="E336" s="2" t="s">
        <v>170</v>
      </c>
      <c r="F336" s="2" t="s">
        <v>16</v>
      </c>
      <c r="G336" s="2" t="s">
        <v>165</v>
      </c>
      <c r="H336" s="2"/>
      <c r="I336" s="2"/>
      <c r="J336" s="2" t="s">
        <v>42</v>
      </c>
      <c r="K336" s="2"/>
      <c r="L336" s="2" t="s">
        <v>866</v>
      </c>
    </row>
    <row r="337" customFormat="false" ht="15.65" hidden="false" customHeight="true" outlineLevel="0" collapsed="false">
      <c r="A337" s="5" t="str">
        <f aca="false">HYPERLINK("https://www.fabsurplus.com/sdi_catalog/salesItemDetails.do?id=109672")</f>
        <v>https://www.fabsurplus.com/sdi_catalog/salesItemDetails.do?id=109672</v>
      </c>
      <c r="B337" s="5" t="s">
        <v>867</v>
      </c>
      <c r="C337" s="5" t="s">
        <v>645</v>
      </c>
      <c r="D337" s="5" t="s">
        <v>865</v>
      </c>
      <c r="E337" s="5" t="s">
        <v>170</v>
      </c>
      <c r="F337" s="5" t="s">
        <v>16</v>
      </c>
      <c r="G337" s="5" t="s">
        <v>165</v>
      </c>
      <c r="H337" s="5"/>
      <c r="I337" s="5"/>
      <c r="J337" s="5" t="s">
        <v>42</v>
      </c>
      <c r="K337" s="5"/>
      <c r="L337" s="5" t="s">
        <v>866</v>
      </c>
    </row>
    <row r="338" customFormat="false" ht="15.65" hidden="false" customHeight="true" outlineLevel="0" collapsed="false">
      <c r="A338" s="2" t="str">
        <f aca="false">HYPERLINK("https://www.fabsurplus.com/sdi_catalog/salesItemDetails.do?id=109673")</f>
        <v>https://www.fabsurplus.com/sdi_catalog/salesItemDetails.do?id=109673</v>
      </c>
      <c r="B338" s="2" t="s">
        <v>868</v>
      </c>
      <c r="C338" s="2" t="s">
        <v>645</v>
      </c>
      <c r="D338" s="2" t="s">
        <v>869</v>
      </c>
      <c r="E338" s="2" t="s">
        <v>170</v>
      </c>
      <c r="F338" s="2" t="s">
        <v>16</v>
      </c>
      <c r="G338" s="2" t="s">
        <v>165</v>
      </c>
      <c r="H338" s="2"/>
      <c r="I338" s="2"/>
      <c r="J338" s="2" t="s">
        <v>42</v>
      </c>
      <c r="K338" s="2"/>
      <c r="L338" s="2" t="s">
        <v>870</v>
      </c>
    </row>
    <row r="339" customFormat="false" ht="15.65" hidden="false" customHeight="true" outlineLevel="0" collapsed="false">
      <c r="A339" s="5" t="str">
        <f aca="false">HYPERLINK("https://www.fabsurplus.com/sdi_catalog/salesItemDetails.do?id=109674")</f>
        <v>https://www.fabsurplus.com/sdi_catalog/salesItemDetails.do?id=109674</v>
      </c>
      <c r="B339" s="5" t="s">
        <v>871</v>
      </c>
      <c r="C339" s="5" t="s">
        <v>645</v>
      </c>
      <c r="D339" s="5" t="s">
        <v>872</v>
      </c>
      <c r="E339" s="5" t="s">
        <v>170</v>
      </c>
      <c r="F339" s="5" t="s">
        <v>16</v>
      </c>
      <c r="G339" s="5" t="s">
        <v>165</v>
      </c>
      <c r="H339" s="5"/>
      <c r="I339" s="5"/>
      <c r="J339" s="5" t="s">
        <v>42</v>
      </c>
      <c r="K339" s="5"/>
      <c r="L339" s="5" t="s">
        <v>873</v>
      </c>
    </row>
    <row r="340" customFormat="false" ht="15.65" hidden="false" customHeight="true" outlineLevel="0" collapsed="false">
      <c r="A340" s="2" t="str">
        <f aca="false">HYPERLINK("https://www.fabsurplus.com/sdi_catalog/salesItemDetails.do?id=109675")</f>
        <v>https://www.fabsurplus.com/sdi_catalog/salesItemDetails.do?id=109675</v>
      </c>
      <c r="B340" s="2" t="s">
        <v>874</v>
      </c>
      <c r="C340" s="2" t="s">
        <v>645</v>
      </c>
      <c r="D340" s="2" t="s">
        <v>872</v>
      </c>
      <c r="E340" s="2" t="s">
        <v>170</v>
      </c>
      <c r="F340" s="2" t="s">
        <v>16</v>
      </c>
      <c r="G340" s="2" t="s">
        <v>165</v>
      </c>
      <c r="H340" s="2"/>
      <c r="I340" s="2"/>
      <c r="J340" s="2" t="s">
        <v>42</v>
      </c>
      <c r="K340" s="2"/>
      <c r="L340" s="2" t="s">
        <v>873</v>
      </c>
    </row>
    <row r="341" customFormat="false" ht="15.65" hidden="false" customHeight="true" outlineLevel="0" collapsed="false">
      <c r="A341" s="5" t="str">
        <f aca="false">HYPERLINK("https://www.fabsurplus.com/sdi_catalog/salesItemDetails.do?id=109676")</f>
        <v>https://www.fabsurplus.com/sdi_catalog/salesItemDetails.do?id=109676</v>
      </c>
      <c r="B341" s="5" t="s">
        <v>875</v>
      </c>
      <c r="C341" s="5" t="s">
        <v>645</v>
      </c>
      <c r="D341" s="5" t="s">
        <v>872</v>
      </c>
      <c r="E341" s="5" t="s">
        <v>170</v>
      </c>
      <c r="F341" s="5" t="s">
        <v>16</v>
      </c>
      <c r="G341" s="5" t="s">
        <v>165</v>
      </c>
      <c r="H341" s="5"/>
      <c r="I341" s="5"/>
      <c r="J341" s="5" t="s">
        <v>42</v>
      </c>
      <c r="K341" s="5"/>
      <c r="L341" s="5" t="s">
        <v>873</v>
      </c>
    </row>
    <row r="342" customFormat="false" ht="15.65" hidden="false" customHeight="true" outlineLevel="0" collapsed="false">
      <c r="A342" s="2" t="str">
        <f aca="false">HYPERLINK("https://www.fabsurplus.com/sdi_catalog/salesItemDetails.do?id=109677")</f>
        <v>https://www.fabsurplus.com/sdi_catalog/salesItemDetails.do?id=109677</v>
      </c>
      <c r="B342" s="2" t="s">
        <v>876</v>
      </c>
      <c r="C342" s="2" t="s">
        <v>645</v>
      </c>
      <c r="D342" s="2" t="s">
        <v>877</v>
      </c>
      <c r="E342" s="2" t="s">
        <v>164</v>
      </c>
      <c r="F342" s="2" t="s">
        <v>16</v>
      </c>
      <c r="G342" s="2" t="s">
        <v>165</v>
      </c>
      <c r="H342" s="2"/>
      <c r="I342" s="2"/>
      <c r="J342" s="2" t="s">
        <v>42</v>
      </c>
      <c r="K342" s="2"/>
      <c r="L342" s="2" t="s">
        <v>878</v>
      </c>
    </row>
    <row r="343" customFormat="false" ht="15.65" hidden="false" customHeight="true" outlineLevel="0" collapsed="false">
      <c r="A343" s="5" t="str">
        <f aca="false">HYPERLINK("https://www.fabsurplus.com/sdi_catalog/salesItemDetails.do?id=109678")</f>
        <v>https://www.fabsurplus.com/sdi_catalog/salesItemDetails.do?id=109678</v>
      </c>
      <c r="B343" s="5" t="s">
        <v>879</v>
      </c>
      <c r="C343" s="5" t="s">
        <v>645</v>
      </c>
      <c r="D343" s="5" t="s">
        <v>880</v>
      </c>
      <c r="E343" s="5" t="s">
        <v>763</v>
      </c>
      <c r="F343" s="5" t="s">
        <v>16</v>
      </c>
      <c r="G343" s="5" t="s">
        <v>165</v>
      </c>
      <c r="H343" s="5"/>
      <c r="I343" s="5"/>
      <c r="J343" s="5" t="s">
        <v>42</v>
      </c>
      <c r="K343" s="5"/>
      <c r="L343" s="5" t="s">
        <v>881</v>
      </c>
    </row>
    <row r="344" customFormat="false" ht="15.65" hidden="false" customHeight="true" outlineLevel="0" collapsed="false">
      <c r="A344" s="2" t="str">
        <f aca="false">HYPERLINK("https://www.fabsurplus.com/sdi_catalog/salesItemDetails.do?id=109679")</f>
        <v>https://www.fabsurplus.com/sdi_catalog/salesItemDetails.do?id=109679</v>
      </c>
      <c r="B344" s="2" t="s">
        <v>882</v>
      </c>
      <c r="C344" s="2" t="s">
        <v>645</v>
      </c>
      <c r="D344" s="2" t="s">
        <v>883</v>
      </c>
      <c r="E344" s="2" t="s">
        <v>763</v>
      </c>
      <c r="F344" s="2" t="s">
        <v>16</v>
      </c>
      <c r="G344" s="2" t="s">
        <v>165</v>
      </c>
      <c r="H344" s="2"/>
      <c r="I344" s="2"/>
      <c r="J344" s="2" t="s">
        <v>42</v>
      </c>
      <c r="K344" s="2"/>
      <c r="L344" s="4" t="s">
        <v>884</v>
      </c>
    </row>
    <row r="345" customFormat="false" ht="15.65" hidden="false" customHeight="true" outlineLevel="0" collapsed="false">
      <c r="A345" s="5" t="str">
        <f aca="false">HYPERLINK("https://www.fabsurplus.com/sdi_catalog/salesItemDetails.do?id=109680")</f>
        <v>https://www.fabsurplus.com/sdi_catalog/salesItemDetails.do?id=109680</v>
      </c>
      <c r="B345" s="5" t="s">
        <v>885</v>
      </c>
      <c r="C345" s="5" t="s">
        <v>645</v>
      </c>
      <c r="D345" s="5" t="s">
        <v>883</v>
      </c>
      <c r="E345" s="5" t="s">
        <v>763</v>
      </c>
      <c r="F345" s="5" t="s">
        <v>16</v>
      </c>
      <c r="G345" s="5" t="s">
        <v>165</v>
      </c>
      <c r="H345" s="5"/>
      <c r="I345" s="5"/>
      <c r="J345" s="5" t="s">
        <v>42</v>
      </c>
      <c r="K345" s="5"/>
      <c r="L345" s="7" t="s">
        <v>886</v>
      </c>
    </row>
    <row r="346" customFormat="false" ht="15.65" hidden="false" customHeight="true" outlineLevel="0" collapsed="false">
      <c r="A346" s="2" t="str">
        <f aca="false">HYPERLINK("https://www.fabsurplus.com/sdi_catalog/salesItemDetails.do?id=109681")</f>
        <v>https://www.fabsurplus.com/sdi_catalog/salesItemDetails.do?id=109681</v>
      </c>
      <c r="B346" s="2" t="s">
        <v>887</v>
      </c>
      <c r="C346" s="2" t="s">
        <v>645</v>
      </c>
      <c r="D346" s="2" t="s">
        <v>888</v>
      </c>
      <c r="E346" s="2" t="s">
        <v>763</v>
      </c>
      <c r="F346" s="2" t="s">
        <v>16</v>
      </c>
      <c r="G346" s="2" t="s">
        <v>165</v>
      </c>
      <c r="H346" s="2"/>
      <c r="I346" s="2"/>
      <c r="J346" s="2" t="s">
        <v>42</v>
      </c>
      <c r="K346" s="2"/>
      <c r="L346" s="4" t="s">
        <v>889</v>
      </c>
    </row>
    <row r="347" customFormat="false" ht="15.65" hidden="false" customHeight="true" outlineLevel="0" collapsed="false">
      <c r="A347" s="5" t="str">
        <f aca="false">HYPERLINK("https://www.fabsurplus.com/sdi_catalog/salesItemDetails.do?id=109682")</f>
        <v>https://www.fabsurplus.com/sdi_catalog/salesItemDetails.do?id=109682</v>
      </c>
      <c r="B347" s="5" t="s">
        <v>890</v>
      </c>
      <c r="C347" s="5" t="s">
        <v>645</v>
      </c>
      <c r="D347" s="5" t="s">
        <v>888</v>
      </c>
      <c r="E347" s="5" t="s">
        <v>763</v>
      </c>
      <c r="F347" s="5" t="s">
        <v>16</v>
      </c>
      <c r="G347" s="5" t="s">
        <v>165</v>
      </c>
      <c r="H347" s="5"/>
      <c r="I347" s="5"/>
      <c r="J347" s="5" t="s">
        <v>42</v>
      </c>
      <c r="K347" s="5"/>
      <c r="L347" s="7" t="s">
        <v>889</v>
      </c>
    </row>
    <row r="348" customFormat="false" ht="15.65" hidden="false" customHeight="true" outlineLevel="0" collapsed="false">
      <c r="A348" s="2" t="str">
        <f aca="false">HYPERLINK("https://www.fabsurplus.com/sdi_catalog/salesItemDetails.do?id=109683")</f>
        <v>https://www.fabsurplus.com/sdi_catalog/salesItemDetails.do?id=109683</v>
      </c>
      <c r="B348" s="2" t="s">
        <v>891</v>
      </c>
      <c r="C348" s="2" t="s">
        <v>645</v>
      </c>
      <c r="D348" s="2" t="s">
        <v>892</v>
      </c>
      <c r="E348" s="2" t="s">
        <v>763</v>
      </c>
      <c r="F348" s="2" t="s">
        <v>16</v>
      </c>
      <c r="G348" s="2" t="s">
        <v>165</v>
      </c>
      <c r="H348" s="2"/>
      <c r="I348" s="2"/>
      <c r="J348" s="2" t="s">
        <v>42</v>
      </c>
      <c r="K348" s="2"/>
      <c r="L348" s="2" t="s">
        <v>893</v>
      </c>
    </row>
    <row r="349" customFormat="false" ht="15.65" hidden="false" customHeight="true" outlineLevel="0" collapsed="false">
      <c r="A349" s="5" t="str">
        <f aca="false">HYPERLINK("https://www.fabsurplus.com/sdi_catalog/salesItemDetails.do?id=109684")</f>
        <v>https://www.fabsurplus.com/sdi_catalog/salesItemDetails.do?id=109684</v>
      </c>
      <c r="B349" s="5" t="s">
        <v>894</v>
      </c>
      <c r="C349" s="5" t="s">
        <v>645</v>
      </c>
      <c r="D349" s="5" t="s">
        <v>892</v>
      </c>
      <c r="E349" s="5" t="s">
        <v>763</v>
      </c>
      <c r="F349" s="5" t="s">
        <v>16</v>
      </c>
      <c r="G349" s="5" t="s">
        <v>165</v>
      </c>
      <c r="H349" s="5"/>
      <c r="I349" s="5"/>
      <c r="J349" s="5" t="s">
        <v>42</v>
      </c>
      <c r="K349" s="5"/>
      <c r="L349" s="7" t="s">
        <v>895</v>
      </c>
    </row>
    <row r="350" customFormat="false" ht="15.65" hidden="false" customHeight="true" outlineLevel="0" collapsed="false">
      <c r="A350" s="2" t="str">
        <f aca="false">HYPERLINK("https://www.fabsurplus.com/sdi_catalog/salesItemDetails.do?id=109685")</f>
        <v>https://www.fabsurplus.com/sdi_catalog/salesItemDetails.do?id=109685</v>
      </c>
      <c r="B350" s="2" t="s">
        <v>896</v>
      </c>
      <c r="C350" s="2" t="s">
        <v>645</v>
      </c>
      <c r="D350" s="2" t="s">
        <v>897</v>
      </c>
      <c r="E350" s="2" t="s">
        <v>164</v>
      </c>
      <c r="F350" s="2" t="s">
        <v>16</v>
      </c>
      <c r="G350" s="2" t="s">
        <v>165</v>
      </c>
      <c r="H350" s="2"/>
      <c r="I350" s="2"/>
      <c r="J350" s="2" t="s">
        <v>42</v>
      </c>
      <c r="K350" s="2"/>
      <c r="L350" s="2" t="s">
        <v>898</v>
      </c>
    </row>
    <row r="351" customFormat="false" ht="15.65" hidden="false" customHeight="true" outlineLevel="0" collapsed="false">
      <c r="A351" s="5" t="str">
        <f aca="false">HYPERLINK("https://www.fabsurplus.com/sdi_catalog/salesItemDetails.do?id=109686")</f>
        <v>https://www.fabsurplus.com/sdi_catalog/salesItemDetails.do?id=109686</v>
      </c>
      <c r="B351" s="5" t="s">
        <v>899</v>
      </c>
      <c r="C351" s="5" t="s">
        <v>645</v>
      </c>
      <c r="D351" s="5" t="s">
        <v>897</v>
      </c>
      <c r="E351" s="5" t="s">
        <v>164</v>
      </c>
      <c r="F351" s="5" t="s">
        <v>16</v>
      </c>
      <c r="G351" s="5" t="s">
        <v>165</v>
      </c>
      <c r="H351" s="5"/>
      <c r="I351" s="5"/>
      <c r="J351" s="5" t="s">
        <v>42</v>
      </c>
      <c r="K351" s="5"/>
      <c r="L351" s="5" t="s">
        <v>900</v>
      </c>
    </row>
    <row r="352" customFormat="false" ht="15.65" hidden="false" customHeight="true" outlineLevel="0" collapsed="false">
      <c r="A352" s="2" t="str">
        <f aca="false">HYPERLINK("https://www.fabsurplus.com/sdi_catalog/salesItemDetails.do?id=109687")</f>
        <v>https://www.fabsurplus.com/sdi_catalog/salesItemDetails.do?id=109687</v>
      </c>
      <c r="B352" s="2" t="s">
        <v>901</v>
      </c>
      <c r="C352" s="2" t="s">
        <v>645</v>
      </c>
      <c r="D352" s="2" t="s">
        <v>897</v>
      </c>
      <c r="E352" s="2" t="s">
        <v>164</v>
      </c>
      <c r="F352" s="2" t="s">
        <v>16</v>
      </c>
      <c r="G352" s="2" t="s">
        <v>165</v>
      </c>
      <c r="H352" s="2"/>
      <c r="I352" s="2"/>
      <c r="J352" s="2" t="s">
        <v>42</v>
      </c>
      <c r="K352" s="2"/>
      <c r="L352" s="2" t="s">
        <v>900</v>
      </c>
    </row>
    <row r="353" customFormat="false" ht="15.65" hidden="false" customHeight="true" outlineLevel="0" collapsed="false">
      <c r="A353" s="5" t="str">
        <f aca="false">HYPERLINK("https://www.fabsurplus.com/sdi_catalog/salesItemDetails.do?id=109688")</f>
        <v>https://www.fabsurplus.com/sdi_catalog/salesItemDetails.do?id=109688</v>
      </c>
      <c r="B353" s="5" t="s">
        <v>902</v>
      </c>
      <c r="C353" s="5" t="s">
        <v>645</v>
      </c>
      <c r="D353" s="5" t="s">
        <v>897</v>
      </c>
      <c r="E353" s="5" t="s">
        <v>164</v>
      </c>
      <c r="F353" s="5" t="s">
        <v>16</v>
      </c>
      <c r="G353" s="5" t="s">
        <v>165</v>
      </c>
      <c r="H353" s="5"/>
      <c r="I353" s="5"/>
      <c r="J353" s="5" t="s">
        <v>42</v>
      </c>
      <c r="K353" s="5"/>
      <c r="L353" s="5" t="s">
        <v>900</v>
      </c>
    </row>
    <row r="354" customFormat="false" ht="15.65" hidden="false" customHeight="true" outlineLevel="0" collapsed="false">
      <c r="A354" s="2" t="str">
        <f aca="false">HYPERLINK("https://www.fabsurplus.com/sdi_catalog/salesItemDetails.do?id=109689")</f>
        <v>https://www.fabsurplus.com/sdi_catalog/salesItemDetails.do?id=109689</v>
      </c>
      <c r="B354" s="2" t="s">
        <v>903</v>
      </c>
      <c r="C354" s="2" t="s">
        <v>645</v>
      </c>
      <c r="D354" s="2" t="s">
        <v>897</v>
      </c>
      <c r="E354" s="2" t="s">
        <v>164</v>
      </c>
      <c r="F354" s="2" t="s">
        <v>16</v>
      </c>
      <c r="G354" s="2" t="s">
        <v>165</v>
      </c>
      <c r="H354" s="2"/>
      <c r="I354" s="2"/>
      <c r="J354" s="2" t="s">
        <v>42</v>
      </c>
      <c r="K354" s="2"/>
      <c r="L354" s="2" t="s">
        <v>900</v>
      </c>
    </row>
    <row r="355" customFormat="false" ht="15.65" hidden="false" customHeight="true" outlineLevel="0" collapsed="false">
      <c r="A355" s="5" t="str">
        <f aca="false">HYPERLINK("https://www.fabsurplus.com/sdi_catalog/salesItemDetails.do?id=109690")</f>
        <v>https://www.fabsurplus.com/sdi_catalog/salesItemDetails.do?id=109690</v>
      </c>
      <c r="B355" s="5" t="s">
        <v>904</v>
      </c>
      <c r="C355" s="5" t="s">
        <v>645</v>
      </c>
      <c r="D355" s="5" t="s">
        <v>897</v>
      </c>
      <c r="E355" s="5" t="s">
        <v>164</v>
      </c>
      <c r="F355" s="5" t="s">
        <v>16</v>
      </c>
      <c r="G355" s="5" t="s">
        <v>165</v>
      </c>
      <c r="H355" s="5"/>
      <c r="I355" s="5"/>
      <c r="J355" s="5" t="s">
        <v>42</v>
      </c>
      <c r="K355" s="5"/>
      <c r="L355" s="5" t="s">
        <v>905</v>
      </c>
    </row>
    <row r="356" customFormat="false" ht="15.65" hidden="false" customHeight="true" outlineLevel="0" collapsed="false">
      <c r="A356" s="2" t="str">
        <f aca="false">HYPERLINK("https://www.fabsurplus.com/sdi_catalog/salesItemDetails.do?id=109691")</f>
        <v>https://www.fabsurplus.com/sdi_catalog/salesItemDetails.do?id=109691</v>
      </c>
      <c r="B356" s="2" t="s">
        <v>906</v>
      </c>
      <c r="C356" s="2" t="s">
        <v>645</v>
      </c>
      <c r="D356" s="2" t="s">
        <v>907</v>
      </c>
      <c r="E356" s="2" t="s">
        <v>164</v>
      </c>
      <c r="F356" s="2" t="s">
        <v>16</v>
      </c>
      <c r="G356" s="2" t="s">
        <v>165</v>
      </c>
      <c r="H356" s="2"/>
      <c r="I356" s="2"/>
      <c r="J356" s="2" t="s">
        <v>42</v>
      </c>
      <c r="K356" s="2"/>
      <c r="L356" s="2" t="s">
        <v>900</v>
      </c>
    </row>
    <row r="357" customFormat="false" ht="15.65" hidden="false" customHeight="true" outlineLevel="0" collapsed="false">
      <c r="A357" s="5" t="str">
        <f aca="false">HYPERLINK("https://www.fabsurplus.com/sdi_catalog/salesItemDetails.do?id=109692")</f>
        <v>https://www.fabsurplus.com/sdi_catalog/salesItemDetails.do?id=109692</v>
      </c>
      <c r="B357" s="5" t="s">
        <v>908</v>
      </c>
      <c r="C357" s="5" t="s">
        <v>645</v>
      </c>
      <c r="D357" s="5" t="s">
        <v>907</v>
      </c>
      <c r="E357" s="5" t="s">
        <v>164</v>
      </c>
      <c r="F357" s="5" t="s">
        <v>16</v>
      </c>
      <c r="G357" s="5" t="s">
        <v>165</v>
      </c>
      <c r="H357" s="5"/>
      <c r="I357" s="5"/>
      <c r="J357" s="5" t="s">
        <v>42</v>
      </c>
      <c r="K357" s="5"/>
      <c r="L357" s="5" t="s">
        <v>900</v>
      </c>
    </row>
    <row r="358" customFormat="false" ht="15.65" hidden="false" customHeight="true" outlineLevel="0" collapsed="false">
      <c r="A358" s="2" t="str">
        <f aca="false">HYPERLINK("https://www.fabsurplus.com/sdi_catalog/salesItemDetails.do?id=109693")</f>
        <v>https://www.fabsurplus.com/sdi_catalog/salesItemDetails.do?id=109693</v>
      </c>
      <c r="B358" s="2" t="s">
        <v>909</v>
      </c>
      <c r="C358" s="2" t="s">
        <v>645</v>
      </c>
      <c r="D358" s="2" t="s">
        <v>907</v>
      </c>
      <c r="E358" s="2" t="s">
        <v>164</v>
      </c>
      <c r="F358" s="2" t="s">
        <v>16</v>
      </c>
      <c r="G358" s="2" t="s">
        <v>165</v>
      </c>
      <c r="H358" s="2"/>
      <c r="I358" s="2"/>
      <c r="J358" s="2" t="s">
        <v>42</v>
      </c>
      <c r="K358" s="2"/>
      <c r="L358" s="2" t="s">
        <v>910</v>
      </c>
    </row>
    <row r="359" customFormat="false" ht="15.65" hidden="false" customHeight="true" outlineLevel="0" collapsed="false">
      <c r="A359" s="5" t="str">
        <f aca="false">HYPERLINK("https://www.fabsurplus.com/sdi_catalog/salesItemDetails.do?id=109694")</f>
        <v>https://www.fabsurplus.com/sdi_catalog/salesItemDetails.do?id=109694</v>
      </c>
      <c r="B359" s="5" t="s">
        <v>911</v>
      </c>
      <c r="C359" s="5" t="s">
        <v>645</v>
      </c>
      <c r="D359" s="5" t="s">
        <v>912</v>
      </c>
      <c r="E359" s="5" t="s">
        <v>170</v>
      </c>
      <c r="F359" s="5" t="s">
        <v>16</v>
      </c>
      <c r="G359" s="5" t="s">
        <v>165</v>
      </c>
      <c r="H359" s="5"/>
      <c r="I359" s="5"/>
      <c r="J359" s="5" t="s">
        <v>42</v>
      </c>
      <c r="K359" s="5"/>
      <c r="L359" s="5" t="s">
        <v>913</v>
      </c>
    </row>
    <row r="360" customFormat="false" ht="15.65" hidden="false" customHeight="true" outlineLevel="0" collapsed="false">
      <c r="A360" s="2" t="str">
        <f aca="false">HYPERLINK("https://www.fabsurplus.com/sdi_catalog/salesItemDetails.do?id=109695")</f>
        <v>https://www.fabsurplus.com/sdi_catalog/salesItemDetails.do?id=109695</v>
      </c>
      <c r="B360" s="2" t="s">
        <v>914</v>
      </c>
      <c r="C360" s="2" t="s">
        <v>645</v>
      </c>
      <c r="D360" s="2" t="s">
        <v>915</v>
      </c>
      <c r="E360" s="2" t="s">
        <v>170</v>
      </c>
      <c r="F360" s="2" t="s">
        <v>16</v>
      </c>
      <c r="G360" s="2" t="s">
        <v>165</v>
      </c>
      <c r="H360" s="2"/>
      <c r="I360" s="2"/>
      <c r="J360" s="2" t="s">
        <v>42</v>
      </c>
      <c r="K360" s="2"/>
      <c r="L360" s="2" t="s">
        <v>916</v>
      </c>
    </row>
    <row r="361" customFormat="false" ht="15.65" hidden="false" customHeight="true" outlineLevel="0" collapsed="false">
      <c r="A361" s="5" t="str">
        <f aca="false">HYPERLINK("https://www.fabsurplus.com/sdi_catalog/salesItemDetails.do?id=109696")</f>
        <v>https://www.fabsurplus.com/sdi_catalog/salesItemDetails.do?id=109696</v>
      </c>
      <c r="B361" s="5" t="s">
        <v>917</v>
      </c>
      <c r="C361" s="5" t="s">
        <v>645</v>
      </c>
      <c r="D361" s="5" t="s">
        <v>915</v>
      </c>
      <c r="E361" s="5" t="s">
        <v>170</v>
      </c>
      <c r="F361" s="5" t="s">
        <v>16</v>
      </c>
      <c r="G361" s="5" t="s">
        <v>165</v>
      </c>
      <c r="H361" s="5"/>
      <c r="I361" s="5"/>
      <c r="J361" s="5" t="s">
        <v>42</v>
      </c>
      <c r="K361" s="5"/>
      <c r="L361" s="5" t="s">
        <v>918</v>
      </c>
    </row>
    <row r="362" customFormat="false" ht="15.65" hidden="false" customHeight="true" outlineLevel="0" collapsed="false">
      <c r="A362" s="2" t="str">
        <f aca="false">HYPERLINK("https://www.fabsurplus.com/sdi_catalog/salesItemDetails.do?id=109697")</f>
        <v>https://www.fabsurplus.com/sdi_catalog/salesItemDetails.do?id=109697</v>
      </c>
      <c r="B362" s="2" t="s">
        <v>919</v>
      </c>
      <c r="C362" s="2" t="s">
        <v>645</v>
      </c>
      <c r="D362" s="2" t="s">
        <v>915</v>
      </c>
      <c r="E362" s="2" t="s">
        <v>170</v>
      </c>
      <c r="F362" s="2" t="s">
        <v>16</v>
      </c>
      <c r="G362" s="2" t="s">
        <v>165</v>
      </c>
      <c r="H362" s="2"/>
      <c r="I362" s="2"/>
      <c r="J362" s="2" t="s">
        <v>42</v>
      </c>
      <c r="K362" s="2"/>
      <c r="L362" s="4" t="s">
        <v>920</v>
      </c>
    </row>
    <row r="363" customFormat="false" ht="15.65" hidden="false" customHeight="true" outlineLevel="0" collapsed="false">
      <c r="A363" s="5" t="str">
        <f aca="false">HYPERLINK("https://www.fabsurplus.com/sdi_catalog/salesItemDetails.do?id=109698")</f>
        <v>https://www.fabsurplus.com/sdi_catalog/salesItemDetails.do?id=109698</v>
      </c>
      <c r="B363" s="5" t="s">
        <v>921</v>
      </c>
      <c r="C363" s="5" t="s">
        <v>645</v>
      </c>
      <c r="D363" s="5" t="s">
        <v>915</v>
      </c>
      <c r="E363" s="5" t="s">
        <v>170</v>
      </c>
      <c r="F363" s="5" t="s">
        <v>16</v>
      </c>
      <c r="G363" s="5" t="s">
        <v>165</v>
      </c>
      <c r="H363" s="5"/>
      <c r="I363" s="5"/>
      <c r="J363" s="5" t="s">
        <v>42</v>
      </c>
      <c r="K363" s="5"/>
      <c r="L363" s="5" t="s">
        <v>918</v>
      </c>
    </row>
    <row r="364" customFormat="false" ht="15.65" hidden="false" customHeight="true" outlineLevel="0" collapsed="false">
      <c r="A364" s="2" t="str">
        <f aca="false">HYPERLINK("https://www.fabsurplus.com/sdi_catalog/salesItemDetails.do?id=109699")</f>
        <v>https://www.fabsurplus.com/sdi_catalog/salesItemDetails.do?id=109699</v>
      </c>
      <c r="B364" s="2" t="s">
        <v>922</v>
      </c>
      <c r="C364" s="2" t="s">
        <v>645</v>
      </c>
      <c r="D364" s="2" t="s">
        <v>282</v>
      </c>
      <c r="E364" s="2" t="s">
        <v>170</v>
      </c>
      <c r="F364" s="2" t="s">
        <v>16</v>
      </c>
      <c r="G364" s="2" t="s">
        <v>165</v>
      </c>
      <c r="H364" s="2"/>
      <c r="I364" s="2"/>
      <c r="J364" s="2" t="s">
        <v>42</v>
      </c>
      <c r="K364" s="2"/>
      <c r="L364" s="2" t="s">
        <v>923</v>
      </c>
    </row>
    <row r="365" customFormat="false" ht="15.65" hidden="false" customHeight="true" outlineLevel="0" collapsed="false">
      <c r="A365" s="5" t="str">
        <f aca="false">HYPERLINK("https://www.fabsurplus.com/sdi_catalog/salesItemDetails.do?id=109700")</f>
        <v>https://www.fabsurplus.com/sdi_catalog/salesItemDetails.do?id=109700</v>
      </c>
      <c r="B365" s="5" t="s">
        <v>924</v>
      </c>
      <c r="C365" s="5" t="s">
        <v>645</v>
      </c>
      <c r="D365" s="5" t="s">
        <v>282</v>
      </c>
      <c r="E365" s="5" t="s">
        <v>170</v>
      </c>
      <c r="F365" s="5" t="s">
        <v>16</v>
      </c>
      <c r="G365" s="5" t="s">
        <v>165</v>
      </c>
      <c r="H365" s="5"/>
      <c r="I365" s="5"/>
      <c r="J365" s="5" t="s">
        <v>42</v>
      </c>
      <c r="K365" s="5"/>
      <c r="L365" s="5" t="s">
        <v>923</v>
      </c>
    </row>
    <row r="366" customFormat="false" ht="15.65" hidden="false" customHeight="true" outlineLevel="0" collapsed="false">
      <c r="A366" s="2" t="str">
        <f aca="false">HYPERLINK("https://www.fabsurplus.com/sdi_catalog/salesItemDetails.do?id=109701")</f>
        <v>https://www.fabsurplus.com/sdi_catalog/salesItemDetails.do?id=109701</v>
      </c>
      <c r="B366" s="2" t="s">
        <v>925</v>
      </c>
      <c r="C366" s="2" t="s">
        <v>645</v>
      </c>
      <c r="D366" s="2" t="s">
        <v>282</v>
      </c>
      <c r="E366" s="2" t="s">
        <v>170</v>
      </c>
      <c r="F366" s="2" t="s">
        <v>16</v>
      </c>
      <c r="G366" s="2" t="s">
        <v>165</v>
      </c>
      <c r="H366" s="2"/>
      <c r="I366" s="2"/>
      <c r="J366" s="2" t="s">
        <v>42</v>
      </c>
      <c r="K366" s="2"/>
      <c r="L366" s="2" t="s">
        <v>923</v>
      </c>
    </row>
    <row r="367" customFormat="false" ht="15.65" hidden="false" customHeight="true" outlineLevel="0" collapsed="false">
      <c r="A367" s="5" t="str">
        <f aca="false">HYPERLINK("https://www.fabsurplus.com/sdi_catalog/salesItemDetails.do?id=109702")</f>
        <v>https://www.fabsurplus.com/sdi_catalog/salesItemDetails.do?id=109702</v>
      </c>
      <c r="B367" s="5" t="s">
        <v>926</v>
      </c>
      <c r="C367" s="5" t="s">
        <v>645</v>
      </c>
      <c r="D367" s="5" t="s">
        <v>282</v>
      </c>
      <c r="E367" s="5" t="s">
        <v>170</v>
      </c>
      <c r="F367" s="5" t="s">
        <v>16</v>
      </c>
      <c r="G367" s="5" t="s">
        <v>165</v>
      </c>
      <c r="H367" s="5"/>
      <c r="I367" s="5"/>
      <c r="J367" s="5" t="s">
        <v>42</v>
      </c>
      <c r="K367" s="5"/>
      <c r="L367" s="5" t="s">
        <v>923</v>
      </c>
    </row>
    <row r="368" customFormat="false" ht="15.65" hidden="false" customHeight="true" outlineLevel="0" collapsed="false">
      <c r="A368" s="2" t="str">
        <f aca="false">HYPERLINK("https://www.fabsurplus.com/sdi_catalog/salesItemDetails.do?id=109703")</f>
        <v>https://www.fabsurplus.com/sdi_catalog/salesItemDetails.do?id=109703</v>
      </c>
      <c r="B368" s="2" t="s">
        <v>927</v>
      </c>
      <c r="C368" s="2" t="s">
        <v>645</v>
      </c>
      <c r="D368" s="2" t="s">
        <v>637</v>
      </c>
      <c r="E368" s="2" t="s">
        <v>170</v>
      </c>
      <c r="F368" s="2" t="s">
        <v>16</v>
      </c>
      <c r="G368" s="2" t="s">
        <v>165</v>
      </c>
      <c r="H368" s="2"/>
      <c r="I368" s="2"/>
      <c r="J368" s="2" t="s">
        <v>42</v>
      </c>
      <c r="K368" s="2"/>
      <c r="L368" s="2" t="s">
        <v>686</v>
      </c>
    </row>
    <row r="369" customFormat="false" ht="15.65" hidden="false" customHeight="true" outlineLevel="0" collapsed="false">
      <c r="A369" s="5" t="str">
        <f aca="false">HYPERLINK("https://www.fabsurplus.com/sdi_catalog/salesItemDetails.do?id=109704")</f>
        <v>https://www.fabsurplus.com/sdi_catalog/salesItemDetails.do?id=109704</v>
      </c>
      <c r="B369" s="5" t="s">
        <v>928</v>
      </c>
      <c r="C369" s="5" t="s">
        <v>645</v>
      </c>
      <c r="D369" s="5" t="s">
        <v>637</v>
      </c>
      <c r="E369" s="5" t="s">
        <v>170</v>
      </c>
      <c r="F369" s="5" t="s">
        <v>16</v>
      </c>
      <c r="G369" s="5" t="s">
        <v>165</v>
      </c>
      <c r="H369" s="5"/>
      <c r="I369" s="5"/>
      <c r="J369" s="5" t="s">
        <v>42</v>
      </c>
      <c r="K369" s="5"/>
      <c r="L369" s="5" t="s">
        <v>929</v>
      </c>
    </row>
    <row r="370" customFormat="false" ht="15.65" hidden="false" customHeight="true" outlineLevel="0" collapsed="false">
      <c r="A370" s="2" t="str">
        <f aca="false">HYPERLINK("https://www.fabsurplus.com/sdi_catalog/salesItemDetails.do?id=109705")</f>
        <v>https://www.fabsurplus.com/sdi_catalog/salesItemDetails.do?id=109705</v>
      </c>
      <c r="B370" s="2" t="s">
        <v>930</v>
      </c>
      <c r="C370" s="2" t="s">
        <v>645</v>
      </c>
      <c r="D370" s="2" t="s">
        <v>931</v>
      </c>
      <c r="E370" s="2" t="s">
        <v>170</v>
      </c>
      <c r="F370" s="2" t="s">
        <v>16</v>
      </c>
      <c r="G370" s="2" t="s">
        <v>165</v>
      </c>
      <c r="H370" s="2"/>
      <c r="I370" s="2"/>
      <c r="J370" s="2" t="s">
        <v>42</v>
      </c>
      <c r="K370" s="2"/>
      <c r="L370" s="2" t="s">
        <v>932</v>
      </c>
    </row>
    <row r="371" customFormat="false" ht="15.65" hidden="false" customHeight="true" outlineLevel="0" collapsed="false">
      <c r="A371" s="5" t="str">
        <f aca="false">HYPERLINK("https://www.fabsurplus.com/sdi_catalog/salesItemDetails.do?id=109706")</f>
        <v>https://www.fabsurplus.com/sdi_catalog/salesItemDetails.do?id=109706</v>
      </c>
      <c r="B371" s="5" t="s">
        <v>933</v>
      </c>
      <c r="C371" s="5" t="s">
        <v>645</v>
      </c>
      <c r="D371" s="5" t="s">
        <v>289</v>
      </c>
      <c r="E371" s="5" t="s">
        <v>170</v>
      </c>
      <c r="F371" s="5" t="s">
        <v>16</v>
      </c>
      <c r="G371" s="5" t="s">
        <v>165</v>
      </c>
      <c r="H371" s="5"/>
      <c r="I371" s="5"/>
      <c r="J371" s="5" t="s">
        <v>42</v>
      </c>
      <c r="K371" s="5"/>
      <c r="L371" s="5" t="s">
        <v>934</v>
      </c>
    </row>
    <row r="372" customFormat="false" ht="15.65" hidden="false" customHeight="true" outlineLevel="0" collapsed="false">
      <c r="A372" s="2" t="str">
        <f aca="false">HYPERLINK("https://www.fabsurplus.com/sdi_catalog/salesItemDetails.do?id=109707")</f>
        <v>https://www.fabsurplus.com/sdi_catalog/salesItemDetails.do?id=109707</v>
      </c>
      <c r="B372" s="2" t="s">
        <v>935</v>
      </c>
      <c r="C372" s="2" t="s">
        <v>645</v>
      </c>
      <c r="D372" s="2" t="s">
        <v>289</v>
      </c>
      <c r="E372" s="2" t="s">
        <v>170</v>
      </c>
      <c r="F372" s="2" t="s">
        <v>16</v>
      </c>
      <c r="G372" s="2" t="s">
        <v>165</v>
      </c>
      <c r="H372" s="2"/>
      <c r="I372" s="2"/>
      <c r="J372" s="2" t="s">
        <v>42</v>
      </c>
      <c r="K372" s="2"/>
      <c r="L372" s="2" t="s">
        <v>934</v>
      </c>
    </row>
    <row r="373" customFormat="false" ht="15.65" hidden="false" customHeight="true" outlineLevel="0" collapsed="false">
      <c r="A373" s="5" t="str">
        <f aca="false">HYPERLINK("https://www.fabsurplus.com/sdi_catalog/salesItemDetails.do?id=109708")</f>
        <v>https://www.fabsurplus.com/sdi_catalog/salesItemDetails.do?id=109708</v>
      </c>
      <c r="B373" s="5" t="s">
        <v>936</v>
      </c>
      <c r="C373" s="5" t="s">
        <v>645</v>
      </c>
      <c r="D373" s="5" t="s">
        <v>289</v>
      </c>
      <c r="E373" s="5" t="s">
        <v>170</v>
      </c>
      <c r="F373" s="5" t="s">
        <v>16</v>
      </c>
      <c r="G373" s="5" t="s">
        <v>165</v>
      </c>
      <c r="H373" s="5"/>
      <c r="I373" s="5"/>
      <c r="J373" s="5" t="s">
        <v>42</v>
      </c>
      <c r="K373" s="5"/>
      <c r="L373" s="5" t="s">
        <v>934</v>
      </c>
    </row>
    <row r="374" customFormat="false" ht="15.65" hidden="false" customHeight="true" outlineLevel="0" collapsed="false">
      <c r="A374" s="2" t="str">
        <f aca="false">HYPERLINK("https://www.fabsurplus.com/sdi_catalog/salesItemDetails.do?id=109709")</f>
        <v>https://www.fabsurplus.com/sdi_catalog/salesItemDetails.do?id=109709</v>
      </c>
      <c r="B374" s="2" t="s">
        <v>937</v>
      </c>
      <c r="C374" s="2" t="s">
        <v>645</v>
      </c>
      <c r="D374" s="2" t="s">
        <v>289</v>
      </c>
      <c r="E374" s="2" t="s">
        <v>170</v>
      </c>
      <c r="F374" s="2" t="s">
        <v>16</v>
      </c>
      <c r="G374" s="2" t="s">
        <v>165</v>
      </c>
      <c r="H374" s="2"/>
      <c r="I374" s="2"/>
      <c r="J374" s="2" t="s">
        <v>42</v>
      </c>
      <c r="K374" s="2"/>
      <c r="L374" s="2" t="s">
        <v>938</v>
      </c>
    </row>
    <row r="375" customFormat="false" ht="15.65" hidden="false" customHeight="true" outlineLevel="0" collapsed="false">
      <c r="A375" s="5" t="str">
        <f aca="false">HYPERLINK("https://www.fabsurplus.com/sdi_catalog/salesItemDetails.do?id=109710")</f>
        <v>https://www.fabsurplus.com/sdi_catalog/salesItemDetails.do?id=109710</v>
      </c>
      <c r="B375" s="5" t="s">
        <v>939</v>
      </c>
      <c r="C375" s="5" t="s">
        <v>645</v>
      </c>
      <c r="D375" s="5" t="s">
        <v>289</v>
      </c>
      <c r="E375" s="5" t="s">
        <v>170</v>
      </c>
      <c r="F375" s="5" t="s">
        <v>16</v>
      </c>
      <c r="G375" s="5" t="s">
        <v>165</v>
      </c>
      <c r="H375" s="5"/>
      <c r="I375" s="5"/>
      <c r="J375" s="5" t="s">
        <v>42</v>
      </c>
      <c r="K375" s="5"/>
      <c r="L375" s="5" t="s">
        <v>940</v>
      </c>
    </row>
    <row r="376" customFormat="false" ht="15.65" hidden="false" customHeight="true" outlineLevel="0" collapsed="false">
      <c r="A376" s="2" t="str">
        <f aca="false">HYPERLINK("https://www.fabsurplus.com/sdi_catalog/salesItemDetails.do?id=109711")</f>
        <v>https://www.fabsurplus.com/sdi_catalog/salesItemDetails.do?id=109711</v>
      </c>
      <c r="B376" s="2" t="s">
        <v>941</v>
      </c>
      <c r="C376" s="2" t="s">
        <v>645</v>
      </c>
      <c r="D376" s="2" t="s">
        <v>942</v>
      </c>
      <c r="E376" s="2" t="s">
        <v>170</v>
      </c>
      <c r="F376" s="2" t="s">
        <v>16</v>
      </c>
      <c r="G376" s="2" t="s">
        <v>165</v>
      </c>
      <c r="H376" s="2"/>
      <c r="I376" s="2"/>
      <c r="J376" s="2" t="s">
        <v>42</v>
      </c>
      <c r="K376" s="2"/>
      <c r="L376" s="2" t="s">
        <v>943</v>
      </c>
    </row>
    <row r="377" customFormat="false" ht="15.65" hidden="false" customHeight="true" outlineLevel="0" collapsed="false">
      <c r="A377" s="5" t="str">
        <f aca="false">HYPERLINK("https://www.fabsurplus.com/sdi_catalog/salesItemDetails.do?id=109712")</f>
        <v>https://www.fabsurplus.com/sdi_catalog/salesItemDetails.do?id=109712</v>
      </c>
      <c r="B377" s="5" t="s">
        <v>944</v>
      </c>
      <c r="C377" s="5" t="s">
        <v>645</v>
      </c>
      <c r="D377" s="5" t="s">
        <v>945</v>
      </c>
      <c r="E377" s="5" t="s">
        <v>170</v>
      </c>
      <c r="F377" s="5" t="s">
        <v>16</v>
      </c>
      <c r="G377" s="5" t="s">
        <v>165</v>
      </c>
      <c r="H377" s="5"/>
      <c r="I377" s="5"/>
      <c r="J377" s="5" t="s">
        <v>42</v>
      </c>
      <c r="K377" s="5"/>
      <c r="L377" s="5" t="s">
        <v>946</v>
      </c>
    </row>
    <row r="378" customFormat="false" ht="15.65" hidden="false" customHeight="true" outlineLevel="0" collapsed="false">
      <c r="A378" s="2" t="str">
        <f aca="false">HYPERLINK("https://www.fabsurplus.com/sdi_catalog/salesItemDetails.do?id=109713")</f>
        <v>https://www.fabsurplus.com/sdi_catalog/salesItemDetails.do?id=109713</v>
      </c>
      <c r="B378" s="2" t="s">
        <v>947</v>
      </c>
      <c r="C378" s="2" t="s">
        <v>645</v>
      </c>
      <c r="D378" s="2" t="s">
        <v>948</v>
      </c>
      <c r="E378" s="2" t="s">
        <v>170</v>
      </c>
      <c r="F378" s="2" t="s">
        <v>16</v>
      </c>
      <c r="G378" s="2" t="s">
        <v>165</v>
      </c>
      <c r="H378" s="2"/>
      <c r="I378" s="2"/>
      <c r="J378" s="2" t="s">
        <v>42</v>
      </c>
      <c r="K378" s="2"/>
      <c r="L378" s="2" t="s">
        <v>949</v>
      </c>
    </row>
    <row r="379" customFormat="false" ht="15.65" hidden="false" customHeight="true" outlineLevel="0" collapsed="false">
      <c r="A379" s="5" t="str">
        <f aca="false">HYPERLINK("https://www.fabsurplus.com/sdi_catalog/salesItemDetails.do?id=109714")</f>
        <v>https://www.fabsurplus.com/sdi_catalog/salesItemDetails.do?id=109714</v>
      </c>
      <c r="B379" s="5" t="s">
        <v>950</v>
      </c>
      <c r="C379" s="5" t="s">
        <v>645</v>
      </c>
      <c r="D379" s="5" t="s">
        <v>951</v>
      </c>
      <c r="E379" s="5" t="s">
        <v>170</v>
      </c>
      <c r="F379" s="5" t="s">
        <v>16</v>
      </c>
      <c r="G379" s="5" t="s">
        <v>165</v>
      </c>
      <c r="H379" s="5"/>
      <c r="I379" s="5"/>
      <c r="J379" s="5" t="s">
        <v>42</v>
      </c>
      <c r="K379" s="5"/>
      <c r="L379" s="5" t="s">
        <v>686</v>
      </c>
    </row>
    <row r="380" customFormat="false" ht="15.65" hidden="false" customHeight="true" outlineLevel="0" collapsed="false">
      <c r="A380" s="2" t="str">
        <f aca="false">HYPERLINK("https://www.fabsurplus.com/sdi_catalog/salesItemDetails.do?id=109715")</f>
        <v>https://www.fabsurplus.com/sdi_catalog/salesItemDetails.do?id=109715</v>
      </c>
      <c r="B380" s="2" t="s">
        <v>952</v>
      </c>
      <c r="C380" s="2" t="s">
        <v>645</v>
      </c>
      <c r="D380" s="2" t="s">
        <v>953</v>
      </c>
      <c r="E380" s="2" t="s">
        <v>170</v>
      </c>
      <c r="F380" s="2" t="s">
        <v>16</v>
      </c>
      <c r="G380" s="2" t="s">
        <v>165</v>
      </c>
      <c r="H380" s="2"/>
      <c r="I380" s="2"/>
      <c r="J380" s="2" t="s">
        <v>42</v>
      </c>
      <c r="K380" s="2"/>
      <c r="L380" s="2" t="s">
        <v>954</v>
      </c>
    </row>
    <row r="381" customFormat="false" ht="15.65" hidden="false" customHeight="true" outlineLevel="0" collapsed="false">
      <c r="A381" s="5" t="str">
        <f aca="false">HYPERLINK("https://www.fabsurplus.com/sdi_catalog/salesItemDetails.do?id=109716")</f>
        <v>https://www.fabsurplus.com/sdi_catalog/salesItemDetails.do?id=109716</v>
      </c>
      <c r="B381" s="5" t="s">
        <v>955</v>
      </c>
      <c r="C381" s="5" t="s">
        <v>645</v>
      </c>
      <c r="D381" s="5" t="s">
        <v>953</v>
      </c>
      <c r="E381" s="5" t="s">
        <v>170</v>
      </c>
      <c r="F381" s="5" t="s">
        <v>16</v>
      </c>
      <c r="G381" s="5" t="s">
        <v>165</v>
      </c>
      <c r="H381" s="5"/>
      <c r="I381" s="5"/>
      <c r="J381" s="5" t="s">
        <v>42</v>
      </c>
      <c r="K381" s="5"/>
      <c r="L381" s="5" t="s">
        <v>956</v>
      </c>
    </row>
    <row r="382" customFormat="false" ht="15.65" hidden="false" customHeight="true" outlineLevel="0" collapsed="false">
      <c r="A382" s="2" t="str">
        <f aca="false">HYPERLINK("https://www.fabsurplus.com/sdi_catalog/salesItemDetails.do?id=109717")</f>
        <v>https://www.fabsurplus.com/sdi_catalog/salesItemDetails.do?id=109717</v>
      </c>
      <c r="B382" s="2" t="s">
        <v>957</v>
      </c>
      <c r="C382" s="2" t="s">
        <v>645</v>
      </c>
      <c r="D382" s="2" t="s">
        <v>953</v>
      </c>
      <c r="E382" s="2" t="s">
        <v>170</v>
      </c>
      <c r="F382" s="2" t="s">
        <v>16</v>
      </c>
      <c r="G382" s="2" t="s">
        <v>165</v>
      </c>
      <c r="H382" s="2"/>
      <c r="I382" s="2"/>
      <c r="J382" s="2" t="s">
        <v>42</v>
      </c>
      <c r="K382" s="2"/>
      <c r="L382" s="2" t="s">
        <v>956</v>
      </c>
    </row>
    <row r="383" customFormat="false" ht="15.65" hidden="false" customHeight="true" outlineLevel="0" collapsed="false">
      <c r="A383" s="5" t="str">
        <f aca="false">HYPERLINK("https://www.fabsurplus.com/sdi_catalog/salesItemDetails.do?id=109718")</f>
        <v>https://www.fabsurplus.com/sdi_catalog/salesItemDetails.do?id=109718</v>
      </c>
      <c r="B383" s="5" t="s">
        <v>958</v>
      </c>
      <c r="C383" s="5" t="s">
        <v>645</v>
      </c>
      <c r="D383" s="5" t="s">
        <v>953</v>
      </c>
      <c r="E383" s="5" t="s">
        <v>170</v>
      </c>
      <c r="F383" s="5" t="s">
        <v>16</v>
      </c>
      <c r="G383" s="5" t="s">
        <v>165</v>
      </c>
      <c r="H383" s="5"/>
      <c r="I383" s="5"/>
      <c r="J383" s="5" t="s">
        <v>42</v>
      </c>
      <c r="K383" s="5"/>
      <c r="L383" s="5" t="s">
        <v>959</v>
      </c>
    </row>
    <row r="384" customFormat="false" ht="15.65" hidden="false" customHeight="true" outlineLevel="0" collapsed="false">
      <c r="A384" s="2" t="str">
        <f aca="false">HYPERLINK("https://www.fabsurplus.com/sdi_catalog/salesItemDetails.do?id=109719")</f>
        <v>https://www.fabsurplus.com/sdi_catalog/salesItemDetails.do?id=109719</v>
      </c>
      <c r="B384" s="2" t="s">
        <v>960</v>
      </c>
      <c r="C384" s="2" t="s">
        <v>645</v>
      </c>
      <c r="D384" s="2" t="s">
        <v>961</v>
      </c>
      <c r="E384" s="2" t="s">
        <v>164</v>
      </c>
      <c r="F384" s="2" t="s">
        <v>16</v>
      </c>
      <c r="G384" s="2" t="s">
        <v>165</v>
      </c>
      <c r="H384" s="2"/>
      <c r="I384" s="2"/>
      <c r="J384" s="2" t="s">
        <v>42</v>
      </c>
      <c r="K384" s="2"/>
      <c r="L384" s="2" t="s">
        <v>962</v>
      </c>
    </row>
    <row r="385" customFormat="false" ht="15.65" hidden="false" customHeight="true" outlineLevel="0" collapsed="false">
      <c r="A385" s="5" t="str">
        <f aca="false">HYPERLINK("https://www.fabsurplus.com/sdi_catalog/salesItemDetails.do?id=109720")</f>
        <v>https://www.fabsurplus.com/sdi_catalog/salesItemDetails.do?id=109720</v>
      </c>
      <c r="B385" s="5" t="s">
        <v>963</v>
      </c>
      <c r="C385" s="5" t="s">
        <v>645</v>
      </c>
      <c r="D385" s="5" t="s">
        <v>964</v>
      </c>
      <c r="E385" s="5" t="s">
        <v>170</v>
      </c>
      <c r="F385" s="5" t="s">
        <v>16</v>
      </c>
      <c r="G385" s="5" t="s">
        <v>165</v>
      </c>
      <c r="H385" s="5"/>
      <c r="I385" s="5"/>
      <c r="J385" s="5" t="s">
        <v>42</v>
      </c>
      <c r="K385" s="5"/>
      <c r="L385" s="5" t="s">
        <v>965</v>
      </c>
    </row>
    <row r="386" customFormat="false" ht="15.65" hidden="false" customHeight="true" outlineLevel="0" collapsed="false">
      <c r="A386" s="2" t="str">
        <f aca="false">HYPERLINK("https://www.fabsurplus.com/sdi_catalog/salesItemDetails.do?id=109721")</f>
        <v>https://www.fabsurplus.com/sdi_catalog/salesItemDetails.do?id=109721</v>
      </c>
      <c r="B386" s="2" t="s">
        <v>966</v>
      </c>
      <c r="C386" s="2" t="s">
        <v>645</v>
      </c>
      <c r="D386" s="2" t="s">
        <v>967</v>
      </c>
      <c r="E386" s="2" t="s">
        <v>164</v>
      </c>
      <c r="F386" s="2" t="s">
        <v>16</v>
      </c>
      <c r="G386" s="2" t="s">
        <v>165</v>
      </c>
      <c r="H386" s="2"/>
      <c r="I386" s="2"/>
      <c r="J386" s="2" t="s">
        <v>42</v>
      </c>
      <c r="K386" s="2"/>
      <c r="L386" s="2" t="s">
        <v>968</v>
      </c>
    </row>
    <row r="387" customFormat="false" ht="15.65" hidden="false" customHeight="true" outlineLevel="0" collapsed="false">
      <c r="A387" s="5" t="str">
        <f aca="false">HYPERLINK("https://www.fabsurplus.com/sdi_catalog/salesItemDetails.do?id=109722")</f>
        <v>https://www.fabsurplus.com/sdi_catalog/salesItemDetails.do?id=109722</v>
      </c>
      <c r="B387" s="5" t="s">
        <v>969</v>
      </c>
      <c r="C387" s="5" t="s">
        <v>645</v>
      </c>
      <c r="D387" s="5" t="s">
        <v>970</v>
      </c>
      <c r="E387" s="5" t="s">
        <v>170</v>
      </c>
      <c r="F387" s="5" t="s">
        <v>16</v>
      </c>
      <c r="G387" s="5" t="s">
        <v>165</v>
      </c>
      <c r="H387" s="5"/>
      <c r="I387" s="5"/>
      <c r="J387" s="5" t="s">
        <v>42</v>
      </c>
      <c r="K387" s="5"/>
      <c r="L387" s="5" t="s">
        <v>971</v>
      </c>
    </row>
    <row r="388" customFormat="false" ht="15.65" hidden="false" customHeight="true" outlineLevel="0" collapsed="false">
      <c r="A388" s="2" t="str">
        <f aca="false">HYPERLINK("https://www.fabsurplus.com/sdi_catalog/salesItemDetails.do?id=109723")</f>
        <v>https://www.fabsurplus.com/sdi_catalog/salesItemDetails.do?id=109723</v>
      </c>
      <c r="B388" s="2" t="s">
        <v>972</v>
      </c>
      <c r="C388" s="2" t="s">
        <v>645</v>
      </c>
      <c r="D388" s="2" t="s">
        <v>973</v>
      </c>
      <c r="E388" s="2" t="s">
        <v>170</v>
      </c>
      <c r="F388" s="2" t="s">
        <v>16</v>
      </c>
      <c r="G388" s="2" t="s">
        <v>165</v>
      </c>
      <c r="H388" s="2"/>
      <c r="I388" s="2"/>
      <c r="J388" s="2" t="s">
        <v>42</v>
      </c>
      <c r="K388" s="2"/>
      <c r="L388" s="2" t="s">
        <v>974</v>
      </c>
    </row>
    <row r="389" customFormat="false" ht="15.65" hidden="false" customHeight="true" outlineLevel="0" collapsed="false">
      <c r="A389" s="5" t="str">
        <f aca="false">HYPERLINK("https://www.fabsurplus.com/sdi_catalog/salesItemDetails.do?id=109724")</f>
        <v>https://www.fabsurplus.com/sdi_catalog/salesItemDetails.do?id=109724</v>
      </c>
      <c r="B389" s="5" t="s">
        <v>975</v>
      </c>
      <c r="C389" s="5" t="s">
        <v>645</v>
      </c>
      <c r="D389" s="5" t="s">
        <v>976</v>
      </c>
      <c r="E389" s="5" t="s">
        <v>170</v>
      </c>
      <c r="F389" s="5" t="s">
        <v>16</v>
      </c>
      <c r="G389" s="5" t="s">
        <v>165</v>
      </c>
      <c r="H389" s="5"/>
      <c r="I389" s="5"/>
      <c r="J389" s="5" t="s">
        <v>42</v>
      </c>
      <c r="K389" s="5"/>
      <c r="L389" s="5" t="s">
        <v>977</v>
      </c>
    </row>
    <row r="390" customFormat="false" ht="15.65" hidden="false" customHeight="true" outlineLevel="0" collapsed="false">
      <c r="A390" s="2" t="str">
        <f aca="false">HYPERLINK("https://www.fabsurplus.com/sdi_catalog/salesItemDetails.do?id=109725")</f>
        <v>https://www.fabsurplus.com/sdi_catalog/salesItemDetails.do?id=109725</v>
      </c>
      <c r="B390" s="2" t="s">
        <v>978</v>
      </c>
      <c r="C390" s="2" t="s">
        <v>645</v>
      </c>
      <c r="D390" s="2" t="s">
        <v>979</v>
      </c>
      <c r="E390" s="2" t="s">
        <v>170</v>
      </c>
      <c r="F390" s="2" t="s">
        <v>16</v>
      </c>
      <c r="G390" s="2" t="s">
        <v>165</v>
      </c>
      <c r="H390" s="2"/>
      <c r="I390" s="2"/>
      <c r="J390" s="2" t="s">
        <v>42</v>
      </c>
      <c r="K390" s="2"/>
      <c r="L390" s="2" t="s">
        <v>980</v>
      </c>
    </row>
    <row r="391" customFormat="false" ht="15.65" hidden="false" customHeight="true" outlineLevel="0" collapsed="false">
      <c r="A391" s="5" t="str">
        <f aca="false">HYPERLINK("https://www.fabsurplus.com/sdi_catalog/salesItemDetails.do?id=109726")</f>
        <v>https://www.fabsurplus.com/sdi_catalog/salesItemDetails.do?id=109726</v>
      </c>
      <c r="B391" s="5" t="s">
        <v>981</v>
      </c>
      <c r="C391" s="5" t="s">
        <v>645</v>
      </c>
      <c r="D391" s="5" t="s">
        <v>982</v>
      </c>
      <c r="E391" s="5" t="s">
        <v>170</v>
      </c>
      <c r="F391" s="5" t="s">
        <v>16</v>
      </c>
      <c r="G391" s="5" t="s">
        <v>165</v>
      </c>
      <c r="H391" s="5"/>
      <c r="I391" s="5"/>
      <c r="J391" s="5" t="s">
        <v>42</v>
      </c>
      <c r="K391" s="5"/>
      <c r="L391" s="5" t="s">
        <v>977</v>
      </c>
    </row>
    <row r="392" customFormat="false" ht="15.65" hidden="false" customHeight="true" outlineLevel="0" collapsed="false">
      <c r="A392" s="2" t="str">
        <f aca="false">HYPERLINK("https://www.fabsurplus.com/sdi_catalog/salesItemDetails.do?id=109727")</f>
        <v>https://www.fabsurplus.com/sdi_catalog/salesItemDetails.do?id=109727</v>
      </c>
      <c r="B392" s="2" t="s">
        <v>983</v>
      </c>
      <c r="C392" s="2" t="s">
        <v>645</v>
      </c>
      <c r="D392" s="2" t="s">
        <v>982</v>
      </c>
      <c r="E392" s="2" t="s">
        <v>170</v>
      </c>
      <c r="F392" s="2" t="s">
        <v>16</v>
      </c>
      <c r="G392" s="2" t="s">
        <v>165</v>
      </c>
      <c r="H392" s="2"/>
      <c r="I392" s="2"/>
      <c r="J392" s="2" t="s">
        <v>42</v>
      </c>
      <c r="K392" s="2"/>
      <c r="L392" s="2" t="s">
        <v>984</v>
      </c>
    </row>
    <row r="393" customFormat="false" ht="15.65" hidden="false" customHeight="true" outlineLevel="0" collapsed="false">
      <c r="A393" s="5" t="str">
        <f aca="false">HYPERLINK("https://www.fabsurplus.com/sdi_catalog/salesItemDetails.do?id=109728")</f>
        <v>https://www.fabsurplus.com/sdi_catalog/salesItemDetails.do?id=109728</v>
      </c>
      <c r="B393" s="5" t="s">
        <v>985</v>
      </c>
      <c r="C393" s="5" t="s">
        <v>645</v>
      </c>
      <c r="D393" s="5" t="s">
        <v>986</v>
      </c>
      <c r="E393" s="5" t="s">
        <v>170</v>
      </c>
      <c r="F393" s="5" t="s">
        <v>16</v>
      </c>
      <c r="G393" s="5" t="s">
        <v>165</v>
      </c>
      <c r="H393" s="5"/>
      <c r="I393" s="5"/>
      <c r="J393" s="5" t="s">
        <v>42</v>
      </c>
      <c r="K393" s="5"/>
      <c r="L393" s="5" t="s">
        <v>987</v>
      </c>
    </row>
    <row r="394" customFormat="false" ht="15.65" hidden="false" customHeight="true" outlineLevel="0" collapsed="false">
      <c r="A394" s="2" t="str">
        <f aca="false">HYPERLINK("https://www.fabsurplus.com/sdi_catalog/salesItemDetails.do?id=109729")</f>
        <v>https://www.fabsurplus.com/sdi_catalog/salesItemDetails.do?id=109729</v>
      </c>
      <c r="B394" s="2" t="s">
        <v>988</v>
      </c>
      <c r="C394" s="2" t="s">
        <v>645</v>
      </c>
      <c r="D394" s="2" t="s">
        <v>989</v>
      </c>
      <c r="E394" s="2" t="s">
        <v>170</v>
      </c>
      <c r="F394" s="2" t="s">
        <v>16</v>
      </c>
      <c r="G394" s="2" t="s">
        <v>165</v>
      </c>
      <c r="H394" s="2"/>
      <c r="I394" s="2"/>
      <c r="J394" s="2" t="s">
        <v>42</v>
      </c>
      <c r="K394" s="2"/>
      <c r="L394" s="2" t="s">
        <v>990</v>
      </c>
    </row>
    <row r="395" customFormat="false" ht="15.65" hidden="false" customHeight="true" outlineLevel="0" collapsed="false">
      <c r="A395" s="5" t="str">
        <f aca="false">HYPERLINK("https://www.fabsurplus.com/sdi_catalog/salesItemDetails.do?id=109730")</f>
        <v>https://www.fabsurplus.com/sdi_catalog/salesItemDetails.do?id=109730</v>
      </c>
      <c r="B395" s="5" t="s">
        <v>991</v>
      </c>
      <c r="C395" s="5" t="s">
        <v>645</v>
      </c>
      <c r="D395" s="5" t="s">
        <v>989</v>
      </c>
      <c r="E395" s="5" t="s">
        <v>170</v>
      </c>
      <c r="F395" s="5" t="s">
        <v>16</v>
      </c>
      <c r="G395" s="5" t="s">
        <v>165</v>
      </c>
      <c r="H395" s="5"/>
      <c r="I395" s="5"/>
      <c r="J395" s="5" t="s">
        <v>42</v>
      </c>
      <c r="K395" s="5"/>
      <c r="L395" s="5" t="s">
        <v>990</v>
      </c>
    </row>
    <row r="396" customFormat="false" ht="15.65" hidden="false" customHeight="true" outlineLevel="0" collapsed="false">
      <c r="A396" s="2" t="str">
        <f aca="false">HYPERLINK("https://www.fabsurplus.com/sdi_catalog/salesItemDetails.do?id=109731")</f>
        <v>https://www.fabsurplus.com/sdi_catalog/salesItemDetails.do?id=109731</v>
      </c>
      <c r="B396" s="2" t="s">
        <v>992</v>
      </c>
      <c r="C396" s="2" t="s">
        <v>645</v>
      </c>
      <c r="D396" s="2" t="s">
        <v>989</v>
      </c>
      <c r="E396" s="2" t="s">
        <v>170</v>
      </c>
      <c r="F396" s="2" t="s">
        <v>16</v>
      </c>
      <c r="G396" s="2" t="s">
        <v>165</v>
      </c>
      <c r="H396" s="2"/>
      <c r="I396" s="2"/>
      <c r="J396" s="2" t="s">
        <v>42</v>
      </c>
      <c r="K396" s="2"/>
      <c r="L396" s="2" t="s">
        <v>990</v>
      </c>
    </row>
    <row r="397" customFormat="false" ht="15.65" hidden="false" customHeight="true" outlineLevel="0" collapsed="false">
      <c r="A397" s="5" t="str">
        <f aca="false">HYPERLINK("https://www.fabsurplus.com/sdi_catalog/salesItemDetails.do?id=109732")</f>
        <v>https://www.fabsurplus.com/sdi_catalog/salesItemDetails.do?id=109732</v>
      </c>
      <c r="B397" s="5" t="s">
        <v>993</v>
      </c>
      <c r="C397" s="5" t="s">
        <v>645</v>
      </c>
      <c r="D397" s="5" t="s">
        <v>989</v>
      </c>
      <c r="E397" s="5" t="s">
        <v>170</v>
      </c>
      <c r="F397" s="5" t="s">
        <v>16</v>
      </c>
      <c r="G397" s="5" t="s">
        <v>165</v>
      </c>
      <c r="H397" s="5"/>
      <c r="I397" s="5"/>
      <c r="J397" s="5" t="s">
        <v>42</v>
      </c>
      <c r="K397" s="5"/>
      <c r="L397" s="5" t="s">
        <v>994</v>
      </c>
    </row>
    <row r="398" customFormat="false" ht="15.65" hidden="false" customHeight="true" outlineLevel="0" collapsed="false">
      <c r="A398" s="2" t="str">
        <f aca="false">HYPERLINK("https://www.fabsurplus.com/sdi_catalog/salesItemDetails.do?id=109733")</f>
        <v>https://www.fabsurplus.com/sdi_catalog/salesItemDetails.do?id=109733</v>
      </c>
      <c r="B398" s="2" t="s">
        <v>995</v>
      </c>
      <c r="C398" s="2" t="s">
        <v>645</v>
      </c>
      <c r="D398" s="2" t="s">
        <v>996</v>
      </c>
      <c r="E398" s="2" t="s">
        <v>170</v>
      </c>
      <c r="F398" s="2" t="s">
        <v>16</v>
      </c>
      <c r="G398" s="2" t="s">
        <v>165</v>
      </c>
      <c r="H398" s="2"/>
      <c r="I398" s="2"/>
      <c r="J398" s="2" t="s">
        <v>42</v>
      </c>
      <c r="K398" s="2"/>
      <c r="L398" s="2" t="s">
        <v>997</v>
      </c>
    </row>
    <row r="399" customFormat="false" ht="15.65" hidden="false" customHeight="true" outlineLevel="0" collapsed="false">
      <c r="A399" s="5" t="str">
        <f aca="false">HYPERLINK("https://www.fabsurplus.com/sdi_catalog/salesItemDetails.do?id=109734")</f>
        <v>https://www.fabsurplus.com/sdi_catalog/salesItemDetails.do?id=109734</v>
      </c>
      <c r="B399" s="5" t="s">
        <v>998</v>
      </c>
      <c r="C399" s="5" t="s">
        <v>645</v>
      </c>
      <c r="D399" s="5" t="s">
        <v>996</v>
      </c>
      <c r="E399" s="5" t="s">
        <v>170</v>
      </c>
      <c r="F399" s="5" t="s">
        <v>16</v>
      </c>
      <c r="G399" s="5" t="s">
        <v>165</v>
      </c>
      <c r="H399" s="5"/>
      <c r="I399" s="5"/>
      <c r="J399" s="5" t="s">
        <v>42</v>
      </c>
      <c r="K399" s="5"/>
      <c r="L399" s="5" t="s">
        <v>999</v>
      </c>
    </row>
    <row r="400" customFormat="false" ht="15.65" hidden="false" customHeight="true" outlineLevel="0" collapsed="false">
      <c r="A400" s="2" t="str">
        <f aca="false">HYPERLINK("https://www.fabsurplus.com/sdi_catalog/salesItemDetails.do?id=109735")</f>
        <v>https://www.fabsurplus.com/sdi_catalog/salesItemDetails.do?id=109735</v>
      </c>
      <c r="B400" s="2" t="s">
        <v>1000</v>
      </c>
      <c r="C400" s="2" t="s">
        <v>645</v>
      </c>
      <c r="D400" s="2" t="s">
        <v>996</v>
      </c>
      <c r="E400" s="2" t="s">
        <v>170</v>
      </c>
      <c r="F400" s="2" t="s">
        <v>16</v>
      </c>
      <c r="G400" s="2" t="s">
        <v>165</v>
      </c>
      <c r="H400" s="2"/>
      <c r="I400" s="2"/>
      <c r="J400" s="2" t="s">
        <v>42</v>
      </c>
      <c r="K400" s="2"/>
      <c r="L400" s="2" t="s">
        <v>1001</v>
      </c>
    </row>
    <row r="401" customFormat="false" ht="15.65" hidden="false" customHeight="true" outlineLevel="0" collapsed="false">
      <c r="A401" s="5" t="str">
        <f aca="false">HYPERLINK("https://www.fabsurplus.com/sdi_catalog/salesItemDetails.do?id=109736")</f>
        <v>https://www.fabsurplus.com/sdi_catalog/salesItemDetails.do?id=109736</v>
      </c>
      <c r="B401" s="5" t="s">
        <v>1002</v>
      </c>
      <c r="C401" s="5" t="s">
        <v>645</v>
      </c>
      <c r="D401" s="5" t="s">
        <v>1003</v>
      </c>
      <c r="E401" s="5" t="s">
        <v>164</v>
      </c>
      <c r="F401" s="5" t="s">
        <v>16</v>
      </c>
      <c r="G401" s="5" t="s">
        <v>165</v>
      </c>
      <c r="H401" s="5"/>
      <c r="I401" s="5"/>
      <c r="J401" s="5" t="s">
        <v>42</v>
      </c>
      <c r="K401" s="5"/>
      <c r="L401" s="5" t="s">
        <v>1004</v>
      </c>
    </row>
    <row r="402" customFormat="false" ht="15.65" hidden="false" customHeight="true" outlineLevel="0" collapsed="false">
      <c r="A402" s="2" t="str">
        <f aca="false">HYPERLINK("https://www.fabsurplus.com/sdi_catalog/salesItemDetails.do?id=109737")</f>
        <v>https://www.fabsurplus.com/sdi_catalog/salesItemDetails.do?id=109737</v>
      </c>
      <c r="B402" s="2" t="s">
        <v>1005</v>
      </c>
      <c r="C402" s="2" t="s">
        <v>645</v>
      </c>
      <c r="D402" s="2" t="s">
        <v>1003</v>
      </c>
      <c r="E402" s="2" t="s">
        <v>164</v>
      </c>
      <c r="F402" s="2" t="s">
        <v>16</v>
      </c>
      <c r="G402" s="2" t="s">
        <v>165</v>
      </c>
      <c r="H402" s="2"/>
      <c r="I402" s="2"/>
      <c r="J402" s="2" t="s">
        <v>42</v>
      </c>
      <c r="K402" s="2"/>
      <c r="L402" s="2" t="s">
        <v>1004</v>
      </c>
    </row>
    <row r="403" customFormat="false" ht="15.65" hidden="false" customHeight="true" outlineLevel="0" collapsed="false">
      <c r="A403" s="5" t="str">
        <f aca="false">HYPERLINK("https://www.fabsurplus.com/sdi_catalog/salesItemDetails.do?id=109738")</f>
        <v>https://www.fabsurplus.com/sdi_catalog/salesItemDetails.do?id=109738</v>
      </c>
      <c r="B403" s="5" t="s">
        <v>1006</v>
      </c>
      <c r="C403" s="5" t="s">
        <v>645</v>
      </c>
      <c r="D403" s="5" t="s">
        <v>1003</v>
      </c>
      <c r="E403" s="5" t="s">
        <v>164</v>
      </c>
      <c r="F403" s="5" t="s">
        <v>16</v>
      </c>
      <c r="G403" s="5" t="s">
        <v>165</v>
      </c>
      <c r="H403" s="5"/>
      <c r="I403" s="5"/>
      <c r="J403" s="5" t="s">
        <v>42</v>
      </c>
      <c r="K403" s="5"/>
      <c r="L403" s="5" t="s">
        <v>1004</v>
      </c>
    </row>
    <row r="404" customFormat="false" ht="15.65" hidden="false" customHeight="true" outlineLevel="0" collapsed="false">
      <c r="A404" s="2" t="str">
        <f aca="false">HYPERLINK("https://www.fabsurplus.com/sdi_catalog/salesItemDetails.do?id=109739")</f>
        <v>https://www.fabsurplus.com/sdi_catalog/salesItemDetails.do?id=109739</v>
      </c>
      <c r="B404" s="2" t="s">
        <v>1007</v>
      </c>
      <c r="C404" s="2" t="s">
        <v>645</v>
      </c>
      <c r="D404" s="2" t="s">
        <v>1008</v>
      </c>
      <c r="E404" s="2" t="s">
        <v>763</v>
      </c>
      <c r="F404" s="2" t="s">
        <v>16</v>
      </c>
      <c r="G404" s="2" t="s">
        <v>165</v>
      </c>
      <c r="H404" s="2"/>
      <c r="I404" s="2"/>
      <c r="J404" s="2" t="s">
        <v>42</v>
      </c>
      <c r="K404" s="2"/>
      <c r="L404" s="4" t="s">
        <v>1009</v>
      </c>
    </row>
    <row r="405" customFormat="false" ht="15.65" hidden="false" customHeight="true" outlineLevel="0" collapsed="false">
      <c r="A405" s="5" t="str">
        <f aca="false">HYPERLINK("https://www.fabsurplus.com/sdi_catalog/salesItemDetails.do?id=109740")</f>
        <v>https://www.fabsurplus.com/sdi_catalog/salesItemDetails.do?id=109740</v>
      </c>
      <c r="B405" s="5" t="s">
        <v>1010</v>
      </c>
      <c r="C405" s="5" t="s">
        <v>645</v>
      </c>
      <c r="D405" s="5" t="s">
        <v>1008</v>
      </c>
      <c r="E405" s="5" t="s">
        <v>763</v>
      </c>
      <c r="F405" s="5" t="s">
        <v>16</v>
      </c>
      <c r="G405" s="5" t="s">
        <v>165</v>
      </c>
      <c r="H405" s="5"/>
      <c r="I405" s="5"/>
      <c r="J405" s="5" t="s">
        <v>42</v>
      </c>
      <c r="K405" s="5"/>
      <c r="L405" s="7" t="s">
        <v>1011</v>
      </c>
    </row>
    <row r="406" customFormat="false" ht="15.65" hidden="false" customHeight="true" outlineLevel="0" collapsed="false">
      <c r="A406" s="2" t="str">
        <f aca="false">HYPERLINK("https://www.fabsurplus.com/sdi_catalog/salesItemDetails.do?id=109741")</f>
        <v>https://www.fabsurplus.com/sdi_catalog/salesItemDetails.do?id=109741</v>
      </c>
      <c r="B406" s="2" t="s">
        <v>1012</v>
      </c>
      <c r="C406" s="2" t="s">
        <v>645</v>
      </c>
      <c r="D406" s="2" t="s">
        <v>1008</v>
      </c>
      <c r="E406" s="2" t="s">
        <v>763</v>
      </c>
      <c r="F406" s="2" t="s">
        <v>16</v>
      </c>
      <c r="G406" s="2" t="s">
        <v>165</v>
      </c>
      <c r="H406" s="2"/>
      <c r="I406" s="2"/>
      <c r="J406" s="2" t="s">
        <v>42</v>
      </c>
      <c r="K406" s="2"/>
      <c r="L406" s="4" t="s">
        <v>1013</v>
      </c>
    </row>
    <row r="407" customFormat="false" ht="15.65" hidden="false" customHeight="true" outlineLevel="0" collapsed="false">
      <c r="A407" s="5" t="str">
        <f aca="false">HYPERLINK("https://www.fabsurplus.com/sdi_catalog/salesItemDetails.do?id=109742")</f>
        <v>https://www.fabsurplus.com/sdi_catalog/salesItemDetails.do?id=109742</v>
      </c>
      <c r="B407" s="5" t="s">
        <v>1014</v>
      </c>
      <c r="C407" s="5" t="s">
        <v>645</v>
      </c>
      <c r="D407" s="5" t="s">
        <v>1008</v>
      </c>
      <c r="E407" s="5" t="s">
        <v>763</v>
      </c>
      <c r="F407" s="5" t="s">
        <v>16</v>
      </c>
      <c r="G407" s="5" t="s">
        <v>165</v>
      </c>
      <c r="H407" s="5"/>
      <c r="I407" s="5"/>
      <c r="J407" s="5" t="s">
        <v>42</v>
      </c>
      <c r="K407" s="5"/>
      <c r="L407" s="7" t="s">
        <v>1015</v>
      </c>
    </row>
    <row r="408" customFormat="false" ht="15.65" hidden="false" customHeight="true" outlineLevel="0" collapsed="false">
      <c r="A408" s="2" t="str">
        <f aca="false">HYPERLINK("https://www.fabsurplus.com/sdi_catalog/salesItemDetails.do?id=109743")</f>
        <v>https://www.fabsurplus.com/sdi_catalog/salesItemDetails.do?id=109743</v>
      </c>
      <c r="B408" s="2" t="s">
        <v>1016</v>
      </c>
      <c r="C408" s="2" t="s">
        <v>645</v>
      </c>
      <c r="D408" s="2" t="s">
        <v>1017</v>
      </c>
      <c r="E408" s="2" t="s">
        <v>763</v>
      </c>
      <c r="F408" s="2" t="s">
        <v>16</v>
      </c>
      <c r="G408" s="2" t="s">
        <v>165</v>
      </c>
      <c r="H408" s="2"/>
      <c r="I408" s="2"/>
      <c r="J408" s="2" t="s">
        <v>42</v>
      </c>
      <c r="K408" s="2"/>
      <c r="L408" s="4" t="s">
        <v>1018</v>
      </c>
    </row>
    <row r="409" customFormat="false" ht="15.65" hidden="false" customHeight="true" outlineLevel="0" collapsed="false">
      <c r="A409" s="5" t="str">
        <f aca="false">HYPERLINK("https://www.fabsurplus.com/sdi_catalog/salesItemDetails.do?id=109744")</f>
        <v>https://www.fabsurplus.com/sdi_catalog/salesItemDetails.do?id=109744</v>
      </c>
      <c r="B409" s="5" t="s">
        <v>1019</v>
      </c>
      <c r="C409" s="5" t="s">
        <v>645</v>
      </c>
      <c r="D409" s="5" t="s">
        <v>1020</v>
      </c>
      <c r="E409" s="5" t="s">
        <v>164</v>
      </c>
      <c r="F409" s="5" t="s">
        <v>16</v>
      </c>
      <c r="G409" s="5" t="s">
        <v>165</v>
      </c>
      <c r="H409" s="5"/>
      <c r="I409" s="5"/>
      <c r="J409" s="5" t="s">
        <v>42</v>
      </c>
      <c r="K409" s="5"/>
      <c r="L409" s="5" t="s">
        <v>1021</v>
      </c>
    </row>
    <row r="410" customFormat="false" ht="15.65" hidden="false" customHeight="true" outlineLevel="0" collapsed="false">
      <c r="A410" s="2" t="str">
        <f aca="false">HYPERLINK("https://www.fabsurplus.com/sdi_catalog/salesItemDetails.do?id=109745")</f>
        <v>https://www.fabsurplus.com/sdi_catalog/salesItemDetails.do?id=109745</v>
      </c>
      <c r="B410" s="2" t="s">
        <v>1022</v>
      </c>
      <c r="C410" s="2" t="s">
        <v>645</v>
      </c>
      <c r="D410" s="2" t="s">
        <v>1020</v>
      </c>
      <c r="E410" s="2" t="s">
        <v>164</v>
      </c>
      <c r="F410" s="2" t="s">
        <v>16</v>
      </c>
      <c r="G410" s="2" t="s">
        <v>165</v>
      </c>
      <c r="H410" s="2"/>
      <c r="I410" s="2"/>
      <c r="J410" s="2" t="s">
        <v>42</v>
      </c>
      <c r="K410" s="2"/>
      <c r="L410" s="2" t="s">
        <v>1021</v>
      </c>
    </row>
    <row r="411" customFormat="false" ht="15.65" hidden="false" customHeight="true" outlineLevel="0" collapsed="false">
      <c r="A411" s="5" t="str">
        <f aca="false">HYPERLINK("https://www.fabsurplus.com/sdi_catalog/salesItemDetails.do?id=109746")</f>
        <v>https://www.fabsurplus.com/sdi_catalog/salesItemDetails.do?id=109746</v>
      </c>
      <c r="B411" s="5" t="s">
        <v>1023</v>
      </c>
      <c r="C411" s="5" t="s">
        <v>645</v>
      </c>
      <c r="D411" s="5" t="s">
        <v>1024</v>
      </c>
      <c r="E411" s="5" t="s">
        <v>763</v>
      </c>
      <c r="F411" s="5" t="s">
        <v>16</v>
      </c>
      <c r="G411" s="5" t="s">
        <v>165</v>
      </c>
      <c r="H411" s="5"/>
      <c r="I411" s="5"/>
      <c r="J411" s="5" t="s">
        <v>42</v>
      </c>
      <c r="K411" s="5"/>
      <c r="L411" s="5" t="s">
        <v>1025</v>
      </c>
    </row>
    <row r="412" customFormat="false" ht="15.65" hidden="false" customHeight="true" outlineLevel="0" collapsed="false">
      <c r="A412" s="2" t="str">
        <f aca="false">HYPERLINK("https://www.fabsurplus.com/sdi_catalog/salesItemDetails.do?id=109747")</f>
        <v>https://www.fabsurplus.com/sdi_catalog/salesItemDetails.do?id=109747</v>
      </c>
      <c r="B412" s="2" t="s">
        <v>1026</v>
      </c>
      <c r="C412" s="2" t="s">
        <v>645</v>
      </c>
      <c r="D412" s="2" t="s">
        <v>1027</v>
      </c>
      <c r="E412" s="2" t="s">
        <v>763</v>
      </c>
      <c r="F412" s="2" t="s">
        <v>16</v>
      </c>
      <c r="G412" s="2" t="s">
        <v>165</v>
      </c>
      <c r="H412" s="2"/>
      <c r="I412" s="2"/>
      <c r="J412" s="2" t="s">
        <v>42</v>
      </c>
      <c r="K412" s="2"/>
      <c r="L412" s="4" t="s">
        <v>1028</v>
      </c>
    </row>
    <row r="413" customFormat="false" ht="15.65" hidden="false" customHeight="true" outlineLevel="0" collapsed="false">
      <c r="A413" s="5" t="str">
        <f aca="false">HYPERLINK("https://www.fabsurplus.com/sdi_catalog/salesItemDetails.do?id=109748")</f>
        <v>https://www.fabsurplus.com/sdi_catalog/salesItemDetails.do?id=109748</v>
      </c>
      <c r="B413" s="5" t="s">
        <v>1029</v>
      </c>
      <c r="C413" s="5" t="s">
        <v>645</v>
      </c>
      <c r="D413" s="5" t="s">
        <v>1030</v>
      </c>
      <c r="E413" s="5" t="s">
        <v>763</v>
      </c>
      <c r="F413" s="5" t="s">
        <v>16</v>
      </c>
      <c r="G413" s="5" t="s">
        <v>165</v>
      </c>
      <c r="H413" s="5"/>
      <c r="I413" s="5"/>
      <c r="J413" s="5" t="s">
        <v>42</v>
      </c>
      <c r="K413" s="5"/>
      <c r="L413" s="7" t="s">
        <v>1031</v>
      </c>
    </row>
    <row r="414" customFormat="false" ht="15.65" hidden="false" customHeight="true" outlineLevel="0" collapsed="false">
      <c r="A414" s="2" t="str">
        <f aca="false">HYPERLINK("https://www.fabsurplus.com/sdi_catalog/salesItemDetails.do?id=109749")</f>
        <v>https://www.fabsurplus.com/sdi_catalog/salesItemDetails.do?id=109749</v>
      </c>
      <c r="B414" s="2" t="s">
        <v>1032</v>
      </c>
      <c r="C414" s="2" t="s">
        <v>645</v>
      </c>
      <c r="D414" s="2" t="s">
        <v>1030</v>
      </c>
      <c r="E414" s="2" t="s">
        <v>763</v>
      </c>
      <c r="F414" s="2" t="s">
        <v>16</v>
      </c>
      <c r="G414" s="2" t="s">
        <v>165</v>
      </c>
      <c r="H414" s="2"/>
      <c r="I414" s="2"/>
      <c r="J414" s="2" t="s">
        <v>42</v>
      </c>
      <c r="K414" s="2"/>
      <c r="L414" s="4" t="s">
        <v>1033</v>
      </c>
    </row>
    <row r="415" customFormat="false" ht="15.65" hidden="false" customHeight="true" outlineLevel="0" collapsed="false">
      <c r="A415" s="5" t="str">
        <f aca="false">HYPERLINK("https://www.fabsurplus.com/sdi_catalog/salesItemDetails.do?id=109750")</f>
        <v>https://www.fabsurplus.com/sdi_catalog/salesItemDetails.do?id=109750</v>
      </c>
      <c r="B415" s="5" t="s">
        <v>1034</v>
      </c>
      <c r="C415" s="5" t="s">
        <v>645</v>
      </c>
      <c r="D415" s="5" t="s">
        <v>1035</v>
      </c>
      <c r="E415" s="5" t="s">
        <v>170</v>
      </c>
      <c r="F415" s="5" t="s">
        <v>16</v>
      </c>
      <c r="G415" s="5" t="s">
        <v>165</v>
      </c>
      <c r="H415" s="5"/>
      <c r="I415" s="5"/>
      <c r="J415" s="5" t="s">
        <v>42</v>
      </c>
      <c r="K415" s="5"/>
      <c r="L415" s="5" t="s">
        <v>1036</v>
      </c>
    </row>
    <row r="416" customFormat="false" ht="15.65" hidden="false" customHeight="true" outlineLevel="0" collapsed="false">
      <c r="A416" s="2" t="str">
        <f aca="false">HYPERLINK("https://www.fabsurplus.com/sdi_catalog/salesItemDetails.do?id=109751")</f>
        <v>https://www.fabsurplus.com/sdi_catalog/salesItemDetails.do?id=109751</v>
      </c>
      <c r="B416" s="2" t="s">
        <v>1037</v>
      </c>
      <c r="C416" s="2" t="s">
        <v>645</v>
      </c>
      <c r="D416" s="2" t="s">
        <v>1038</v>
      </c>
      <c r="E416" s="2" t="s">
        <v>170</v>
      </c>
      <c r="F416" s="2" t="s">
        <v>16</v>
      </c>
      <c r="G416" s="2" t="s">
        <v>165</v>
      </c>
      <c r="H416" s="2"/>
      <c r="I416" s="2"/>
      <c r="J416" s="2" t="s">
        <v>42</v>
      </c>
      <c r="K416" s="2"/>
      <c r="L416" s="4" t="s">
        <v>1039</v>
      </c>
    </row>
    <row r="417" customFormat="false" ht="15.65" hidden="false" customHeight="true" outlineLevel="0" collapsed="false">
      <c r="A417" s="5" t="str">
        <f aca="false">HYPERLINK("https://www.fabsurplus.com/sdi_catalog/salesItemDetails.do?id=109752")</f>
        <v>https://www.fabsurplus.com/sdi_catalog/salesItemDetails.do?id=109752</v>
      </c>
      <c r="B417" s="5" t="s">
        <v>1040</v>
      </c>
      <c r="C417" s="5" t="s">
        <v>645</v>
      </c>
      <c r="D417" s="5" t="s">
        <v>1041</v>
      </c>
      <c r="E417" s="5" t="s">
        <v>170</v>
      </c>
      <c r="F417" s="5" t="s">
        <v>16</v>
      </c>
      <c r="G417" s="5" t="s">
        <v>165</v>
      </c>
      <c r="H417" s="5"/>
      <c r="I417" s="5"/>
      <c r="J417" s="5" t="s">
        <v>42</v>
      </c>
      <c r="K417" s="5"/>
      <c r="L417" s="7" t="s">
        <v>1042</v>
      </c>
    </row>
    <row r="418" customFormat="false" ht="15.65" hidden="false" customHeight="true" outlineLevel="0" collapsed="false">
      <c r="A418" s="2" t="str">
        <f aca="false">HYPERLINK("https://www.fabsurplus.com/sdi_catalog/salesItemDetails.do?id=109753")</f>
        <v>https://www.fabsurplus.com/sdi_catalog/salesItemDetails.do?id=109753</v>
      </c>
      <c r="B418" s="2" t="s">
        <v>1043</v>
      </c>
      <c r="C418" s="2" t="s">
        <v>645</v>
      </c>
      <c r="D418" s="2" t="s">
        <v>1041</v>
      </c>
      <c r="E418" s="2" t="s">
        <v>170</v>
      </c>
      <c r="F418" s="2" t="s">
        <v>16</v>
      </c>
      <c r="G418" s="2" t="s">
        <v>165</v>
      </c>
      <c r="H418" s="2"/>
      <c r="I418" s="2"/>
      <c r="J418" s="2" t="s">
        <v>42</v>
      </c>
      <c r="K418" s="2"/>
      <c r="L418" s="4" t="s">
        <v>1042</v>
      </c>
    </row>
    <row r="419" customFormat="false" ht="15.65" hidden="false" customHeight="true" outlineLevel="0" collapsed="false">
      <c r="A419" s="5" t="str">
        <f aca="false">HYPERLINK("https://www.fabsurplus.com/sdi_catalog/salesItemDetails.do?id=109754")</f>
        <v>https://www.fabsurplus.com/sdi_catalog/salesItemDetails.do?id=109754</v>
      </c>
      <c r="B419" s="5" t="s">
        <v>1044</v>
      </c>
      <c r="C419" s="5" t="s">
        <v>645</v>
      </c>
      <c r="D419" s="5" t="s">
        <v>1041</v>
      </c>
      <c r="E419" s="5" t="s">
        <v>170</v>
      </c>
      <c r="F419" s="5" t="s">
        <v>16</v>
      </c>
      <c r="G419" s="5" t="s">
        <v>165</v>
      </c>
      <c r="H419" s="5"/>
      <c r="I419" s="5"/>
      <c r="J419" s="5" t="s">
        <v>42</v>
      </c>
      <c r="K419" s="5"/>
      <c r="L419" s="7" t="s">
        <v>1042</v>
      </c>
    </row>
    <row r="420" customFormat="false" ht="15.65" hidden="false" customHeight="true" outlineLevel="0" collapsed="false">
      <c r="A420" s="2" t="str">
        <f aca="false">HYPERLINK("https://www.fabsurplus.com/sdi_catalog/salesItemDetails.do?id=109755")</f>
        <v>https://www.fabsurplus.com/sdi_catalog/salesItemDetails.do?id=109755</v>
      </c>
      <c r="B420" s="2" t="s">
        <v>1045</v>
      </c>
      <c r="C420" s="2" t="s">
        <v>645</v>
      </c>
      <c r="D420" s="2" t="s">
        <v>1046</v>
      </c>
      <c r="E420" s="2" t="s">
        <v>170</v>
      </c>
      <c r="F420" s="2" t="s">
        <v>16</v>
      </c>
      <c r="G420" s="2" t="s">
        <v>165</v>
      </c>
      <c r="H420" s="2"/>
      <c r="I420" s="2"/>
      <c r="J420" s="2" t="s">
        <v>42</v>
      </c>
      <c r="K420" s="2"/>
      <c r="L420" s="2" t="s">
        <v>1047</v>
      </c>
    </row>
    <row r="421" customFormat="false" ht="15.65" hidden="false" customHeight="true" outlineLevel="0" collapsed="false">
      <c r="A421" s="5" t="str">
        <f aca="false">HYPERLINK("https://www.fabsurplus.com/sdi_catalog/salesItemDetails.do?id=109756")</f>
        <v>https://www.fabsurplus.com/sdi_catalog/salesItemDetails.do?id=109756</v>
      </c>
      <c r="B421" s="5" t="s">
        <v>1048</v>
      </c>
      <c r="C421" s="5" t="s">
        <v>645</v>
      </c>
      <c r="D421" s="5" t="s">
        <v>1046</v>
      </c>
      <c r="E421" s="5" t="s">
        <v>170</v>
      </c>
      <c r="F421" s="5" t="s">
        <v>16</v>
      </c>
      <c r="G421" s="5" t="s">
        <v>165</v>
      </c>
      <c r="H421" s="5"/>
      <c r="I421" s="5"/>
      <c r="J421" s="5" t="s">
        <v>42</v>
      </c>
      <c r="K421" s="5"/>
      <c r="L421" s="5" t="s">
        <v>1049</v>
      </c>
    </row>
    <row r="422" customFormat="false" ht="15.65" hidden="false" customHeight="true" outlineLevel="0" collapsed="false">
      <c r="A422" s="2" t="str">
        <f aca="false">HYPERLINK("https://www.fabsurplus.com/sdi_catalog/salesItemDetails.do?id=109757")</f>
        <v>https://www.fabsurplus.com/sdi_catalog/salesItemDetails.do?id=109757</v>
      </c>
      <c r="B422" s="2" t="s">
        <v>1050</v>
      </c>
      <c r="C422" s="2" t="s">
        <v>645</v>
      </c>
      <c r="D422" s="2" t="s">
        <v>1051</v>
      </c>
      <c r="E422" s="2" t="s">
        <v>170</v>
      </c>
      <c r="F422" s="2" t="s">
        <v>16</v>
      </c>
      <c r="G422" s="2" t="s">
        <v>165</v>
      </c>
      <c r="H422" s="2"/>
      <c r="I422" s="2"/>
      <c r="J422" s="2" t="s">
        <v>42</v>
      </c>
      <c r="K422" s="2"/>
      <c r="L422" s="4" t="s">
        <v>1052</v>
      </c>
    </row>
    <row r="423" customFormat="false" ht="15.65" hidden="false" customHeight="true" outlineLevel="0" collapsed="false">
      <c r="A423" s="5" t="str">
        <f aca="false">HYPERLINK("https://www.fabsurplus.com/sdi_catalog/salesItemDetails.do?id=109758")</f>
        <v>https://www.fabsurplus.com/sdi_catalog/salesItemDetails.do?id=109758</v>
      </c>
      <c r="B423" s="5" t="s">
        <v>1053</v>
      </c>
      <c r="C423" s="5" t="s">
        <v>645</v>
      </c>
      <c r="D423" s="5" t="s">
        <v>1054</v>
      </c>
      <c r="E423" s="5" t="s">
        <v>170</v>
      </c>
      <c r="F423" s="5" t="s">
        <v>16</v>
      </c>
      <c r="G423" s="5" t="s">
        <v>165</v>
      </c>
      <c r="H423" s="5"/>
      <c r="I423" s="5"/>
      <c r="J423" s="5" t="s">
        <v>42</v>
      </c>
      <c r="K423" s="5"/>
      <c r="L423" s="7" t="s">
        <v>1055</v>
      </c>
    </row>
    <row r="424" customFormat="false" ht="15.65" hidden="false" customHeight="true" outlineLevel="0" collapsed="false">
      <c r="A424" s="2" t="str">
        <f aca="false">HYPERLINK("https://www.fabsurplus.com/sdi_catalog/salesItemDetails.do?id=109759")</f>
        <v>https://www.fabsurplus.com/sdi_catalog/salesItemDetails.do?id=109759</v>
      </c>
      <c r="B424" s="2" t="s">
        <v>1056</v>
      </c>
      <c r="C424" s="2" t="s">
        <v>645</v>
      </c>
      <c r="D424" s="2" t="s">
        <v>1054</v>
      </c>
      <c r="E424" s="2" t="s">
        <v>170</v>
      </c>
      <c r="F424" s="2" t="s">
        <v>16</v>
      </c>
      <c r="G424" s="2" t="s">
        <v>165</v>
      </c>
      <c r="H424" s="2"/>
      <c r="I424" s="2"/>
      <c r="J424" s="2" t="s">
        <v>42</v>
      </c>
      <c r="K424" s="2"/>
      <c r="L424" s="2" t="s">
        <v>1057</v>
      </c>
    </row>
    <row r="425" customFormat="false" ht="15.65" hidden="false" customHeight="true" outlineLevel="0" collapsed="false">
      <c r="A425" s="5" t="str">
        <f aca="false">HYPERLINK("https://www.fabsurplus.com/sdi_catalog/salesItemDetails.do?id=109760")</f>
        <v>https://www.fabsurplus.com/sdi_catalog/salesItemDetails.do?id=109760</v>
      </c>
      <c r="B425" s="5" t="s">
        <v>1058</v>
      </c>
      <c r="C425" s="5" t="s">
        <v>645</v>
      </c>
      <c r="D425" s="5" t="s">
        <v>1059</v>
      </c>
      <c r="E425" s="5" t="s">
        <v>164</v>
      </c>
      <c r="F425" s="5" t="s">
        <v>16</v>
      </c>
      <c r="G425" s="5" t="s">
        <v>165</v>
      </c>
      <c r="H425" s="5"/>
      <c r="I425" s="5"/>
      <c r="J425" s="5" t="s">
        <v>42</v>
      </c>
      <c r="K425" s="5"/>
      <c r="L425" s="5" t="s">
        <v>1060</v>
      </c>
    </row>
    <row r="426" customFormat="false" ht="15.65" hidden="false" customHeight="true" outlineLevel="0" collapsed="false">
      <c r="A426" s="2" t="str">
        <f aca="false">HYPERLINK("https://www.fabsurplus.com/sdi_catalog/salesItemDetails.do?id=109761")</f>
        <v>https://www.fabsurplus.com/sdi_catalog/salesItemDetails.do?id=109761</v>
      </c>
      <c r="B426" s="2" t="s">
        <v>1061</v>
      </c>
      <c r="C426" s="2" t="s">
        <v>645</v>
      </c>
      <c r="D426" s="2" t="s">
        <v>1059</v>
      </c>
      <c r="E426" s="2" t="s">
        <v>164</v>
      </c>
      <c r="F426" s="2" t="s">
        <v>16</v>
      </c>
      <c r="G426" s="2" t="s">
        <v>165</v>
      </c>
      <c r="H426" s="2"/>
      <c r="I426" s="2"/>
      <c r="J426" s="2" t="s">
        <v>42</v>
      </c>
      <c r="K426" s="2"/>
      <c r="L426" s="2" t="s">
        <v>1060</v>
      </c>
    </row>
    <row r="427" customFormat="false" ht="15.65" hidden="false" customHeight="true" outlineLevel="0" collapsed="false">
      <c r="A427" s="5" t="str">
        <f aca="false">HYPERLINK("https://www.fabsurplus.com/sdi_catalog/salesItemDetails.do?id=109762")</f>
        <v>https://www.fabsurplus.com/sdi_catalog/salesItemDetails.do?id=109762</v>
      </c>
      <c r="B427" s="5" t="s">
        <v>1062</v>
      </c>
      <c r="C427" s="5" t="s">
        <v>645</v>
      </c>
      <c r="D427" s="5" t="s">
        <v>1059</v>
      </c>
      <c r="E427" s="5" t="s">
        <v>164</v>
      </c>
      <c r="F427" s="5" t="s">
        <v>16</v>
      </c>
      <c r="G427" s="5" t="s">
        <v>165</v>
      </c>
      <c r="H427" s="5"/>
      <c r="I427" s="5"/>
      <c r="J427" s="5" t="s">
        <v>42</v>
      </c>
      <c r="K427" s="5"/>
      <c r="L427" s="5" t="s">
        <v>1063</v>
      </c>
    </row>
    <row r="428" customFormat="false" ht="15.65" hidden="false" customHeight="true" outlineLevel="0" collapsed="false">
      <c r="A428" s="2" t="str">
        <f aca="false">HYPERLINK("https://www.fabsurplus.com/sdi_catalog/salesItemDetails.do?id=109763")</f>
        <v>https://www.fabsurplus.com/sdi_catalog/salesItemDetails.do?id=109763</v>
      </c>
      <c r="B428" s="2" t="s">
        <v>1064</v>
      </c>
      <c r="C428" s="2" t="s">
        <v>645</v>
      </c>
      <c r="D428" s="2" t="s">
        <v>292</v>
      </c>
      <c r="E428" s="2" t="s">
        <v>170</v>
      </c>
      <c r="F428" s="2" t="s">
        <v>16</v>
      </c>
      <c r="G428" s="2" t="s">
        <v>165</v>
      </c>
      <c r="H428" s="2"/>
      <c r="I428" s="2"/>
      <c r="J428" s="2" t="s">
        <v>42</v>
      </c>
      <c r="K428" s="2"/>
      <c r="L428" s="4" t="s">
        <v>1065</v>
      </c>
    </row>
    <row r="429" customFormat="false" ht="15.65" hidden="false" customHeight="true" outlineLevel="0" collapsed="false">
      <c r="A429" s="5" t="str">
        <f aca="false">HYPERLINK("https://www.fabsurplus.com/sdi_catalog/salesItemDetails.do?id=109764")</f>
        <v>https://www.fabsurplus.com/sdi_catalog/salesItemDetails.do?id=109764</v>
      </c>
      <c r="B429" s="5" t="s">
        <v>1066</v>
      </c>
      <c r="C429" s="5" t="s">
        <v>645</v>
      </c>
      <c r="D429" s="5" t="s">
        <v>292</v>
      </c>
      <c r="E429" s="5" t="s">
        <v>170</v>
      </c>
      <c r="F429" s="5" t="s">
        <v>16</v>
      </c>
      <c r="G429" s="5" t="s">
        <v>165</v>
      </c>
      <c r="H429" s="5"/>
      <c r="I429" s="5"/>
      <c r="J429" s="5" t="s">
        <v>42</v>
      </c>
      <c r="K429" s="5"/>
      <c r="L429" s="7" t="s">
        <v>1065</v>
      </c>
    </row>
    <row r="430" customFormat="false" ht="15.65" hidden="false" customHeight="true" outlineLevel="0" collapsed="false">
      <c r="A430" s="2" t="str">
        <f aca="false">HYPERLINK("https://www.fabsurplus.com/sdi_catalog/salesItemDetails.do?id=109765")</f>
        <v>https://www.fabsurplus.com/sdi_catalog/salesItemDetails.do?id=109765</v>
      </c>
      <c r="B430" s="2" t="s">
        <v>1067</v>
      </c>
      <c r="C430" s="2" t="s">
        <v>645</v>
      </c>
      <c r="D430" s="2" t="s">
        <v>292</v>
      </c>
      <c r="E430" s="2" t="s">
        <v>170</v>
      </c>
      <c r="F430" s="2" t="s">
        <v>16</v>
      </c>
      <c r="G430" s="2" t="s">
        <v>165</v>
      </c>
      <c r="H430" s="2"/>
      <c r="I430" s="2"/>
      <c r="J430" s="2" t="s">
        <v>42</v>
      </c>
      <c r="K430" s="2"/>
      <c r="L430" s="4" t="s">
        <v>1068</v>
      </c>
    </row>
    <row r="431" customFormat="false" ht="15.65" hidden="false" customHeight="true" outlineLevel="0" collapsed="false">
      <c r="A431" s="5" t="str">
        <f aca="false">HYPERLINK("https://www.fabsurplus.com/sdi_catalog/salesItemDetails.do?id=109766")</f>
        <v>https://www.fabsurplus.com/sdi_catalog/salesItemDetails.do?id=109766</v>
      </c>
      <c r="B431" s="5" t="s">
        <v>1069</v>
      </c>
      <c r="C431" s="5" t="s">
        <v>645</v>
      </c>
      <c r="D431" s="5" t="s">
        <v>292</v>
      </c>
      <c r="E431" s="5" t="s">
        <v>170</v>
      </c>
      <c r="F431" s="5" t="s">
        <v>16</v>
      </c>
      <c r="G431" s="5" t="s">
        <v>165</v>
      </c>
      <c r="H431" s="5"/>
      <c r="I431" s="5"/>
      <c r="J431" s="5" t="s">
        <v>42</v>
      </c>
      <c r="K431" s="5"/>
      <c r="L431" s="7" t="s">
        <v>1068</v>
      </c>
    </row>
    <row r="432" customFormat="false" ht="15.65" hidden="false" customHeight="true" outlineLevel="0" collapsed="false">
      <c r="A432" s="2" t="str">
        <f aca="false">HYPERLINK("https://www.fabsurplus.com/sdi_catalog/salesItemDetails.do?id=109767")</f>
        <v>https://www.fabsurplus.com/sdi_catalog/salesItemDetails.do?id=109767</v>
      </c>
      <c r="B432" s="2" t="s">
        <v>1070</v>
      </c>
      <c r="C432" s="2" t="s">
        <v>645</v>
      </c>
      <c r="D432" s="2" t="s">
        <v>292</v>
      </c>
      <c r="E432" s="2" t="s">
        <v>170</v>
      </c>
      <c r="F432" s="2" t="s">
        <v>16</v>
      </c>
      <c r="G432" s="2" t="s">
        <v>165</v>
      </c>
      <c r="H432" s="2"/>
      <c r="I432" s="2"/>
      <c r="J432" s="2" t="s">
        <v>42</v>
      </c>
      <c r="K432" s="2"/>
      <c r="L432" s="4" t="s">
        <v>1068</v>
      </c>
    </row>
    <row r="433" customFormat="false" ht="15.65" hidden="false" customHeight="true" outlineLevel="0" collapsed="false">
      <c r="A433" s="5" t="str">
        <f aca="false">HYPERLINK("https://www.fabsurplus.com/sdi_catalog/salesItemDetails.do?id=109768")</f>
        <v>https://www.fabsurplus.com/sdi_catalog/salesItemDetails.do?id=109768</v>
      </c>
      <c r="B433" s="5" t="s">
        <v>1071</v>
      </c>
      <c r="C433" s="5" t="s">
        <v>645</v>
      </c>
      <c r="D433" s="5" t="s">
        <v>292</v>
      </c>
      <c r="E433" s="5" t="s">
        <v>170</v>
      </c>
      <c r="F433" s="5" t="s">
        <v>16</v>
      </c>
      <c r="G433" s="5" t="s">
        <v>165</v>
      </c>
      <c r="H433" s="5"/>
      <c r="I433" s="5"/>
      <c r="J433" s="5" t="s">
        <v>42</v>
      </c>
      <c r="K433" s="5"/>
      <c r="L433" s="7" t="s">
        <v>1072</v>
      </c>
    </row>
    <row r="434" customFormat="false" ht="15.65" hidden="false" customHeight="true" outlineLevel="0" collapsed="false">
      <c r="A434" s="2" t="str">
        <f aca="false">HYPERLINK("https://www.fabsurplus.com/sdi_catalog/salesItemDetails.do?id=109769")</f>
        <v>https://www.fabsurplus.com/sdi_catalog/salesItemDetails.do?id=109769</v>
      </c>
      <c r="B434" s="2" t="s">
        <v>1073</v>
      </c>
      <c r="C434" s="2" t="s">
        <v>645</v>
      </c>
      <c r="D434" s="2" t="s">
        <v>292</v>
      </c>
      <c r="E434" s="2" t="s">
        <v>170</v>
      </c>
      <c r="F434" s="2" t="s">
        <v>16</v>
      </c>
      <c r="G434" s="2" t="s">
        <v>165</v>
      </c>
      <c r="H434" s="2"/>
      <c r="I434" s="2"/>
      <c r="J434" s="2" t="s">
        <v>42</v>
      </c>
      <c r="K434" s="2"/>
      <c r="L434" s="4" t="s">
        <v>1074</v>
      </c>
    </row>
    <row r="435" customFormat="false" ht="15.65" hidden="false" customHeight="true" outlineLevel="0" collapsed="false">
      <c r="A435" s="5" t="str">
        <f aca="false">HYPERLINK("https://www.fabsurplus.com/sdi_catalog/salesItemDetails.do?id=109770")</f>
        <v>https://www.fabsurplus.com/sdi_catalog/salesItemDetails.do?id=109770</v>
      </c>
      <c r="B435" s="5" t="s">
        <v>1075</v>
      </c>
      <c r="C435" s="5" t="s">
        <v>645</v>
      </c>
      <c r="D435" s="5" t="s">
        <v>292</v>
      </c>
      <c r="E435" s="5" t="s">
        <v>170</v>
      </c>
      <c r="F435" s="5" t="s">
        <v>16</v>
      </c>
      <c r="G435" s="5" t="s">
        <v>165</v>
      </c>
      <c r="H435" s="5"/>
      <c r="I435" s="5"/>
      <c r="J435" s="5" t="s">
        <v>42</v>
      </c>
      <c r="K435" s="5"/>
      <c r="L435" s="7" t="s">
        <v>1074</v>
      </c>
    </row>
    <row r="436" customFormat="false" ht="15.65" hidden="false" customHeight="true" outlineLevel="0" collapsed="false">
      <c r="A436" s="2" t="str">
        <f aca="false">HYPERLINK("https://www.fabsurplus.com/sdi_catalog/salesItemDetails.do?id=109771")</f>
        <v>https://www.fabsurplus.com/sdi_catalog/salesItemDetails.do?id=109771</v>
      </c>
      <c r="B436" s="2" t="s">
        <v>1076</v>
      </c>
      <c r="C436" s="2" t="s">
        <v>645</v>
      </c>
      <c r="D436" s="2" t="s">
        <v>292</v>
      </c>
      <c r="E436" s="2" t="s">
        <v>170</v>
      </c>
      <c r="F436" s="2" t="s">
        <v>16</v>
      </c>
      <c r="G436" s="2" t="s">
        <v>165</v>
      </c>
      <c r="H436" s="2"/>
      <c r="I436" s="2"/>
      <c r="J436" s="2" t="s">
        <v>42</v>
      </c>
      <c r="K436" s="2"/>
      <c r="L436" s="4" t="s">
        <v>1074</v>
      </c>
    </row>
    <row r="437" customFormat="false" ht="15.65" hidden="false" customHeight="true" outlineLevel="0" collapsed="false">
      <c r="A437" s="5" t="str">
        <f aca="false">HYPERLINK("https://www.fabsurplus.com/sdi_catalog/salesItemDetails.do?id=109772")</f>
        <v>https://www.fabsurplus.com/sdi_catalog/salesItemDetails.do?id=109772</v>
      </c>
      <c r="B437" s="5" t="s">
        <v>1077</v>
      </c>
      <c r="C437" s="5" t="s">
        <v>645</v>
      </c>
      <c r="D437" s="5" t="s">
        <v>1078</v>
      </c>
      <c r="E437" s="5" t="s">
        <v>170</v>
      </c>
      <c r="F437" s="5" t="s">
        <v>16</v>
      </c>
      <c r="G437" s="5" t="s">
        <v>165</v>
      </c>
      <c r="H437" s="5"/>
      <c r="I437" s="5"/>
      <c r="J437" s="5" t="s">
        <v>42</v>
      </c>
      <c r="K437" s="5"/>
      <c r="L437" s="7" t="s">
        <v>1079</v>
      </c>
    </row>
    <row r="438" customFormat="false" ht="15.65" hidden="false" customHeight="true" outlineLevel="0" collapsed="false">
      <c r="A438" s="2" t="str">
        <f aca="false">HYPERLINK("https://www.fabsurplus.com/sdi_catalog/salesItemDetails.do?id=109773")</f>
        <v>https://www.fabsurplus.com/sdi_catalog/salesItemDetails.do?id=109773</v>
      </c>
      <c r="B438" s="2" t="s">
        <v>1080</v>
      </c>
      <c r="C438" s="2" t="s">
        <v>645</v>
      </c>
      <c r="D438" s="2" t="s">
        <v>244</v>
      </c>
      <c r="E438" s="2" t="s">
        <v>170</v>
      </c>
      <c r="F438" s="2" t="s">
        <v>16</v>
      </c>
      <c r="G438" s="2" t="s">
        <v>165</v>
      </c>
      <c r="H438" s="2"/>
      <c r="I438" s="2"/>
      <c r="J438" s="2" t="s">
        <v>42</v>
      </c>
      <c r="K438" s="2"/>
      <c r="L438" s="2" t="s">
        <v>1081</v>
      </c>
    </row>
    <row r="439" customFormat="false" ht="15.65" hidden="false" customHeight="true" outlineLevel="0" collapsed="false">
      <c r="A439" s="5" t="str">
        <f aca="false">HYPERLINK("https://www.fabsurplus.com/sdi_catalog/salesItemDetails.do?id=109774")</f>
        <v>https://www.fabsurplus.com/sdi_catalog/salesItemDetails.do?id=109774</v>
      </c>
      <c r="B439" s="5" t="s">
        <v>1082</v>
      </c>
      <c r="C439" s="5" t="s">
        <v>645</v>
      </c>
      <c r="D439" s="5" t="s">
        <v>1083</v>
      </c>
      <c r="E439" s="5" t="s">
        <v>170</v>
      </c>
      <c r="F439" s="5" t="s">
        <v>16</v>
      </c>
      <c r="G439" s="5" t="s">
        <v>165</v>
      </c>
      <c r="H439" s="5"/>
      <c r="I439" s="5"/>
      <c r="J439" s="5" t="s">
        <v>42</v>
      </c>
      <c r="K439" s="5"/>
      <c r="L439" s="5" t="s">
        <v>1084</v>
      </c>
    </row>
    <row r="440" customFormat="false" ht="15.65" hidden="false" customHeight="true" outlineLevel="0" collapsed="false">
      <c r="A440" s="2" t="str">
        <f aca="false">HYPERLINK("https://www.fabsurplus.com/sdi_catalog/salesItemDetails.do?id=109775")</f>
        <v>https://www.fabsurplus.com/sdi_catalog/salesItemDetails.do?id=109775</v>
      </c>
      <c r="B440" s="2" t="s">
        <v>1085</v>
      </c>
      <c r="C440" s="2" t="s">
        <v>645</v>
      </c>
      <c r="D440" s="2" t="s">
        <v>1083</v>
      </c>
      <c r="E440" s="2" t="s">
        <v>170</v>
      </c>
      <c r="F440" s="2" t="s">
        <v>16</v>
      </c>
      <c r="G440" s="2" t="s">
        <v>165</v>
      </c>
      <c r="H440" s="2"/>
      <c r="I440" s="2"/>
      <c r="J440" s="2" t="s">
        <v>42</v>
      </c>
      <c r="K440" s="2"/>
      <c r="L440" s="2" t="s">
        <v>1084</v>
      </c>
    </row>
    <row r="441" customFormat="false" ht="15.65" hidden="false" customHeight="true" outlineLevel="0" collapsed="false">
      <c r="A441" s="5" t="str">
        <f aca="false">HYPERLINK("https://www.fabsurplus.com/sdi_catalog/salesItemDetails.do?id=109776")</f>
        <v>https://www.fabsurplus.com/sdi_catalog/salesItemDetails.do?id=109776</v>
      </c>
      <c r="B441" s="5" t="s">
        <v>1086</v>
      </c>
      <c r="C441" s="5" t="s">
        <v>645</v>
      </c>
      <c r="D441" s="5" t="s">
        <v>1083</v>
      </c>
      <c r="E441" s="5" t="s">
        <v>170</v>
      </c>
      <c r="F441" s="5" t="s">
        <v>16</v>
      </c>
      <c r="G441" s="5" t="s">
        <v>165</v>
      </c>
      <c r="H441" s="5"/>
      <c r="I441" s="5"/>
      <c r="J441" s="5" t="s">
        <v>42</v>
      </c>
      <c r="K441" s="5"/>
      <c r="L441" s="5" t="s">
        <v>1084</v>
      </c>
    </row>
    <row r="442" customFormat="false" ht="15.65" hidden="false" customHeight="true" outlineLevel="0" collapsed="false">
      <c r="A442" s="2" t="str">
        <f aca="false">HYPERLINK("https://www.fabsurplus.com/sdi_catalog/salesItemDetails.do?id=109777")</f>
        <v>https://www.fabsurplus.com/sdi_catalog/salesItemDetails.do?id=109777</v>
      </c>
      <c r="B442" s="2" t="s">
        <v>1087</v>
      </c>
      <c r="C442" s="2" t="s">
        <v>645</v>
      </c>
      <c r="D442" s="2" t="s">
        <v>1083</v>
      </c>
      <c r="E442" s="2" t="s">
        <v>170</v>
      </c>
      <c r="F442" s="2" t="s">
        <v>16</v>
      </c>
      <c r="G442" s="2" t="s">
        <v>165</v>
      </c>
      <c r="H442" s="2"/>
      <c r="I442" s="2"/>
      <c r="J442" s="2" t="s">
        <v>42</v>
      </c>
      <c r="K442" s="2"/>
      <c r="L442" s="2" t="s">
        <v>1088</v>
      </c>
    </row>
    <row r="443" customFormat="false" ht="15.65" hidden="false" customHeight="true" outlineLevel="0" collapsed="false">
      <c r="A443" s="5" t="str">
        <f aca="false">HYPERLINK("https://www.fabsurplus.com/sdi_catalog/salesItemDetails.do?id=109778")</f>
        <v>https://www.fabsurplus.com/sdi_catalog/salesItemDetails.do?id=109778</v>
      </c>
      <c r="B443" s="5" t="s">
        <v>1089</v>
      </c>
      <c r="C443" s="5" t="s">
        <v>645</v>
      </c>
      <c r="D443" s="5" t="s">
        <v>1090</v>
      </c>
      <c r="E443" s="5" t="s">
        <v>170</v>
      </c>
      <c r="F443" s="5" t="s">
        <v>16</v>
      </c>
      <c r="G443" s="5" t="s">
        <v>165</v>
      </c>
      <c r="H443" s="5"/>
      <c r="I443" s="5"/>
      <c r="J443" s="5" t="s">
        <v>42</v>
      </c>
      <c r="K443" s="5"/>
      <c r="L443" s="5" t="s">
        <v>1091</v>
      </c>
    </row>
    <row r="444" customFormat="false" ht="15.65" hidden="false" customHeight="true" outlineLevel="0" collapsed="false">
      <c r="A444" s="2" t="str">
        <f aca="false">HYPERLINK("https://www.fabsurplus.com/sdi_catalog/salesItemDetails.do?id=109779")</f>
        <v>https://www.fabsurplus.com/sdi_catalog/salesItemDetails.do?id=109779</v>
      </c>
      <c r="B444" s="2" t="s">
        <v>1092</v>
      </c>
      <c r="C444" s="2" t="s">
        <v>645</v>
      </c>
      <c r="D444" s="2" t="s">
        <v>295</v>
      </c>
      <c r="E444" s="2" t="s">
        <v>170</v>
      </c>
      <c r="F444" s="2" t="s">
        <v>16</v>
      </c>
      <c r="G444" s="2" t="s">
        <v>165</v>
      </c>
      <c r="H444" s="2"/>
      <c r="I444" s="2"/>
      <c r="J444" s="2" t="s">
        <v>42</v>
      </c>
      <c r="K444" s="2"/>
      <c r="L444" s="2" t="s">
        <v>1093</v>
      </c>
    </row>
    <row r="445" customFormat="false" ht="15.65" hidden="false" customHeight="true" outlineLevel="0" collapsed="false">
      <c r="A445" s="5" t="str">
        <f aca="false">HYPERLINK("https://www.fabsurplus.com/sdi_catalog/salesItemDetails.do?id=109780")</f>
        <v>https://www.fabsurplus.com/sdi_catalog/salesItemDetails.do?id=109780</v>
      </c>
      <c r="B445" s="5" t="s">
        <v>1094</v>
      </c>
      <c r="C445" s="5" t="s">
        <v>645</v>
      </c>
      <c r="D445" s="5" t="s">
        <v>295</v>
      </c>
      <c r="E445" s="5" t="s">
        <v>170</v>
      </c>
      <c r="F445" s="5" t="s">
        <v>16</v>
      </c>
      <c r="G445" s="5" t="s">
        <v>165</v>
      </c>
      <c r="H445" s="5"/>
      <c r="I445" s="5"/>
      <c r="J445" s="5" t="s">
        <v>42</v>
      </c>
      <c r="K445" s="5"/>
      <c r="L445" s="5" t="s">
        <v>1095</v>
      </c>
    </row>
    <row r="446" customFormat="false" ht="15.65" hidden="false" customHeight="true" outlineLevel="0" collapsed="false">
      <c r="A446" s="2" t="str">
        <f aca="false">HYPERLINK("https://www.fabsurplus.com/sdi_catalog/salesItemDetails.do?id=109781")</f>
        <v>https://www.fabsurplus.com/sdi_catalog/salesItemDetails.do?id=109781</v>
      </c>
      <c r="B446" s="2" t="s">
        <v>1096</v>
      </c>
      <c r="C446" s="2" t="s">
        <v>645</v>
      </c>
      <c r="D446" s="2" t="s">
        <v>295</v>
      </c>
      <c r="E446" s="2" t="s">
        <v>170</v>
      </c>
      <c r="F446" s="2" t="s">
        <v>16</v>
      </c>
      <c r="G446" s="2" t="s">
        <v>165</v>
      </c>
      <c r="H446" s="2"/>
      <c r="I446" s="2"/>
      <c r="J446" s="2" t="s">
        <v>42</v>
      </c>
      <c r="K446" s="2"/>
      <c r="L446" s="2" t="s">
        <v>1097</v>
      </c>
    </row>
    <row r="447" customFormat="false" ht="15.65" hidden="false" customHeight="true" outlineLevel="0" collapsed="false">
      <c r="A447" s="5" t="str">
        <f aca="false">HYPERLINK("https://www.fabsurplus.com/sdi_catalog/salesItemDetails.do?id=109782")</f>
        <v>https://www.fabsurplus.com/sdi_catalog/salesItemDetails.do?id=109782</v>
      </c>
      <c r="B447" s="5" t="s">
        <v>1098</v>
      </c>
      <c r="C447" s="5" t="s">
        <v>645</v>
      </c>
      <c r="D447" s="5" t="s">
        <v>295</v>
      </c>
      <c r="E447" s="5" t="s">
        <v>170</v>
      </c>
      <c r="F447" s="5" t="s">
        <v>16</v>
      </c>
      <c r="G447" s="5" t="s">
        <v>165</v>
      </c>
      <c r="H447" s="5"/>
      <c r="I447" s="5"/>
      <c r="J447" s="5" t="s">
        <v>42</v>
      </c>
      <c r="K447" s="5"/>
      <c r="L447" s="5" t="s">
        <v>1099</v>
      </c>
    </row>
    <row r="448" customFormat="false" ht="15.65" hidden="false" customHeight="true" outlineLevel="0" collapsed="false">
      <c r="A448" s="2" t="str">
        <f aca="false">HYPERLINK("https://www.fabsurplus.com/sdi_catalog/salesItemDetails.do?id=109783")</f>
        <v>https://www.fabsurplus.com/sdi_catalog/salesItemDetails.do?id=109783</v>
      </c>
      <c r="B448" s="2" t="s">
        <v>1100</v>
      </c>
      <c r="C448" s="2" t="s">
        <v>645</v>
      </c>
      <c r="D448" s="2" t="s">
        <v>295</v>
      </c>
      <c r="E448" s="2" t="s">
        <v>170</v>
      </c>
      <c r="F448" s="2" t="s">
        <v>16</v>
      </c>
      <c r="G448" s="2" t="s">
        <v>165</v>
      </c>
      <c r="H448" s="2"/>
      <c r="I448" s="2"/>
      <c r="J448" s="2" t="s">
        <v>42</v>
      </c>
      <c r="K448" s="2"/>
      <c r="L448" s="2" t="s">
        <v>1101</v>
      </c>
    </row>
    <row r="449" customFormat="false" ht="15.65" hidden="false" customHeight="true" outlineLevel="0" collapsed="false">
      <c r="A449" s="5" t="str">
        <f aca="false">HYPERLINK("https://www.fabsurplus.com/sdi_catalog/salesItemDetails.do?id=109784")</f>
        <v>https://www.fabsurplus.com/sdi_catalog/salesItemDetails.do?id=109784</v>
      </c>
      <c r="B449" s="5" t="s">
        <v>1102</v>
      </c>
      <c r="C449" s="5" t="s">
        <v>645</v>
      </c>
      <c r="D449" s="5" t="s">
        <v>1103</v>
      </c>
      <c r="E449" s="5" t="s">
        <v>170</v>
      </c>
      <c r="F449" s="5" t="s">
        <v>16</v>
      </c>
      <c r="G449" s="5" t="s">
        <v>165</v>
      </c>
      <c r="H449" s="5"/>
      <c r="I449" s="5"/>
      <c r="J449" s="5" t="s">
        <v>42</v>
      </c>
      <c r="K449" s="5"/>
      <c r="L449" s="5" t="s">
        <v>1104</v>
      </c>
    </row>
    <row r="450" customFormat="false" ht="15.65" hidden="false" customHeight="true" outlineLevel="0" collapsed="false">
      <c r="A450" s="2" t="str">
        <f aca="false">HYPERLINK("https://www.fabsurplus.com/sdi_catalog/salesItemDetails.do?id=109785")</f>
        <v>https://www.fabsurplus.com/sdi_catalog/salesItemDetails.do?id=109785</v>
      </c>
      <c r="B450" s="2" t="s">
        <v>1105</v>
      </c>
      <c r="C450" s="2" t="s">
        <v>645</v>
      </c>
      <c r="D450" s="2" t="s">
        <v>1103</v>
      </c>
      <c r="E450" s="2" t="s">
        <v>170</v>
      </c>
      <c r="F450" s="2" t="s">
        <v>16</v>
      </c>
      <c r="G450" s="2" t="s">
        <v>165</v>
      </c>
      <c r="H450" s="2"/>
      <c r="I450" s="2"/>
      <c r="J450" s="2" t="s">
        <v>42</v>
      </c>
      <c r="K450" s="2"/>
      <c r="L450" s="2" t="s">
        <v>1104</v>
      </c>
    </row>
    <row r="451" customFormat="false" ht="15.65" hidden="false" customHeight="true" outlineLevel="0" collapsed="false">
      <c r="A451" s="5" t="str">
        <f aca="false">HYPERLINK("https://www.fabsurplus.com/sdi_catalog/salesItemDetails.do?id=109786")</f>
        <v>https://www.fabsurplus.com/sdi_catalog/salesItemDetails.do?id=109786</v>
      </c>
      <c r="B451" s="5" t="s">
        <v>1106</v>
      </c>
      <c r="C451" s="5" t="s">
        <v>645</v>
      </c>
      <c r="D451" s="5" t="s">
        <v>1103</v>
      </c>
      <c r="E451" s="5" t="s">
        <v>170</v>
      </c>
      <c r="F451" s="5" t="s">
        <v>16</v>
      </c>
      <c r="G451" s="5" t="s">
        <v>165</v>
      </c>
      <c r="H451" s="5"/>
      <c r="I451" s="5"/>
      <c r="J451" s="5" t="s">
        <v>42</v>
      </c>
      <c r="K451" s="5"/>
      <c r="L451" s="5" t="s">
        <v>1104</v>
      </c>
    </row>
    <row r="452" customFormat="false" ht="15.65" hidden="false" customHeight="true" outlineLevel="0" collapsed="false">
      <c r="A452" s="2" t="str">
        <f aca="false">HYPERLINK("https://www.fabsurplus.com/sdi_catalog/salesItemDetails.do?id=109787")</f>
        <v>https://www.fabsurplus.com/sdi_catalog/salesItemDetails.do?id=109787</v>
      </c>
      <c r="B452" s="2" t="s">
        <v>1107</v>
      </c>
      <c r="C452" s="2" t="s">
        <v>645</v>
      </c>
      <c r="D452" s="2" t="s">
        <v>1103</v>
      </c>
      <c r="E452" s="2" t="s">
        <v>170</v>
      </c>
      <c r="F452" s="2" t="s">
        <v>16</v>
      </c>
      <c r="G452" s="2" t="s">
        <v>165</v>
      </c>
      <c r="H452" s="2"/>
      <c r="I452" s="2"/>
      <c r="J452" s="2" t="s">
        <v>42</v>
      </c>
      <c r="K452" s="2"/>
      <c r="L452" s="2" t="s">
        <v>1104</v>
      </c>
    </row>
    <row r="453" customFormat="false" ht="15.65" hidden="false" customHeight="true" outlineLevel="0" collapsed="false">
      <c r="A453" s="5" t="str">
        <f aca="false">HYPERLINK("https://www.fabsurplus.com/sdi_catalog/salesItemDetails.do?id=109788")</f>
        <v>https://www.fabsurplus.com/sdi_catalog/salesItemDetails.do?id=109788</v>
      </c>
      <c r="B453" s="5" t="s">
        <v>1108</v>
      </c>
      <c r="C453" s="5" t="s">
        <v>645</v>
      </c>
      <c r="D453" s="5" t="s">
        <v>1103</v>
      </c>
      <c r="E453" s="5" t="s">
        <v>170</v>
      </c>
      <c r="F453" s="5" t="s">
        <v>16</v>
      </c>
      <c r="G453" s="5" t="s">
        <v>165</v>
      </c>
      <c r="H453" s="5"/>
      <c r="I453" s="5"/>
      <c r="J453" s="5" t="s">
        <v>42</v>
      </c>
      <c r="K453" s="5"/>
      <c r="L453" s="5" t="s">
        <v>1109</v>
      </c>
    </row>
    <row r="454" customFormat="false" ht="15.65" hidden="false" customHeight="true" outlineLevel="0" collapsed="false">
      <c r="A454" s="2" t="str">
        <f aca="false">HYPERLINK("https://www.fabsurplus.com/sdi_catalog/salesItemDetails.do?id=109789")</f>
        <v>https://www.fabsurplus.com/sdi_catalog/salesItemDetails.do?id=109789</v>
      </c>
      <c r="B454" s="2" t="s">
        <v>1110</v>
      </c>
      <c r="C454" s="2" t="s">
        <v>645</v>
      </c>
      <c r="D454" s="2" t="s">
        <v>1103</v>
      </c>
      <c r="E454" s="2" t="s">
        <v>170</v>
      </c>
      <c r="F454" s="2" t="s">
        <v>16</v>
      </c>
      <c r="G454" s="2" t="s">
        <v>165</v>
      </c>
      <c r="H454" s="2"/>
      <c r="I454" s="2"/>
      <c r="J454" s="2" t="s">
        <v>42</v>
      </c>
      <c r="K454" s="2"/>
      <c r="L454" s="2" t="s">
        <v>1109</v>
      </c>
    </row>
    <row r="455" customFormat="false" ht="15.65" hidden="false" customHeight="true" outlineLevel="0" collapsed="false">
      <c r="A455" s="5" t="str">
        <f aca="false">HYPERLINK("https://www.fabsurplus.com/sdi_catalog/salesItemDetails.do?id=109790")</f>
        <v>https://www.fabsurplus.com/sdi_catalog/salesItemDetails.do?id=109790</v>
      </c>
      <c r="B455" s="5" t="s">
        <v>1111</v>
      </c>
      <c r="C455" s="5" t="s">
        <v>645</v>
      </c>
      <c r="D455" s="5" t="s">
        <v>1103</v>
      </c>
      <c r="E455" s="5" t="s">
        <v>170</v>
      </c>
      <c r="F455" s="5" t="s">
        <v>16</v>
      </c>
      <c r="G455" s="5" t="s">
        <v>165</v>
      </c>
      <c r="H455" s="5"/>
      <c r="I455" s="5"/>
      <c r="J455" s="5" t="s">
        <v>42</v>
      </c>
      <c r="K455" s="5"/>
      <c r="L455" s="5" t="s">
        <v>1109</v>
      </c>
    </row>
    <row r="456" customFormat="false" ht="15.65" hidden="false" customHeight="true" outlineLevel="0" collapsed="false">
      <c r="A456" s="2" t="str">
        <f aca="false">HYPERLINK("https://www.fabsurplus.com/sdi_catalog/salesItemDetails.do?id=109791")</f>
        <v>https://www.fabsurplus.com/sdi_catalog/salesItemDetails.do?id=109791</v>
      </c>
      <c r="B456" s="2" t="s">
        <v>1112</v>
      </c>
      <c r="C456" s="2" t="s">
        <v>645</v>
      </c>
      <c r="D456" s="2" t="s">
        <v>1113</v>
      </c>
      <c r="E456" s="2" t="s">
        <v>170</v>
      </c>
      <c r="F456" s="2" t="s">
        <v>16</v>
      </c>
      <c r="G456" s="2" t="s">
        <v>165</v>
      </c>
      <c r="H456" s="2"/>
      <c r="I456" s="2"/>
      <c r="J456" s="2" t="s">
        <v>42</v>
      </c>
      <c r="K456" s="2"/>
      <c r="L456" s="2" t="s">
        <v>1114</v>
      </c>
    </row>
    <row r="457" customFormat="false" ht="15.65" hidden="false" customHeight="true" outlineLevel="0" collapsed="false">
      <c r="A457" s="5" t="str">
        <f aca="false">HYPERLINK("https://www.fabsurplus.com/sdi_catalog/salesItemDetails.do?id=109792")</f>
        <v>https://www.fabsurplus.com/sdi_catalog/salesItemDetails.do?id=109792</v>
      </c>
      <c r="B457" s="5" t="s">
        <v>1115</v>
      </c>
      <c r="C457" s="5" t="s">
        <v>645</v>
      </c>
      <c r="D457" s="5" t="s">
        <v>1113</v>
      </c>
      <c r="E457" s="5" t="s">
        <v>170</v>
      </c>
      <c r="F457" s="5" t="s">
        <v>16</v>
      </c>
      <c r="G457" s="5" t="s">
        <v>165</v>
      </c>
      <c r="H457" s="5"/>
      <c r="I457" s="5"/>
      <c r="J457" s="5" t="s">
        <v>42</v>
      </c>
      <c r="K457" s="5"/>
      <c r="L457" s="5" t="s">
        <v>1114</v>
      </c>
    </row>
    <row r="458" customFormat="false" ht="15.65" hidden="false" customHeight="true" outlineLevel="0" collapsed="false">
      <c r="A458" s="2" t="str">
        <f aca="false">HYPERLINK("https://www.fabsurplus.com/sdi_catalog/salesItemDetails.do?id=109793")</f>
        <v>https://www.fabsurplus.com/sdi_catalog/salesItemDetails.do?id=109793</v>
      </c>
      <c r="B458" s="2" t="s">
        <v>1116</v>
      </c>
      <c r="C458" s="2" t="s">
        <v>645</v>
      </c>
      <c r="D458" s="2" t="s">
        <v>1113</v>
      </c>
      <c r="E458" s="2" t="s">
        <v>170</v>
      </c>
      <c r="F458" s="2" t="s">
        <v>16</v>
      </c>
      <c r="G458" s="2" t="s">
        <v>165</v>
      </c>
      <c r="H458" s="2"/>
      <c r="I458" s="2"/>
      <c r="J458" s="2" t="s">
        <v>42</v>
      </c>
      <c r="K458" s="2"/>
      <c r="L458" s="2" t="s">
        <v>1117</v>
      </c>
    </row>
    <row r="459" customFormat="false" ht="15.65" hidden="false" customHeight="true" outlineLevel="0" collapsed="false">
      <c r="A459" s="5" t="str">
        <f aca="false">HYPERLINK("https://www.fabsurplus.com/sdi_catalog/salesItemDetails.do?id=109794")</f>
        <v>https://www.fabsurplus.com/sdi_catalog/salesItemDetails.do?id=109794</v>
      </c>
      <c r="B459" s="5" t="s">
        <v>1118</v>
      </c>
      <c r="C459" s="5" t="s">
        <v>645</v>
      </c>
      <c r="D459" s="5" t="s">
        <v>1119</v>
      </c>
      <c r="E459" s="5" t="s">
        <v>170</v>
      </c>
      <c r="F459" s="5" t="s">
        <v>16</v>
      </c>
      <c r="G459" s="5" t="s">
        <v>165</v>
      </c>
      <c r="H459" s="5"/>
      <c r="I459" s="5"/>
      <c r="J459" s="5" t="s">
        <v>42</v>
      </c>
      <c r="K459" s="5"/>
      <c r="L459" s="7" t="s">
        <v>1120</v>
      </c>
    </row>
    <row r="460" customFormat="false" ht="15.65" hidden="false" customHeight="true" outlineLevel="0" collapsed="false">
      <c r="A460" s="2" t="str">
        <f aca="false">HYPERLINK("https://www.fabsurplus.com/sdi_catalog/salesItemDetails.do?id=109795")</f>
        <v>https://www.fabsurplus.com/sdi_catalog/salesItemDetails.do?id=109795</v>
      </c>
      <c r="B460" s="2" t="s">
        <v>1121</v>
      </c>
      <c r="C460" s="2" t="s">
        <v>645</v>
      </c>
      <c r="D460" s="2" t="s">
        <v>1119</v>
      </c>
      <c r="E460" s="2" t="s">
        <v>170</v>
      </c>
      <c r="F460" s="2" t="s">
        <v>16</v>
      </c>
      <c r="G460" s="2" t="s">
        <v>165</v>
      </c>
      <c r="H460" s="2"/>
      <c r="I460" s="2"/>
      <c r="J460" s="2" t="s">
        <v>42</v>
      </c>
      <c r="K460" s="2"/>
      <c r="L460" s="2" t="s">
        <v>1122</v>
      </c>
    </row>
    <row r="461" customFormat="false" ht="15.65" hidden="false" customHeight="true" outlineLevel="0" collapsed="false">
      <c r="A461" s="5" t="str">
        <f aca="false">HYPERLINK("https://www.fabsurplus.com/sdi_catalog/salesItemDetails.do?id=109796")</f>
        <v>https://www.fabsurplus.com/sdi_catalog/salesItemDetails.do?id=109796</v>
      </c>
      <c r="B461" s="5" t="s">
        <v>1123</v>
      </c>
      <c r="C461" s="5" t="s">
        <v>645</v>
      </c>
      <c r="D461" s="5" t="s">
        <v>1124</v>
      </c>
      <c r="E461" s="5" t="s">
        <v>170</v>
      </c>
      <c r="F461" s="5" t="s">
        <v>16</v>
      </c>
      <c r="G461" s="5" t="s">
        <v>165</v>
      </c>
      <c r="H461" s="5"/>
      <c r="I461" s="5"/>
      <c r="J461" s="5" t="s">
        <v>42</v>
      </c>
      <c r="K461" s="5"/>
      <c r="L461" s="5" t="s">
        <v>1125</v>
      </c>
    </row>
    <row r="462" customFormat="false" ht="15.65" hidden="false" customHeight="true" outlineLevel="0" collapsed="false">
      <c r="A462" s="2" t="str">
        <f aca="false">HYPERLINK("https://www.fabsurplus.com/sdi_catalog/salesItemDetails.do?id=109797")</f>
        <v>https://www.fabsurplus.com/sdi_catalog/salesItemDetails.do?id=109797</v>
      </c>
      <c r="B462" s="2" t="s">
        <v>1126</v>
      </c>
      <c r="C462" s="2" t="s">
        <v>645</v>
      </c>
      <c r="D462" s="2" t="s">
        <v>1124</v>
      </c>
      <c r="E462" s="2" t="s">
        <v>170</v>
      </c>
      <c r="F462" s="2" t="s">
        <v>16</v>
      </c>
      <c r="G462" s="2" t="s">
        <v>165</v>
      </c>
      <c r="H462" s="2"/>
      <c r="I462" s="2"/>
      <c r="J462" s="2" t="s">
        <v>42</v>
      </c>
      <c r="K462" s="2"/>
      <c r="L462" s="2" t="s">
        <v>1125</v>
      </c>
    </row>
    <row r="463" customFormat="false" ht="15.65" hidden="false" customHeight="true" outlineLevel="0" collapsed="false">
      <c r="A463" s="5" t="str">
        <f aca="false">HYPERLINK("https://www.fabsurplus.com/sdi_catalog/salesItemDetails.do?id=109798")</f>
        <v>https://www.fabsurplus.com/sdi_catalog/salesItemDetails.do?id=109798</v>
      </c>
      <c r="B463" s="5" t="s">
        <v>1127</v>
      </c>
      <c r="C463" s="5" t="s">
        <v>645</v>
      </c>
      <c r="D463" s="5" t="s">
        <v>1124</v>
      </c>
      <c r="E463" s="5" t="s">
        <v>170</v>
      </c>
      <c r="F463" s="5" t="s">
        <v>16</v>
      </c>
      <c r="G463" s="5" t="s">
        <v>165</v>
      </c>
      <c r="H463" s="5"/>
      <c r="I463" s="5"/>
      <c r="J463" s="5" t="s">
        <v>42</v>
      </c>
      <c r="K463" s="5"/>
      <c r="L463" s="5" t="s">
        <v>1125</v>
      </c>
    </row>
    <row r="464" customFormat="false" ht="15.65" hidden="false" customHeight="true" outlineLevel="0" collapsed="false">
      <c r="A464" s="2" t="str">
        <f aca="false">HYPERLINK("https://www.fabsurplus.com/sdi_catalog/salesItemDetails.do?id=109799")</f>
        <v>https://www.fabsurplus.com/sdi_catalog/salesItemDetails.do?id=109799</v>
      </c>
      <c r="B464" s="2" t="s">
        <v>1128</v>
      </c>
      <c r="C464" s="2" t="s">
        <v>645</v>
      </c>
      <c r="D464" s="2" t="s">
        <v>1124</v>
      </c>
      <c r="E464" s="2" t="s">
        <v>170</v>
      </c>
      <c r="F464" s="2" t="s">
        <v>16</v>
      </c>
      <c r="G464" s="2" t="s">
        <v>165</v>
      </c>
      <c r="H464" s="2"/>
      <c r="I464" s="2"/>
      <c r="J464" s="2" t="s">
        <v>42</v>
      </c>
      <c r="K464" s="2"/>
      <c r="L464" s="2" t="s">
        <v>1125</v>
      </c>
    </row>
    <row r="465" customFormat="false" ht="15.65" hidden="false" customHeight="true" outlineLevel="0" collapsed="false">
      <c r="A465" s="5" t="str">
        <f aca="false">HYPERLINK("https://www.fabsurplus.com/sdi_catalog/salesItemDetails.do?id=109800")</f>
        <v>https://www.fabsurplus.com/sdi_catalog/salesItemDetails.do?id=109800</v>
      </c>
      <c r="B465" s="5" t="s">
        <v>1129</v>
      </c>
      <c r="C465" s="5" t="s">
        <v>645</v>
      </c>
      <c r="D465" s="5" t="s">
        <v>1124</v>
      </c>
      <c r="E465" s="5" t="s">
        <v>170</v>
      </c>
      <c r="F465" s="5" t="s">
        <v>16</v>
      </c>
      <c r="G465" s="5" t="s">
        <v>165</v>
      </c>
      <c r="H465" s="5"/>
      <c r="I465" s="5"/>
      <c r="J465" s="5" t="s">
        <v>42</v>
      </c>
      <c r="K465" s="5"/>
      <c r="L465" s="5" t="s">
        <v>1125</v>
      </c>
    </row>
    <row r="466" customFormat="false" ht="15.65" hidden="false" customHeight="true" outlineLevel="0" collapsed="false">
      <c r="A466" s="2" t="str">
        <f aca="false">HYPERLINK("https://www.fabsurplus.com/sdi_catalog/salesItemDetails.do?id=109801")</f>
        <v>https://www.fabsurplus.com/sdi_catalog/salesItemDetails.do?id=109801</v>
      </c>
      <c r="B466" s="2" t="s">
        <v>1130</v>
      </c>
      <c r="C466" s="2" t="s">
        <v>645</v>
      </c>
      <c r="D466" s="2" t="s">
        <v>1124</v>
      </c>
      <c r="E466" s="2" t="s">
        <v>170</v>
      </c>
      <c r="F466" s="2" t="s">
        <v>16</v>
      </c>
      <c r="G466" s="2" t="s">
        <v>165</v>
      </c>
      <c r="H466" s="2"/>
      <c r="I466" s="2"/>
      <c r="J466" s="2" t="s">
        <v>42</v>
      </c>
      <c r="K466" s="2"/>
      <c r="L466" s="2" t="s">
        <v>1125</v>
      </c>
    </row>
    <row r="467" customFormat="false" ht="15.65" hidden="false" customHeight="true" outlineLevel="0" collapsed="false">
      <c r="A467" s="5" t="str">
        <f aca="false">HYPERLINK("https://www.fabsurplus.com/sdi_catalog/salesItemDetails.do?id=109802")</f>
        <v>https://www.fabsurplus.com/sdi_catalog/salesItemDetails.do?id=109802</v>
      </c>
      <c r="B467" s="5" t="s">
        <v>1131</v>
      </c>
      <c r="C467" s="5" t="s">
        <v>645</v>
      </c>
      <c r="D467" s="5" t="s">
        <v>1132</v>
      </c>
      <c r="E467" s="5" t="s">
        <v>170</v>
      </c>
      <c r="F467" s="5" t="s">
        <v>16</v>
      </c>
      <c r="G467" s="5" t="s">
        <v>165</v>
      </c>
      <c r="H467" s="5"/>
      <c r="I467" s="5"/>
      <c r="J467" s="5" t="s">
        <v>42</v>
      </c>
      <c r="K467" s="5"/>
      <c r="L467" s="5" t="s">
        <v>1133</v>
      </c>
    </row>
    <row r="468" customFormat="false" ht="15.65" hidden="false" customHeight="true" outlineLevel="0" collapsed="false">
      <c r="A468" s="2" t="str">
        <f aca="false">HYPERLINK("https://www.fabsurplus.com/sdi_catalog/salesItemDetails.do?id=109803")</f>
        <v>https://www.fabsurplus.com/sdi_catalog/salesItemDetails.do?id=109803</v>
      </c>
      <c r="B468" s="2" t="s">
        <v>1134</v>
      </c>
      <c r="C468" s="2" t="s">
        <v>645</v>
      </c>
      <c r="D468" s="2" t="s">
        <v>1132</v>
      </c>
      <c r="E468" s="2" t="s">
        <v>170</v>
      </c>
      <c r="F468" s="2" t="s">
        <v>16</v>
      </c>
      <c r="G468" s="2" t="s">
        <v>165</v>
      </c>
      <c r="H468" s="2"/>
      <c r="I468" s="2"/>
      <c r="J468" s="2" t="s">
        <v>42</v>
      </c>
      <c r="K468" s="2"/>
      <c r="L468" s="2" t="s">
        <v>1135</v>
      </c>
    </row>
    <row r="469" customFormat="false" ht="15.65" hidden="false" customHeight="true" outlineLevel="0" collapsed="false">
      <c r="A469" s="5" t="str">
        <f aca="false">HYPERLINK("https://www.fabsurplus.com/sdi_catalog/salesItemDetails.do?id=109804")</f>
        <v>https://www.fabsurplus.com/sdi_catalog/salesItemDetails.do?id=109804</v>
      </c>
      <c r="B469" s="5" t="s">
        <v>1136</v>
      </c>
      <c r="C469" s="5" t="s">
        <v>645</v>
      </c>
      <c r="D469" s="5" t="s">
        <v>1132</v>
      </c>
      <c r="E469" s="5" t="s">
        <v>170</v>
      </c>
      <c r="F469" s="5" t="s">
        <v>16</v>
      </c>
      <c r="G469" s="5" t="s">
        <v>165</v>
      </c>
      <c r="H469" s="5"/>
      <c r="I469" s="5"/>
      <c r="J469" s="5" t="s">
        <v>42</v>
      </c>
      <c r="K469" s="5"/>
      <c r="L469" s="5" t="s">
        <v>1135</v>
      </c>
    </row>
    <row r="470" customFormat="false" ht="15.65" hidden="false" customHeight="true" outlineLevel="0" collapsed="false">
      <c r="A470" s="2" t="str">
        <f aca="false">HYPERLINK("https://www.fabsurplus.com/sdi_catalog/salesItemDetails.do?id=109805")</f>
        <v>https://www.fabsurplus.com/sdi_catalog/salesItemDetails.do?id=109805</v>
      </c>
      <c r="B470" s="2" t="s">
        <v>1137</v>
      </c>
      <c r="C470" s="2" t="s">
        <v>645</v>
      </c>
      <c r="D470" s="2" t="s">
        <v>1132</v>
      </c>
      <c r="E470" s="2" t="s">
        <v>170</v>
      </c>
      <c r="F470" s="2" t="s">
        <v>16</v>
      </c>
      <c r="G470" s="2" t="s">
        <v>165</v>
      </c>
      <c r="H470" s="2"/>
      <c r="I470" s="2"/>
      <c r="J470" s="2" t="s">
        <v>42</v>
      </c>
      <c r="K470" s="2"/>
      <c r="L470" s="2" t="s">
        <v>1135</v>
      </c>
    </row>
    <row r="471" customFormat="false" ht="15.65" hidden="false" customHeight="true" outlineLevel="0" collapsed="false">
      <c r="A471" s="5" t="str">
        <f aca="false">HYPERLINK("https://www.fabsurplus.com/sdi_catalog/salesItemDetails.do?id=109806")</f>
        <v>https://www.fabsurplus.com/sdi_catalog/salesItemDetails.do?id=109806</v>
      </c>
      <c r="B471" s="5" t="s">
        <v>1138</v>
      </c>
      <c r="C471" s="5" t="s">
        <v>645</v>
      </c>
      <c r="D471" s="5" t="s">
        <v>1132</v>
      </c>
      <c r="E471" s="5" t="s">
        <v>170</v>
      </c>
      <c r="F471" s="5" t="s">
        <v>16</v>
      </c>
      <c r="G471" s="5" t="s">
        <v>165</v>
      </c>
      <c r="H471" s="5"/>
      <c r="I471" s="5"/>
      <c r="J471" s="5" t="s">
        <v>42</v>
      </c>
      <c r="K471" s="5"/>
      <c r="L471" s="5" t="s">
        <v>1139</v>
      </c>
    </row>
    <row r="472" customFormat="false" ht="15.65" hidden="false" customHeight="true" outlineLevel="0" collapsed="false">
      <c r="A472" s="2" t="str">
        <f aca="false">HYPERLINK("https://www.fabsurplus.com/sdi_catalog/salesItemDetails.do?id=109807")</f>
        <v>https://www.fabsurplus.com/sdi_catalog/salesItemDetails.do?id=109807</v>
      </c>
      <c r="B472" s="2" t="s">
        <v>1140</v>
      </c>
      <c r="C472" s="2" t="s">
        <v>645</v>
      </c>
      <c r="D472" s="2" t="s">
        <v>1132</v>
      </c>
      <c r="E472" s="2" t="s">
        <v>170</v>
      </c>
      <c r="F472" s="2" t="s">
        <v>16</v>
      </c>
      <c r="G472" s="2" t="s">
        <v>165</v>
      </c>
      <c r="H472" s="2"/>
      <c r="I472" s="2"/>
      <c r="J472" s="2" t="s">
        <v>42</v>
      </c>
      <c r="K472" s="2"/>
      <c r="L472" s="2" t="s">
        <v>1141</v>
      </c>
    </row>
    <row r="473" customFormat="false" ht="15.65" hidden="false" customHeight="true" outlineLevel="0" collapsed="false">
      <c r="A473" s="5" t="str">
        <f aca="false">HYPERLINK("https://www.fabsurplus.com/sdi_catalog/salesItemDetails.do?id=109808")</f>
        <v>https://www.fabsurplus.com/sdi_catalog/salesItemDetails.do?id=109808</v>
      </c>
      <c r="B473" s="5" t="s">
        <v>1142</v>
      </c>
      <c r="C473" s="5" t="s">
        <v>645</v>
      </c>
      <c r="D473" s="5" t="s">
        <v>1132</v>
      </c>
      <c r="E473" s="5" t="s">
        <v>170</v>
      </c>
      <c r="F473" s="5" t="s">
        <v>16</v>
      </c>
      <c r="G473" s="5" t="s">
        <v>165</v>
      </c>
      <c r="H473" s="5"/>
      <c r="I473" s="5"/>
      <c r="J473" s="5" t="s">
        <v>42</v>
      </c>
      <c r="K473" s="5"/>
      <c r="L473" s="7" t="s">
        <v>1143</v>
      </c>
    </row>
    <row r="474" customFormat="false" ht="15.65" hidden="false" customHeight="true" outlineLevel="0" collapsed="false">
      <c r="A474" s="2" t="str">
        <f aca="false">HYPERLINK("https://www.fabsurplus.com/sdi_catalog/salesItemDetails.do?id=109809")</f>
        <v>https://www.fabsurplus.com/sdi_catalog/salesItemDetails.do?id=109809</v>
      </c>
      <c r="B474" s="2" t="s">
        <v>1144</v>
      </c>
      <c r="C474" s="2" t="s">
        <v>645</v>
      </c>
      <c r="D474" s="2" t="s">
        <v>1132</v>
      </c>
      <c r="E474" s="2" t="s">
        <v>170</v>
      </c>
      <c r="F474" s="2" t="s">
        <v>16</v>
      </c>
      <c r="G474" s="2" t="s">
        <v>165</v>
      </c>
      <c r="H474" s="2"/>
      <c r="I474" s="2"/>
      <c r="J474" s="2" t="s">
        <v>42</v>
      </c>
      <c r="K474" s="2"/>
      <c r="L474" s="2" t="s">
        <v>1145</v>
      </c>
    </row>
    <row r="475" customFormat="false" ht="15.65" hidden="false" customHeight="true" outlineLevel="0" collapsed="false">
      <c r="A475" s="5" t="str">
        <f aca="false">HYPERLINK("https://www.fabsurplus.com/sdi_catalog/salesItemDetails.do?id=109810")</f>
        <v>https://www.fabsurplus.com/sdi_catalog/salesItemDetails.do?id=109810</v>
      </c>
      <c r="B475" s="5" t="s">
        <v>1146</v>
      </c>
      <c r="C475" s="5" t="s">
        <v>645</v>
      </c>
      <c r="D475" s="5" t="s">
        <v>1147</v>
      </c>
      <c r="E475" s="5" t="s">
        <v>164</v>
      </c>
      <c r="F475" s="5" t="s">
        <v>16</v>
      </c>
      <c r="G475" s="5" t="s">
        <v>165</v>
      </c>
      <c r="H475" s="5"/>
      <c r="I475" s="5"/>
      <c r="J475" s="5" t="s">
        <v>42</v>
      </c>
      <c r="K475" s="5"/>
      <c r="L475" s="5" t="s">
        <v>1148</v>
      </c>
    </row>
    <row r="476" customFormat="false" ht="15.65" hidden="false" customHeight="true" outlineLevel="0" collapsed="false">
      <c r="A476" s="2" t="str">
        <f aca="false">HYPERLINK("https://www.fabsurplus.com/sdi_catalog/salesItemDetails.do?id=109811")</f>
        <v>https://www.fabsurplus.com/sdi_catalog/salesItemDetails.do?id=109811</v>
      </c>
      <c r="B476" s="2" t="s">
        <v>1149</v>
      </c>
      <c r="C476" s="2" t="s">
        <v>645</v>
      </c>
      <c r="D476" s="2" t="s">
        <v>1147</v>
      </c>
      <c r="E476" s="2" t="s">
        <v>164</v>
      </c>
      <c r="F476" s="2" t="s">
        <v>16</v>
      </c>
      <c r="G476" s="2" t="s">
        <v>165</v>
      </c>
      <c r="H476" s="2"/>
      <c r="I476" s="2"/>
      <c r="J476" s="2" t="s">
        <v>42</v>
      </c>
      <c r="K476" s="2"/>
      <c r="L476" s="2" t="s">
        <v>1150</v>
      </c>
    </row>
    <row r="477" customFormat="false" ht="15.65" hidden="false" customHeight="true" outlineLevel="0" collapsed="false">
      <c r="A477" s="5" t="str">
        <f aca="false">HYPERLINK("https://www.fabsurplus.com/sdi_catalog/salesItemDetails.do?id=109812")</f>
        <v>https://www.fabsurplus.com/sdi_catalog/salesItemDetails.do?id=109812</v>
      </c>
      <c r="B477" s="5" t="s">
        <v>1151</v>
      </c>
      <c r="C477" s="5" t="s">
        <v>645</v>
      </c>
      <c r="D477" s="5" t="s">
        <v>1147</v>
      </c>
      <c r="E477" s="5" t="s">
        <v>164</v>
      </c>
      <c r="F477" s="5" t="s">
        <v>16</v>
      </c>
      <c r="G477" s="5" t="s">
        <v>165</v>
      </c>
      <c r="H477" s="5"/>
      <c r="I477" s="5"/>
      <c r="J477" s="5" t="s">
        <v>42</v>
      </c>
      <c r="K477" s="5"/>
      <c r="L477" s="5" t="s">
        <v>1150</v>
      </c>
    </row>
    <row r="478" customFormat="false" ht="15.65" hidden="false" customHeight="true" outlineLevel="0" collapsed="false">
      <c r="A478" s="2" t="str">
        <f aca="false">HYPERLINK("https://www.fabsurplus.com/sdi_catalog/salesItemDetails.do?id=109813")</f>
        <v>https://www.fabsurplus.com/sdi_catalog/salesItemDetails.do?id=109813</v>
      </c>
      <c r="B478" s="2" t="s">
        <v>1152</v>
      </c>
      <c r="C478" s="2" t="s">
        <v>645</v>
      </c>
      <c r="D478" s="2" t="s">
        <v>1147</v>
      </c>
      <c r="E478" s="2" t="s">
        <v>164</v>
      </c>
      <c r="F478" s="2" t="s">
        <v>16</v>
      </c>
      <c r="G478" s="2" t="s">
        <v>165</v>
      </c>
      <c r="H478" s="2"/>
      <c r="I478" s="2"/>
      <c r="J478" s="2" t="s">
        <v>42</v>
      </c>
      <c r="K478" s="2"/>
      <c r="L478" s="2" t="s">
        <v>1150</v>
      </c>
    </row>
    <row r="479" customFormat="false" ht="15.65" hidden="false" customHeight="true" outlineLevel="0" collapsed="false">
      <c r="A479" s="5" t="str">
        <f aca="false">HYPERLINK("https://www.fabsurplus.com/sdi_catalog/salesItemDetails.do?id=109814")</f>
        <v>https://www.fabsurplus.com/sdi_catalog/salesItemDetails.do?id=109814</v>
      </c>
      <c r="B479" s="5" t="s">
        <v>1153</v>
      </c>
      <c r="C479" s="5" t="s">
        <v>645</v>
      </c>
      <c r="D479" s="5" t="s">
        <v>1147</v>
      </c>
      <c r="E479" s="5" t="s">
        <v>164</v>
      </c>
      <c r="F479" s="5" t="s">
        <v>16</v>
      </c>
      <c r="G479" s="5" t="s">
        <v>165</v>
      </c>
      <c r="H479" s="5"/>
      <c r="I479" s="5"/>
      <c r="J479" s="5" t="s">
        <v>42</v>
      </c>
      <c r="K479" s="5"/>
      <c r="L479" s="5" t="s">
        <v>1154</v>
      </c>
    </row>
    <row r="480" customFormat="false" ht="15.65" hidden="false" customHeight="true" outlineLevel="0" collapsed="false">
      <c r="A480" s="2" t="str">
        <f aca="false">HYPERLINK("https://www.fabsurplus.com/sdi_catalog/salesItemDetails.do?id=109815")</f>
        <v>https://www.fabsurplus.com/sdi_catalog/salesItemDetails.do?id=109815</v>
      </c>
      <c r="B480" s="2" t="s">
        <v>1155</v>
      </c>
      <c r="C480" s="2" t="s">
        <v>645</v>
      </c>
      <c r="D480" s="2" t="s">
        <v>1147</v>
      </c>
      <c r="E480" s="2" t="s">
        <v>164</v>
      </c>
      <c r="F480" s="2" t="s">
        <v>16</v>
      </c>
      <c r="G480" s="2" t="s">
        <v>165</v>
      </c>
      <c r="H480" s="2"/>
      <c r="I480" s="2"/>
      <c r="J480" s="2" t="s">
        <v>42</v>
      </c>
      <c r="K480" s="2"/>
      <c r="L480" s="2" t="s">
        <v>1154</v>
      </c>
    </row>
    <row r="481" customFormat="false" ht="15.65" hidden="false" customHeight="true" outlineLevel="0" collapsed="false">
      <c r="A481" s="5" t="str">
        <f aca="false">HYPERLINK("https://www.fabsurplus.com/sdi_catalog/salesItemDetails.do?id=109816")</f>
        <v>https://www.fabsurplus.com/sdi_catalog/salesItemDetails.do?id=109816</v>
      </c>
      <c r="B481" s="5" t="s">
        <v>1156</v>
      </c>
      <c r="C481" s="5" t="s">
        <v>645</v>
      </c>
      <c r="D481" s="5" t="s">
        <v>1147</v>
      </c>
      <c r="E481" s="5" t="s">
        <v>164</v>
      </c>
      <c r="F481" s="5" t="s">
        <v>16</v>
      </c>
      <c r="G481" s="5" t="s">
        <v>165</v>
      </c>
      <c r="H481" s="5"/>
      <c r="I481" s="5"/>
      <c r="J481" s="5" t="s">
        <v>42</v>
      </c>
      <c r="K481" s="5"/>
      <c r="L481" s="5" t="s">
        <v>1157</v>
      </c>
    </row>
    <row r="482" customFormat="false" ht="15.65" hidden="false" customHeight="true" outlineLevel="0" collapsed="false">
      <c r="A482" s="2" t="str">
        <f aca="false">HYPERLINK("https://www.fabsurplus.com/sdi_catalog/salesItemDetails.do?id=109817")</f>
        <v>https://www.fabsurplus.com/sdi_catalog/salesItemDetails.do?id=109817</v>
      </c>
      <c r="B482" s="2" t="s">
        <v>1158</v>
      </c>
      <c r="C482" s="2" t="s">
        <v>645</v>
      </c>
      <c r="D482" s="2" t="s">
        <v>1159</v>
      </c>
      <c r="E482" s="2" t="s">
        <v>170</v>
      </c>
      <c r="F482" s="2" t="s">
        <v>16</v>
      </c>
      <c r="G482" s="2" t="s">
        <v>165</v>
      </c>
      <c r="H482" s="2"/>
      <c r="I482" s="2"/>
      <c r="J482" s="2" t="s">
        <v>42</v>
      </c>
      <c r="K482" s="2"/>
      <c r="L482" s="2" t="s">
        <v>1160</v>
      </c>
    </row>
    <row r="483" customFormat="false" ht="15.65" hidden="false" customHeight="true" outlineLevel="0" collapsed="false">
      <c r="A483" s="5" t="str">
        <f aca="false">HYPERLINK("https://www.fabsurplus.com/sdi_catalog/salesItemDetails.do?id=109818")</f>
        <v>https://www.fabsurplus.com/sdi_catalog/salesItemDetails.do?id=109818</v>
      </c>
      <c r="B483" s="5" t="s">
        <v>1161</v>
      </c>
      <c r="C483" s="5" t="s">
        <v>645</v>
      </c>
      <c r="D483" s="5" t="s">
        <v>1162</v>
      </c>
      <c r="E483" s="5" t="s">
        <v>170</v>
      </c>
      <c r="F483" s="5" t="s">
        <v>16</v>
      </c>
      <c r="G483" s="5" t="s">
        <v>165</v>
      </c>
      <c r="H483" s="5"/>
      <c r="I483" s="5"/>
      <c r="J483" s="5" t="s">
        <v>42</v>
      </c>
      <c r="K483" s="5"/>
      <c r="L483" s="5" t="s">
        <v>1163</v>
      </c>
    </row>
    <row r="484" customFormat="false" ht="15.65" hidden="false" customHeight="true" outlineLevel="0" collapsed="false">
      <c r="A484" s="2" t="str">
        <f aca="false">HYPERLINK("https://www.fabsurplus.com/sdi_catalog/salesItemDetails.do?id=109819")</f>
        <v>https://www.fabsurplus.com/sdi_catalog/salesItemDetails.do?id=109819</v>
      </c>
      <c r="B484" s="2" t="s">
        <v>1164</v>
      </c>
      <c r="C484" s="2" t="s">
        <v>645</v>
      </c>
      <c r="D484" s="2" t="s">
        <v>1162</v>
      </c>
      <c r="E484" s="2" t="s">
        <v>170</v>
      </c>
      <c r="F484" s="2" t="s">
        <v>16</v>
      </c>
      <c r="G484" s="2" t="s">
        <v>165</v>
      </c>
      <c r="H484" s="2"/>
      <c r="I484" s="2"/>
      <c r="J484" s="2" t="s">
        <v>42</v>
      </c>
      <c r="K484" s="2"/>
      <c r="L484" s="2" t="s">
        <v>1165</v>
      </c>
    </row>
    <row r="485" customFormat="false" ht="15.65" hidden="false" customHeight="true" outlineLevel="0" collapsed="false">
      <c r="A485" s="5" t="str">
        <f aca="false">HYPERLINK("https://www.fabsurplus.com/sdi_catalog/salesItemDetails.do?id=109820")</f>
        <v>https://www.fabsurplus.com/sdi_catalog/salesItemDetails.do?id=109820</v>
      </c>
      <c r="B485" s="5" t="s">
        <v>1166</v>
      </c>
      <c r="C485" s="5" t="s">
        <v>645</v>
      </c>
      <c r="D485" s="5" t="s">
        <v>1162</v>
      </c>
      <c r="E485" s="5" t="s">
        <v>170</v>
      </c>
      <c r="F485" s="5" t="s">
        <v>16</v>
      </c>
      <c r="G485" s="5" t="s">
        <v>165</v>
      </c>
      <c r="H485" s="5"/>
      <c r="I485" s="5"/>
      <c r="J485" s="5" t="s">
        <v>42</v>
      </c>
      <c r="K485" s="5"/>
      <c r="L485" s="5" t="s">
        <v>1167</v>
      </c>
    </row>
    <row r="486" customFormat="false" ht="15.65" hidden="false" customHeight="true" outlineLevel="0" collapsed="false">
      <c r="A486" s="2" t="str">
        <f aca="false">HYPERLINK("https://www.fabsurplus.com/sdi_catalog/salesItemDetails.do?id=109821")</f>
        <v>https://www.fabsurplus.com/sdi_catalog/salesItemDetails.do?id=109821</v>
      </c>
      <c r="B486" s="2" t="s">
        <v>1168</v>
      </c>
      <c r="C486" s="2" t="s">
        <v>645</v>
      </c>
      <c r="D486" s="2" t="s">
        <v>1162</v>
      </c>
      <c r="E486" s="2" t="s">
        <v>170</v>
      </c>
      <c r="F486" s="2" t="s">
        <v>16</v>
      </c>
      <c r="G486" s="2" t="s">
        <v>165</v>
      </c>
      <c r="H486" s="2"/>
      <c r="I486" s="2"/>
      <c r="J486" s="2" t="s">
        <v>42</v>
      </c>
      <c r="K486" s="2"/>
      <c r="L486" s="2" t="s">
        <v>1169</v>
      </c>
    </row>
    <row r="487" customFormat="false" ht="15.65" hidden="false" customHeight="true" outlineLevel="0" collapsed="false">
      <c r="A487" s="5" t="str">
        <f aca="false">HYPERLINK("https://www.fabsurplus.com/sdi_catalog/salesItemDetails.do?id=109822")</f>
        <v>https://www.fabsurplus.com/sdi_catalog/salesItemDetails.do?id=109822</v>
      </c>
      <c r="B487" s="5" t="s">
        <v>1170</v>
      </c>
      <c r="C487" s="5" t="s">
        <v>645</v>
      </c>
      <c r="D487" s="5" t="s">
        <v>303</v>
      </c>
      <c r="E487" s="5" t="s">
        <v>170</v>
      </c>
      <c r="F487" s="5" t="s">
        <v>16</v>
      </c>
      <c r="G487" s="5" t="s">
        <v>165</v>
      </c>
      <c r="H487" s="5"/>
      <c r="I487" s="5"/>
      <c r="J487" s="5" t="s">
        <v>42</v>
      </c>
      <c r="K487" s="5"/>
      <c r="L487" s="5" t="s">
        <v>1171</v>
      </c>
    </row>
    <row r="488" customFormat="false" ht="15.65" hidden="false" customHeight="true" outlineLevel="0" collapsed="false">
      <c r="A488" s="2" t="str">
        <f aca="false">HYPERLINK("https://www.fabsurplus.com/sdi_catalog/salesItemDetails.do?id=109823")</f>
        <v>https://www.fabsurplus.com/sdi_catalog/salesItemDetails.do?id=109823</v>
      </c>
      <c r="B488" s="2" t="s">
        <v>1172</v>
      </c>
      <c r="C488" s="2" t="s">
        <v>645</v>
      </c>
      <c r="D488" s="2" t="s">
        <v>1173</v>
      </c>
      <c r="E488" s="2" t="s">
        <v>164</v>
      </c>
      <c r="F488" s="2" t="s">
        <v>16</v>
      </c>
      <c r="G488" s="2" t="s">
        <v>165</v>
      </c>
      <c r="H488" s="2"/>
      <c r="I488" s="2"/>
      <c r="J488" s="2" t="s">
        <v>42</v>
      </c>
      <c r="K488" s="2"/>
      <c r="L488" s="4" t="s">
        <v>1174</v>
      </c>
    </row>
    <row r="489" customFormat="false" ht="15.65" hidden="false" customHeight="true" outlineLevel="0" collapsed="false">
      <c r="A489" s="5" t="str">
        <f aca="false">HYPERLINK("https://www.fabsurplus.com/sdi_catalog/salesItemDetails.do?id=81826")</f>
        <v>https://www.fabsurplus.com/sdi_catalog/salesItemDetails.do?id=81826</v>
      </c>
      <c r="B489" s="5" t="s">
        <v>1175</v>
      </c>
      <c r="C489" s="5" t="s">
        <v>1176</v>
      </c>
      <c r="D489" s="5" t="s">
        <v>1177</v>
      </c>
      <c r="E489" s="5" t="s">
        <v>1178</v>
      </c>
      <c r="F489" s="5" t="s">
        <v>16</v>
      </c>
      <c r="G489" s="5" t="s">
        <v>104</v>
      </c>
      <c r="H489" s="5" t="s">
        <v>32</v>
      </c>
      <c r="I489" s="6" t="n">
        <v>38352.9583333333</v>
      </c>
      <c r="J489" s="5" t="s">
        <v>19</v>
      </c>
      <c r="K489" s="5" t="s">
        <v>20</v>
      </c>
      <c r="L489" s="7" t="s">
        <v>1179</v>
      </c>
    </row>
    <row r="490" customFormat="false" ht="15.65" hidden="false" customHeight="true" outlineLevel="0" collapsed="false">
      <c r="A490" s="2" t="str">
        <f aca="false">HYPERLINK("https://www.fabsurplus.com/sdi_catalog/salesItemDetails.do?id=108795")</f>
        <v>https://www.fabsurplus.com/sdi_catalog/salesItemDetails.do?id=108795</v>
      </c>
      <c r="B490" s="2" t="s">
        <v>1180</v>
      </c>
      <c r="C490" s="2" t="s">
        <v>1181</v>
      </c>
      <c r="D490" s="2" t="s">
        <v>1182</v>
      </c>
      <c r="E490" s="2" t="s">
        <v>1183</v>
      </c>
      <c r="F490" s="2" t="s">
        <v>16</v>
      </c>
      <c r="G490" s="2"/>
      <c r="H490" s="2" t="s">
        <v>18</v>
      </c>
      <c r="I490" s="2"/>
      <c r="J490" s="2" t="s">
        <v>42</v>
      </c>
      <c r="K490" s="2"/>
      <c r="L490" s="2" t="s">
        <v>1184</v>
      </c>
    </row>
    <row r="491" customFormat="false" ht="15.65" hidden="false" customHeight="true" outlineLevel="0" collapsed="false">
      <c r="A491" s="5" t="str">
        <f aca="false">HYPERLINK("https://www.fabsurplus.com/sdi_catalog/salesItemDetails.do?id=108720")</f>
        <v>https://www.fabsurplus.com/sdi_catalog/salesItemDetails.do?id=108720</v>
      </c>
      <c r="B491" s="5" t="s">
        <v>1185</v>
      </c>
      <c r="C491" s="5" t="s">
        <v>1186</v>
      </c>
      <c r="D491" s="5" t="s">
        <v>1187</v>
      </c>
      <c r="E491" s="5" t="s">
        <v>1188</v>
      </c>
      <c r="F491" s="5" t="s">
        <v>16</v>
      </c>
      <c r="G491" s="5"/>
      <c r="H491" s="5" t="s">
        <v>18</v>
      </c>
      <c r="I491" s="5"/>
      <c r="J491" s="5" t="s">
        <v>19</v>
      </c>
      <c r="K491" s="5"/>
      <c r="L491" s="7" t="s">
        <v>1189</v>
      </c>
    </row>
    <row r="492" customFormat="false" ht="15.65" hidden="false" customHeight="true" outlineLevel="0" collapsed="false">
      <c r="A492" s="2" t="str">
        <f aca="false">HYPERLINK("https://www.fabsurplus.com/sdi_catalog/salesItemDetails.do?id=108796")</f>
        <v>https://www.fabsurplus.com/sdi_catalog/salesItemDetails.do?id=108796</v>
      </c>
      <c r="B492" s="2" t="s">
        <v>1190</v>
      </c>
      <c r="C492" s="2" t="s">
        <v>1191</v>
      </c>
      <c r="D492" s="2" t="s">
        <v>1187</v>
      </c>
      <c r="E492" s="2" t="s">
        <v>1192</v>
      </c>
      <c r="F492" s="2" t="s">
        <v>16</v>
      </c>
      <c r="G492" s="2"/>
      <c r="H492" s="2"/>
      <c r="I492" s="2"/>
      <c r="J492" s="2" t="s">
        <v>42</v>
      </c>
      <c r="K492" s="2"/>
      <c r="L492" s="2" t="s">
        <v>131</v>
      </c>
    </row>
    <row r="493" customFormat="false" ht="15.65" hidden="false" customHeight="true" outlineLevel="0" collapsed="false">
      <c r="A493" s="5" t="str">
        <f aca="false">HYPERLINK("https://www.fabsurplus.com/sdi_catalog/salesItemDetails.do?id=108555")</f>
        <v>https://www.fabsurplus.com/sdi_catalog/salesItemDetails.do?id=108555</v>
      </c>
      <c r="B493" s="5" t="s">
        <v>1193</v>
      </c>
      <c r="C493" s="5" t="s">
        <v>1194</v>
      </c>
      <c r="D493" s="5" t="s">
        <v>1195</v>
      </c>
      <c r="E493" s="5" t="s">
        <v>1196</v>
      </c>
      <c r="F493" s="5" t="s">
        <v>16</v>
      </c>
      <c r="G493" s="5" t="s">
        <v>392</v>
      </c>
      <c r="H493" s="5" t="s">
        <v>18</v>
      </c>
      <c r="I493" s="5"/>
      <c r="J493" s="5" t="s">
        <v>19</v>
      </c>
      <c r="K493" s="5" t="s">
        <v>20</v>
      </c>
      <c r="L493" s="7" t="s">
        <v>1197</v>
      </c>
    </row>
    <row r="494" customFormat="false" ht="15.65" hidden="false" customHeight="true" outlineLevel="0" collapsed="false">
      <c r="A494" s="2" t="str">
        <f aca="false">HYPERLINK("https://www.fabsurplus.com/sdi_catalog/salesItemDetails.do?id=109894")</f>
        <v>https://www.fabsurplus.com/sdi_catalog/salesItemDetails.do?id=109894</v>
      </c>
      <c r="B494" s="2" t="s">
        <v>1198</v>
      </c>
      <c r="C494" s="2" t="s">
        <v>1194</v>
      </c>
      <c r="D494" s="2" t="s">
        <v>1199</v>
      </c>
      <c r="E494" s="2" t="s">
        <v>164</v>
      </c>
      <c r="F494" s="2" t="s">
        <v>16</v>
      </c>
      <c r="G494" s="2" t="s">
        <v>165</v>
      </c>
      <c r="H494" s="2"/>
      <c r="I494" s="2"/>
      <c r="J494" s="2" t="s">
        <v>42</v>
      </c>
      <c r="K494" s="2"/>
      <c r="L494" s="2" t="s">
        <v>1200</v>
      </c>
    </row>
    <row r="495" customFormat="false" ht="15.65" hidden="false" customHeight="true" outlineLevel="0" collapsed="false">
      <c r="A495" s="5" t="str">
        <f aca="false">HYPERLINK("https://www.fabsurplus.com/sdi_catalog/salesItemDetails.do?id=109895")</f>
        <v>https://www.fabsurplus.com/sdi_catalog/salesItemDetails.do?id=109895</v>
      </c>
      <c r="B495" s="5" t="s">
        <v>1201</v>
      </c>
      <c r="C495" s="5" t="s">
        <v>1194</v>
      </c>
      <c r="D495" s="5" t="s">
        <v>1199</v>
      </c>
      <c r="E495" s="5" t="s">
        <v>164</v>
      </c>
      <c r="F495" s="5" t="s">
        <v>16</v>
      </c>
      <c r="G495" s="5" t="s">
        <v>165</v>
      </c>
      <c r="H495" s="5"/>
      <c r="I495" s="5"/>
      <c r="J495" s="5" t="s">
        <v>42</v>
      </c>
      <c r="K495" s="5"/>
      <c r="L495" s="5" t="s">
        <v>1200</v>
      </c>
    </row>
    <row r="496" customFormat="false" ht="15.65" hidden="false" customHeight="true" outlineLevel="0" collapsed="false">
      <c r="A496" s="2" t="str">
        <f aca="false">HYPERLINK("https://www.fabsurplus.com/sdi_catalog/salesItemDetails.do?id=109896")</f>
        <v>https://www.fabsurplus.com/sdi_catalog/salesItemDetails.do?id=109896</v>
      </c>
      <c r="B496" s="2" t="s">
        <v>1202</v>
      </c>
      <c r="C496" s="2" t="s">
        <v>1194</v>
      </c>
      <c r="D496" s="2" t="s">
        <v>1199</v>
      </c>
      <c r="E496" s="2" t="s">
        <v>164</v>
      </c>
      <c r="F496" s="2" t="s">
        <v>16</v>
      </c>
      <c r="G496" s="2" t="s">
        <v>165</v>
      </c>
      <c r="H496" s="2"/>
      <c r="I496" s="2"/>
      <c r="J496" s="2" t="s">
        <v>42</v>
      </c>
      <c r="K496" s="2"/>
      <c r="L496" s="2" t="s">
        <v>1200</v>
      </c>
    </row>
    <row r="497" customFormat="false" ht="15.65" hidden="false" customHeight="true" outlineLevel="0" collapsed="false">
      <c r="A497" s="5" t="str">
        <f aca="false">HYPERLINK("https://www.fabsurplus.com/sdi_catalog/salesItemDetails.do?id=101035")</f>
        <v>https://www.fabsurplus.com/sdi_catalog/salesItemDetails.do?id=101035</v>
      </c>
      <c r="B497" s="5" t="s">
        <v>1203</v>
      </c>
      <c r="C497" s="5" t="s">
        <v>1194</v>
      </c>
      <c r="D497" s="5" t="s">
        <v>1204</v>
      </c>
      <c r="E497" s="5" t="s">
        <v>1205</v>
      </c>
      <c r="F497" s="5" t="s">
        <v>16</v>
      </c>
      <c r="G497" s="5" t="s">
        <v>104</v>
      </c>
      <c r="H497" s="5" t="s">
        <v>18</v>
      </c>
      <c r="I497" s="6" t="n">
        <v>39538.9166666667</v>
      </c>
      <c r="J497" s="5" t="s">
        <v>19</v>
      </c>
      <c r="K497" s="5" t="s">
        <v>20</v>
      </c>
      <c r="L497" s="7" t="s">
        <v>1206</v>
      </c>
    </row>
    <row r="498" customFormat="false" ht="15.65" hidden="false" customHeight="true" outlineLevel="0" collapsed="false">
      <c r="A498" s="2" t="str">
        <f aca="false">HYPERLINK("https://www.fabsurplus.com/sdi_catalog/salesItemDetails.do?id=101036")</f>
        <v>https://www.fabsurplus.com/sdi_catalog/salesItemDetails.do?id=101036</v>
      </c>
      <c r="B498" s="2" t="s">
        <v>1207</v>
      </c>
      <c r="C498" s="2" t="s">
        <v>1194</v>
      </c>
      <c r="D498" s="2" t="s">
        <v>1204</v>
      </c>
      <c r="E498" s="2" t="s">
        <v>1205</v>
      </c>
      <c r="F498" s="2" t="s">
        <v>16</v>
      </c>
      <c r="G498" s="2" t="s">
        <v>104</v>
      </c>
      <c r="H498" s="2" t="s">
        <v>18</v>
      </c>
      <c r="I498" s="3" t="n">
        <v>39599.9166666667</v>
      </c>
      <c r="J498" s="2" t="s">
        <v>19</v>
      </c>
      <c r="K498" s="2" t="s">
        <v>20</v>
      </c>
      <c r="L498" s="4" t="s">
        <v>1206</v>
      </c>
    </row>
    <row r="499" customFormat="false" ht="15.65" hidden="false" customHeight="true" outlineLevel="0" collapsed="false">
      <c r="A499" s="5" t="str">
        <f aca="false">HYPERLINK("https://www.fabsurplus.com/sdi_catalog/salesItemDetails.do?id=18870")</f>
        <v>https://www.fabsurplus.com/sdi_catalog/salesItemDetails.do?id=18870</v>
      </c>
      <c r="B499" s="5" t="s">
        <v>1208</v>
      </c>
      <c r="C499" s="5" t="s">
        <v>1209</v>
      </c>
      <c r="D499" s="5" t="s">
        <v>1210</v>
      </c>
      <c r="E499" s="5" t="s">
        <v>1211</v>
      </c>
      <c r="F499" s="5" t="s">
        <v>16</v>
      </c>
      <c r="G499" s="5"/>
      <c r="H499" s="5"/>
      <c r="I499" s="5"/>
      <c r="J499" s="5" t="s">
        <v>19</v>
      </c>
      <c r="K499" s="5"/>
      <c r="L499" s="5"/>
    </row>
    <row r="500" customFormat="false" ht="15.65" hidden="false" customHeight="true" outlineLevel="0" collapsed="false">
      <c r="A500" s="2" t="str">
        <f aca="false">HYPERLINK("https://www.fabsurplus.com/sdi_catalog/salesItemDetails.do?id=53031")</f>
        <v>https://www.fabsurplus.com/sdi_catalog/salesItemDetails.do?id=53031</v>
      </c>
      <c r="B500" s="2" t="s">
        <v>1212</v>
      </c>
      <c r="C500" s="2" t="s">
        <v>1213</v>
      </c>
      <c r="D500" s="2" t="s">
        <v>1214</v>
      </c>
      <c r="E500" s="2" t="s">
        <v>1214</v>
      </c>
      <c r="F500" s="2" t="s">
        <v>16</v>
      </c>
      <c r="G500" s="2" t="s">
        <v>97</v>
      </c>
      <c r="H500" s="2" t="s">
        <v>18</v>
      </c>
      <c r="I500" s="2"/>
      <c r="J500" s="2" t="s">
        <v>19</v>
      </c>
      <c r="K500" s="2" t="s">
        <v>20</v>
      </c>
      <c r="L500" s="2" t="s">
        <v>1215</v>
      </c>
    </row>
    <row r="501" customFormat="false" ht="15.65" hidden="false" customHeight="true" outlineLevel="0" collapsed="false">
      <c r="A501" s="5" t="str">
        <f aca="false">HYPERLINK("https://www.fabsurplus.com/sdi_catalog/salesItemDetails.do?id=108897")</f>
        <v>https://www.fabsurplus.com/sdi_catalog/salesItemDetails.do?id=108897</v>
      </c>
      <c r="B501" s="5" t="s">
        <v>1216</v>
      </c>
      <c r="C501" s="5" t="s">
        <v>1217</v>
      </c>
      <c r="D501" s="5" t="s">
        <v>1218</v>
      </c>
      <c r="E501" s="5" t="s">
        <v>1219</v>
      </c>
      <c r="F501" s="5" t="s">
        <v>16</v>
      </c>
      <c r="G501" s="5" t="s">
        <v>392</v>
      </c>
      <c r="H501" s="5" t="s">
        <v>32</v>
      </c>
      <c r="I501" s="6" t="n">
        <v>40664</v>
      </c>
      <c r="J501" s="5" t="s">
        <v>19</v>
      </c>
      <c r="K501" s="5" t="s">
        <v>20</v>
      </c>
      <c r="L501" s="7" t="s">
        <v>1220</v>
      </c>
    </row>
    <row r="502" customFormat="false" ht="15.65" hidden="false" customHeight="true" outlineLevel="0" collapsed="false">
      <c r="A502" s="2" t="str">
        <f aca="false">HYPERLINK("https://www.fabsurplus.com/sdi_catalog/salesItemDetails.do?id=108899")</f>
        <v>https://www.fabsurplus.com/sdi_catalog/salesItemDetails.do?id=108899</v>
      </c>
      <c r="B502" s="2" t="s">
        <v>1221</v>
      </c>
      <c r="C502" s="2" t="s">
        <v>1217</v>
      </c>
      <c r="D502" s="2" t="s">
        <v>1222</v>
      </c>
      <c r="E502" s="2" t="s">
        <v>1219</v>
      </c>
      <c r="F502" s="2" t="s">
        <v>16</v>
      </c>
      <c r="G502" s="2" t="s">
        <v>392</v>
      </c>
      <c r="H502" s="2"/>
      <c r="I502" s="3" t="n">
        <v>37012</v>
      </c>
      <c r="J502" s="2" t="s">
        <v>19</v>
      </c>
      <c r="K502" s="2"/>
      <c r="L502" s="4" t="s">
        <v>1223</v>
      </c>
    </row>
    <row r="503" customFormat="false" ht="15.65" hidden="false" customHeight="true" outlineLevel="0" collapsed="false">
      <c r="A503" s="5" t="str">
        <f aca="false">HYPERLINK("https://www.fabsurplus.com/sdi_catalog/salesItemDetails.do?id=10544")</f>
        <v>https://www.fabsurplus.com/sdi_catalog/salesItemDetails.do?id=10544</v>
      </c>
      <c r="B503" s="5" t="s">
        <v>1224</v>
      </c>
      <c r="C503" s="5" t="s">
        <v>1225</v>
      </c>
      <c r="D503" s="5" t="s">
        <v>1226</v>
      </c>
      <c r="E503" s="5" t="s">
        <v>1227</v>
      </c>
      <c r="F503" s="5" t="s">
        <v>16</v>
      </c>
      <c r="G503" s="5" t="s">
        <v>392</v>
      </c>
      <c r="H503" s="5" t="s">
        <v>18</v>
      </c>
      <c r="I503" s="5"/>
      <c r="J503" s="5" t="s">
        <v>19</v>
      </c>
      <c r="K503" s="5" t="s">
        <v>20</v>
      </c>
      <c r="L503" s="7" t="s">
        <v>1228</v>
      </c>
    </row>
    <row r="504" customFormat="false" ht="15.65" hidden="false" customHeight="true" outlineLevel="0" collapsed="false">
      <c r="A504" s="2" t="str">
        <f aca="false">HYPERLINK("https://www.fabsurplus.com/sdi_catalog/salesItemDetails.do?id=76605")</f>
        <v>https://www.fabsurplus.com/sdi_catalog/salesItemDetails.do?id=76605</v>
      </c>
      <c r="B504" s="2" t="s">
        <v>1229</v>
      </c>
      <c r="C504" s="2" t="s">
        <v>1225</v>
      </c>
      <c r="D504" s="2" t="s">
        <v>1230</v>
      </c>
      <c r="E504" s="2" t="s">
        <v>1231</v>
      </c>
      <c r="F504" s="2" t="s">
        <v>16</v>
      </c>
      <c r="G504" s="2" t="s">
        <v>392</v>
      </c>
      <c r="H504" s="2" t="s">
        <v>18</v>
      </c>
      <c r="I504" s="3" t="n">
        <v>37012</v>
      </c>
      <c r="J504" s="2" t="s">
        <v>19</v>
      </c>
      <c r="K504" s="2" t="s">
        <v>20</v>
      </c>
      <c r="L504" s="4" t="s">
        <v>1232</v>
      </c>
    </row>
    <row r="505" customFormat="false" ht="15.65" hidden="false" customHeight="true" outlineLevel="0" collapsed="false">
      <c r="A505" s="5" t="str">
        <f aca="false">HYPERLINK("https://www.fabsurplus.com/sdi_catalog/salesItemDetails.do?id=18868")</f>
        <v>https://www.fabsurplus.com/sdi_catalog/salesItemDetails.do?id=18868</v>
      </c>
      <c r="B505" s="5" t="s">
        <v>1233</v>
      </c>
      <c r="C505" s="5" t="s">
        <v>1225</v>
      </c>
      <c r="D505" s="5" t="s">
        <v>1234</v>
      </c>
      <c r="E505" s="5" t="s">
        <v>1235</v>
      </c>
      <c r="F505" s="5" t="s">
        <v>16</v>
      </c>
      <c r="G505" s="5" t="s">
        <v>1236</v>
      </c>
      <c r="H505" s="5" t="s">
        <v>32</v>
      </c>
      <c r="I505" s="5"/>
      <c r="J505" s="5" t="s">
        <v>19</v>
      </c>
      <c r="K505" s="5" t="s">
        <v>20</v>
      </c>
      <c r="L505" s="7" t="s">
        <v>1237</v>
      </c>
    </row>
    <row r="506" customFormat="false" ht="15.65" hidden="false" customHeight="true" outlineLevel="0" collapsed="false">
      <c r="A506" s="2" t="str">
        <f aca="false">HYPERLINK("https://www.fabsurplus.com/sdi_catalog/salesItemDetails.do?id=18869")</f>
        <v>https://www.fabsurplus.com/sdi_catalog/salesItemDetails.do?id=18869</v>
      </c>
      <c r="B506" s="2" t="s">
        <v>1238</v>
      </c>
      <c r="C506" s="2" t="s">
        <v>1225</v>
      </c>
      <c r="D506" s="2" t="s">
        <v>1239</v>
      </c>
      <c r="E506" s="2" t="s">
        <v>1240</v>
      </c>
      <c r="F506" s="2" t="s">
        <v>16</v>
      </c>
      <c r="G506" s="2" t="s">
        <v>1236</v>
      </c>
      <c r="H506" s="2" t="s">
        <v>32</v>
      </c>
      <c r="I506" s="2"/>
      <c r="J506" s="2" t="s">
        <v>19</v>
      </c>
      <c r="K506" s="2" t="s">
        <v>20</v>
      </c>
      <c r="L506" s="2" t="s">
        <v>1241</v>
      </c>
    </row>
    <row r="507" customFormat="false" ht="15.65" hidden="false" customHeight="true" outlineLevel="0" collapsed="false">
      <c r="A507" s="5" t="str">
        <f aca="false">HYPERLINK("https://www.fabsurplus.com/sdi_catalog/salesItemDetails.do?id=79588")</f>
        <v>https://www.fabsurplus.com/sdi_catalog/salesItemDetails.do?id=79588</v>
      </c>
      <c r="B507" s="5" t="s">
        <v>1242</v>
      </c>
      <c r="C507" s="5" t="s">
        <v>1225</v>
      </c>
      <c r="D507" s="5" t="s">
        <v>1243</v>
      </c>
      <c r="E507" s="5" t="s">
        <v>1244</v>
      </c>
      <c r="F507" s="5" t="s">
        <v>16</v>
      </c>
      <c r="G507" s="5" t="s">
        <v>565</v>
      </c>
      <c r="H507" s="5" t="s">
        <v>18</v>
      </c>
      <c r="I507" s="6" t="n">
        <v>39326</v>
      </c>
      <c r="J507" s="5" t="s">
        <v>19</v>
      </c>
      <c r="K507" s="5" t="s">
        <v>20</v>
      </c>
      <c r="L507" s="7" t="s">
        <v>1245</v>
      </c>
    </row>
    <row r="508" customFormat="false" ht="15.65" hidden="false" customHeight="true" outlineLevel="0" collapsed="false">
      <c r="A508" s="2" t="str">
        <f aca="false">HYPERLINK("https://www.fabsurplus.com/sdi_catalog/salesItemDetails.do?id=79589")</f>
        <v>https://www.fabsurplus.com/sdi_catalog/salesItemDetails.do?id=79589</v>
      </c>
      <c r="B508" s="2" t="s">
        <v>1246</v>
      </c>
      <c r="C508" s="2" t="s">
        <v>1225</v>
      </c>
      <c r="D508" s="2" t="s">
        <v>1243</v>
      </c>
      <c r="E508" s="2" t="s">
        <v>1244</v>
      </c>
      <c r="F508" s="2" t="s">
        <v>16</v>
      </c>
      <c r="G508" s="2" t="s">
        <v>565</v>
      </c>
      <c r="H508" s="2" t="s">
        <v>18</v>
      </c>
      <c r="I508" s="3" t="n">
        <v>39721.9166666667</v>
      </c>
      <c r="J508" s="2" t="s">
        <v>19</v>
      </c>
      <c r="K508" s="2" t="s">
        <v>20</v>
      </c>
      <c r="L508" s="4" t="s">
        <v>1247</v>
      </c>
    </row>
    <row r="509" customFormat="false" ht="15.65" hidden="false" customHeight="true" outlineLevel="0" collapsed="false">
      <c r="A509" s="5" t="str">
        <f aca="false">HYPERLINK("https://www.fabsurplus.com/sdi_catalog/salesItemDetails.do?id=109897")</f>
        <v>https://www.fabsurplus.com/sdi_catalog/salesItemDetails.do?id=109897</v>
      </c>
      <c r="B509" s="5" t="s">
        <v>1248</v>
      </c>
      <c r="C509" s="5" t="s">
        <v>1249</v>
      </c>
      <c r="D509" s="5" t="s">
        <v>1250</v>
      </c>
      <c r="E509" s="5" t="s">
        <v>170</v>
      </c>
      <c r="F509" s="5" t="s">
        <v>16</v>
      </c>
      <c r="G509" s="5" t="s">
        <v>165</v>
      </c>
      <c r="H509" s="5"/>
      <c r="I509" s="5"/>
      <c r="J509" s="5" t="s">
        <v>42</v>
      </c>
      <c r="K509" s="5"/>
      <c r="L509" s="5" t="s">
        <v>1251</v>
      </c>
    </row>
    <row r="510" customFormat="false" ht="15.65" hidden="false" customHeight="true" outlineLevel="0" collapsed="false">
      <c r="A510" s="2" t="str">
        <f aca="false">HYPERLINK("https://www.fabsurplus.com/sdi_catalog/salesItemDetails.do?id=80267")</f>
        <v>https://www.fabsurplus.com/sdi_catalog/salesItemDetails.do?id=80267</v>
      </c>
      <c r="B510" s="2" t="s">
        <v>1252</v>
      </c>
      <c r="C510" s="2" t="s">
        <v>1253</v>
      </c>
      <c r="D510" s="2" t="s">
        <v>1254</v>
      </c>
      <c r="E510" s="2" t="s">
        <v>1255</v>
      </c>
      <c r="F510" s="2" t="s">
        <v>60</v>
      </c>
      <c r="G510" s="2" t="s">
        <v>97</v>
      </c>
      <c r="H510" s="2" t="s">
        <v>18</v>
      </c>
      <c r="I510" s="2"/>
      <c r="J510" s="2" t="s">
        <v>19</v>
      </c>
      <c r="K510" s="2" t="s">
        <v>20</v>
      </c>
      <c r="L510" s="4" t="s">
        <v>1256</v>
      </c>
    </row>
    <row r="511" customFormat="false" ht="15.65" hidden="false" customHeight="true" outlineLevel="0" collapsed="false">
      <c r="A511" s="5" t="str">
        <f aca="false">HYPERLINK("https://www.fabsurplus.com/sdi_catalog/salesItemDetails.do?id=80268")</f>
        <v>https://www.fabsurplus.com/sdi_catalog/salesItemDetails.do?id=80268</v>
      </c>
      <c r="B511" s="5" t="s">
        <v>1257</v>
      </c>
      <c r="C511" s="5" t="s">
        <v>1258</v>
      </c>
      <c r="D511" s="5" t="s">
        <v>1259</v>
      </c>
      <c r="E511" s="5" t="s">
        <v>1260</v>
      </c>
      <c r="F511" s="5" t="s">
        <v>151</v>
      </c>
      <c r="G511" s="5" t="s">
        <v>1261</v>
      </c>
      <c r="H511" s="5" t="s">
        <v>18</v>
      </c>
      <c r="I511" s="6" t="n">
        <v>34089.9166666667</v>
      </c>
      <c r="J511" s="5" t="s">
        <v>19</v>
      </c>
      <c r="K511" s="5" t="s">
        <v>20</v>
      </c>
      <c r="L511" s="5"/>
    </row>
    <row r="512" customFormat="false" ht="15.65" hidden="false" customHeight="true" outlineLevel="0" collapsed="false">
      <c r="A512" s="2" t="str">
        <f aca="false">HYPERLINK("https://www.fabsurplus.com/sdi_catalog/salesItemDetails.do?id=83904")</f>
        <v>https://www.fabsurplus.com/sdi_catalog/salesItemDetails.do?id=83904</v>
      </c>
      <c r="B512" s="2" t="s">
        <v>1262</v>
      </c>
      <c r="C512" s="2" t="s">
        <v>1258</v>
      </c>
      <c r="D512" s="2" t="s">
        <v>1263</v>
      </c>
      <c r="E512" s="2" t="s">
        <v>1264</v>
      </c>
      <c r="F512" s="2" t="s">
        <v>16</v>
      </c>
      <c r="G512" s="2" t="s">
        <v>1265</v>
      </c>
      <c r="H512" s="2" t="s">
        <v>1266</v>
      </c>
      <c r="I512" s="3" t="n">
        <v>32782</v>
      </c>
      <c r="J512" s="2" t="s">
        <v>19</v>
      </c>
      <c r="K512" s="2" t="s">
        <v>20</v>
      </c>
      <c r="L512" s="4" t="s">
        <v>1267</v>
      </c>
    </row>
    <row r="513" customFormat="false" ht="15.65" hidden="false" customHeight="true" outlineLevel="0" collapsed="false">
      <c r="A513" s="5" t="str">
        <f aca="false">HYPERLINK("https://www.fabsurplus.com/sdi_catalog/salesItemDetails.do?id=108721")</f>
        <v>https://www.fabsurplus.com/sdi_catalog/salesItemDetails.do?id=108721</v>
      </c>
      <c r="B513" s="5" t="s">
        <v>1268</v>
      </c>
      <c r="C513" s="5" t="s">
        <v>1269</v>
      </c>
      <c r="D513" s="5" t="s">
        <v>1270</v>
      </c>
      <c r="E513" s="5" t="s">
        <v>1271</v>
      </c>
      <c r="F513" s="5" t="s">
        <v>16</v>
      </c>
      <c r="G513" s="5" t="s">
        <v>1272</v>
      </c>
      <c r="H513" s="5" t="s">
        <v>18</v>
      </c>
      <c r="I513" s="5"/>
      <c r="J513" s="5" t="s">
        <v>19</v>
      </c>
      <c r="K513" s="5" t="s">
        <v>20</v>
      </c>
      <c r="L513" s="7" t="s">
        <v>1273</v>
      </c>
    </row>
    <row r="514" customFormat="false" ht="15.65" hidden="false" customHeight="true" outlineLevel="0" collapsed="false">
      <c r="A514" s="2" t="str">
        <f aca="false">HYPERLINK("https://www.fabsurplus.com/sdi_catalog/salesItemDetails.do?id=108797")</f>
        <v>https://www.fabsurplus.com/sdi_catalog/salesItemDetails.do?id=108797</v>
      </c>
      <c r="B514" s="2" t="s">
        <v>1274</v>
      </c>
      <c r="C514" s="2" t="s">
        <v>1275</v>
      </c>
      <c r="D514" s="2" t="s">
        <v>1276</v>
      </c>
      <c r="E514" s="2" t="s">
        <v>1277</v>
      </c>
      <c r="F514" s="2" t="s">
        <v>16</v>
      </c>
      <c r="G514" s="2" t="s">
        <v>165</v>
      </c>
      <c r="H514" s="2"/>
      <c r="I514" s="2"/>
      <c r="J514" s="2" t="s">
        <v>42</v>
      </c>
      <c r="K514" s="2"/>
      <c r="L514" s="2" t="s">
        <v>131</v>
      </c>
    </row>
    <row r="515" customFormat="false" ht="15.65" hidden="false" customHeight="true" outlineLevel="0" collapsed="false">
      <c r="A515" s="5" t="str">
        <f aca="false">HYPERLINK("https://www.fabsurplus.com/sdi_catalog/salesItemDetails.do?id=109350")</f>
        <v>https://www.fabsurplus.com/sdi_catalog/salesItemDetails.do?id=109350</v>
      </c>
      <c r="B515" s="5" t="s">
        <v>1278</v>
      </c>
      <c r="C515" s="5" t="s">
        <v>1279</v>
      </c>
      <c r="D515" s="5" t="s">
        <v>1280</v>
      </c>
      <c r="E515" s="5" t="s">
        <v>103</v>
      </c>
      <c r="F515" s="5" t="s">
        <v>16</v>
      </c>
      <c r="G515" s="5" t="s">
        <v>104</v>
      </c>
      <c r="H515" s="5"/>
      <c r="I515" s="5"/>
      <c r="J515" s="5" t="s">
        <v>19</v>
      </c>
      <c r="K515" s="5"/>
      <c r="L515" s="5" t="s">
        <v>1281</v>
      </c>
    </row>
    <row r="516" customFormat="false" ht="15.65" hidden="false" customHeight="true" outlineLevel="0" collapsed="false">
      <c r="A516" s="2" t="str">
        <f aca="false">HYPERLINK("https://www.fabsurplus.com/sdi_catalog/salesItemDetails.do?id=109351")</f>
        <v>https://www.fabsurplus.com/sdi_catalog/salesItemDetails.do?id=109351</v>
      </c>
      <c r="B516" s="2" t="s">
        <v>1282</v>
      </c>
      <c r="C516" s="2" t="s">
        <v>1279</v>
      </c>
      <c r="D516" s="2" t="s">
        <v>1280</v>
      </c>
      <c r="E516" s="2" t="s">
        <v>103</v>
      </c>
      <c r="F516" s="2" t="s">
        <v>16</v>
      </c>
      <c r="G516" s="2" t="s">
        <v>104</v>
      </c>
      <c r="H516" s="2"/>
      <c r="I516" s="2"/>
      <c r="J516" s="2" t="s">
        <v>19</v>
      </c>
      <c r="K516" s="2"/>
      <c r="L516" s="2"/>
    </row>
    <row r="517" customFormat="false" ht="15.65" hidden="false" customHeight="true" outlineLevel="0" collapsed="false">
      <c r="A517" s="5" t="str">
        <f aca="false">HYPERLINK("https://www.fabsurplus.com/sdi_catalog/salesItemDetails.do?id=108709")</f>
        <v>https://www.fabsurplus.com/sdi_catalog/salesItemDetails.do?id=108709</v>
      </c>
      <c r="B517" s="5" t="s">
        <v>1283</v>
      </c>
      <c r="C517" s="5" t="s">
        <v>1284</v>
      </c>
      <c r="D517" s="5" t="s">
        <v>1285</v>
      </c>
      <c r="E517" s="5" t="s">
        <v>1286</v>
      </c>
      <c r="F517" s="5" t="s">
        <v>16</v>
      </c>
      <c r="G517" s="5" t="s">
        <v>1287</v>
      </c>
      <c r="H517" s="5" t="s">
        <v>32</v>
      </c>
      <c r="I517" s="6" t="n">
        <v>39234</v>
      </c>
      <c r="J517" s="5" t="s">
        <v>42</v>
      </c>
      <c r="K517" s="5" t="s">
        <v>20</v>
      </c>
      <c r="L517" s="7" t="s">
        <v>1288</v>
      </c>
    </row>
    <row r="518" customFormat="false" ht="15.65" hidden="false" customHeight="true" outlineLevel="0" collapsed="false">
      <c r="A518" s="2" t="str">
        <f aca="false">HYPERLINK("https://www.fabsurplus.com/sdi_catalog/salesItemDetails.do?id=108722")</f>
        <v>https://www.fabsurplus.com/sdi_catalog/salesItemDetails.do?id=108722</v>
      </c>
      <c r="B518" s="2" t="s">
        <v>1289</v>
      </c>
      <c r="C518" s="2" t="s">
        <v>1290</v>
      </c>
      <c r="D518" s="2" t="s">
        <v>1291</v>
      </c>
      <c r="E518" s="2" t="s">
        <v>1292</v>
      </c>
      <c r="F518" s="2" t="s">
        <v>16</v>
      </c>
      <c r="G518" s="2" t="s">
        <v>1293</v>
      </c>
      <c r="H518" s="2" t="s">
        <v>18</v>
      </c>
      <c r="I518" s="3" t="n">
        <v>35400</v>
      </c>
      <c r="J518" s="2" t="s">
        <v>19</v>
      </c>
      <c r="K518" s="2" t="s">
        <v>20</v>
      </c>
      <c r="L518" s="4" t="s">
        <v>1294</v>
      </c>
    </row>
    <row r="519" customFormat="false" ht="15.65" hidden="false" customHeight="true" outlineLevel="0" collapsed="false">
      <c r="A519" s="5" t="str">
        <f aca="false">HYPERLINK("https://www.fabsurplus.com/sdi_catalog/salesItemDetails.do?id=108723")</f>
        <v>https://www.fabsurplus.com/sdi_catalog/salesItemDetails.do?id=108723</v>
      </c>
      <c r="B519" s="5" t="s">
        <v>1295</v>
      </c>
      <c r="C519" s="5" t="s">
        <v>1290</v>
      </c>
      <c r="D519" s="5" t="s">
        <v>1296</v>
      </c>
      <c r="E519" s="5" t="s">
        <v>1297</v>
      </c>
      <c r="F519" s="5" t="s">
        <v>16</v>
      </c>
      <c r="G519" s="5" t="s">
        <v>1298</v>
      </c>
      <c r="H519" s="5" t="s">
        <v>18</v>
      </c>
      <c r="I519" s="5"/>
      <c r="J519" s="5" t="s">
        <v>42</v>
      </c>
      <c r="K519" s="5" t="s">
        <v>20</v>
      </c>
      <c r="L519" s="7" t="s">
        <v>1299</v>
      </c>
    </row>
    <row r="520" customFormat="false" ht="15.65" hidden="false" customHeight="true" outlineLevel="0" collapsed="false">
      <c r="A520" s="2" t="str">
        <f aca="false">HYPERLINK("https://www.fabsurplus.com/sdi_catalog/salesItemDetails.do?id=84766")</f>
        <v>https://www.fabsurplus.com/sdi_catalog/salesItemDetails.do?id=84766</v>
      </c>
      <c r="B520" s="2" t="s">
        <v>1300</v>
      </c>
      <c r="C520" s="2" t="s">
        <v>1301</v>
      </c>
      <c r="D520" s="2" t="s">
        <v>1302</v>
      </c>
      <c r="E520" s="2" t="s">
        <v>1303</v>
      </c>
      <c r="F520" s="2" t="s">
        <v>16</v>
      </c>
      <c r="G520" s="2" t="s">
        <v>1304</v>
      </c>
      <c r="H520" s="2" t="s">
        <v>18</v>
      </c>
      <c r="I520" s="3" t="n">
        <v>41608.9583333333</v>
      </c>
      <c r="J520" s="2" t="s">
        <v>19</v>
      </c>
      <c r="K520" s="2" t="s">
        <v>20</v>
      </c>
      <c r="L520" s="4" t="s">
        <v>1305</v>
      </c>
    </row>
    <row r="521" customFormat="false" ht="15.65" hidden="false" customHeight="true" outlineLevel="0" collapsed="false">
      <c r="A521" s="5" t="str">
        <f aca="false">HYPERLINK("https://www.fabsurplus.com/sdi_catalog/salesItemDetails.do?id=108712")</f>
        <v>https://www.fabsurplus.com/sdi_catalog/salesItemDetails.do?id=108712</v>
      </c>
      <c r="B521" s="5" t="s">
        <v>1306</v>
      </c>
      <c r="C521" s="5" t="s">
        <v>1301</v>
      </c>
      <c r="D521" s="5" t="s">
        <v>1307</v>
      </c>
      <c r="E521" s="5" t="s">
        <v>1308</v>
      </c>
      <c r="F521" s="5" t="s">
        <v>16</v>
      </c>
      <c r="G521" s="5" t="s">
        <v>1309</v>
      </c>
      <c r="H521" s="5" t="s">
        <v>18</v>
      </c>
      <c r="I521" s="6" t="n">
        <v>38473</v>
      </c>
      <c r="J521" s="5" t="s">
        <v>42</v>
      </c>
      <c r="K521" s="5" t="s">
        <v>20</v>
      </c>
      <c r="L521" s="7" t="s">
        <v>1310</v>
      </c>
    </row>
    <row r="522" customFormat="false" ht="15.65" hidden="false" customHeight="true" outlineLevel="0" collapsed="false">
      <c r="A522" s="2" t="str">
        <f aca="false">HYPERLINK("https://www.fabsurplus.com/sdi_catalog/salesItemDetails.do?id=108724")</f>
        <v>https://www.fabsurplus.com/sdi_catalog/salesItemDetails.do?id=108724</v>
      </c>
      <c r="B522" s="2" t="s">
        <v>1311</v>
      </c>
      <c r="C522" s="2" t="s">
        <v>1312</v>
      </c>
      <c r="D522" s="2" t="s">
        <v>1313</v>
      </c>
      <c r="E522" s="2" t="s">
        <v>1314</v>
      </c>
      <c r="F522" s="2" t="s">
        <v>16</v>
      </c>
      <c r="G522" s="2" t="s">
        <v>70</v>
      </c>
      <c r="H522" s="2" t="s">
        <v>18</v>
      </c>
      <c r="I522" s="2"/>
      <c r="J522" s="2" t="s">
        <v>19</v>
      </c>
      <c r="K522" s="2" t="s">
        <v>20</v>
      </c>
      <c r="L522" s="4" t="s">
        <v>1315</v>
      </c>
    </row>
    <row r="523" customFormat="false" ht="15.65" hidden="false" customHeight="true" outlineLevel="0" collapsed="false">
      <c r="A523" s="5" t="str">
        <f aca="false">HYPERLINK("https://www.fabsurplus.com/sdi_catalog/salesItemDetails.do?id=77087")</f>
        <v>https://www.fabsurplus.com/sdi_catalog/salesItemDetails.do?id=77087</v>
      </c>
      <c r="B523" s="5" t="s">
        <v>1316</v>
      </c>
      <c r="C523" s="5" t="s">
        <v>1317</v>
      </c>
      <c r="D523" s="5" t="s">
        <v>1318</v>
      </c>
      <c r="E523" s="5" t="s">
        <v>1319</v>
      </c>
      <c r="F523" s="5" t="s">
        <v>16</v>
      </c>
      <c r="G523" s="5"/>
      <c r="H523" s="5"/>
      <c r="I523" s="5"/>
      <c r="J523" s="5" t="s">
        <v>19</v>
      </c>
      <c r="K523" s="5"/>
      <c r="L523" s="5"/>
    </row>
    <row r="524" customFormat="false" ht="15.65" hidden="false" customHeight="true" outlineLevel="0" collapsed="false">
      <c r="A524" s="2" t="str">
        <f aca="false">HYPERLINK("https://www.fabsurplus.com/sdi_catalog/salesItemDetails.do?id=108725")</f>
        <v>https://www.fabsurplus.com/sdi_catalog/salesItemDetails.do?id=108725</v>
      </c>
      <c r="B524" s="2" t="s">
        <v>1320</v>
      </c>
      <c r="C524" s="2" t="s">
        <v>1321</v>
      </c>
      <c r="D524" s="2" t="s">
        <v>1322</v>
      </c>
      <c r="E524" s="2" t="s">
        <v>1323</v>
      </c>
      <c r="F524" s="2" t="s">
        <v>151</v>
      </c>
      <c r="G524" s="2" t="s">
        <v>141</v>
      </c>
      <c r="H524" s="2" t="s">
        <v>18</v>
      </c>
      <c r="I524" s="2"/>
      <c r="J524" s="2" t="s">
        <v>19</v>
      </c>
      <c r="K524" s="2" t="s">
        <v>20</v>
      </c>
      <c r="L524" s="4" t="s">
        <v>1324</v>
      </c>
    </row>
    <row r="525" customFormat="false" ht="15.65" hidden="false" customHeight="true" outlineLevel="0" collapsed="false">
      <c r="A525" s="5" t="str">
        <f aca="false">HYPERLINK("https://www.fabsurplus.com/sdi_catalog/salesItemDetails.do?id=109574")</f>
        <v>https://www.fabsurplus.com/sdi_catalog/salesItemDetails.do?id=109574</v>
      </c>
      <c r="B525" s="5" t="s">
        <v>1325</v>
      </c>
      <c r="C525" s="5" t="s">
        <v>1326</v>
      </c>
      <c r="D525" s="5" t="s">
        <v>147</v>
      </c>
      <c r="E525" s="5" t="s">
        <v>1327</v>
      </c>
      <c r="F525" s="5" t="s">
        <v>1328</v>
      </c>
      <c r="G525" s="5" t="s">
        <v>141</v>
      </c>
      <c r="H525" s="5" t="s">
        <v>32</v>
      </c>
      <c r="I525" s="5"/>
      <c r="J525" s="5" t="s">
        <v>19</v>
      </c>
      <c r="K525" s="5" t="s">
        <v>20</v>
      </c>
      <c r="L525" s="7" t="s">
        <v>1329</v>
      </c>
    </row>
    <row r="526" customFormat="false" ht="15.65" hidden="false" customHeight="true" outlineLevel="0" collapsed="false">
      <c r="A526" s="2" t="str">
        <f aca="false">HYPERLINK("https://www.fabsurplus.com/sdi_catalog/salesItemDetails.do?id=108726")</f>
        <v>https://www.fabsurplus.com/sdi_catalog/salesItemDetails.do?id=108726</v>
      </c>
      <c r="B526" s="2" t="s">
        <v>1330</v>
      </c>
      <c r="C526" s="2" t="s">
        <v>1331</v>
      </c>
      <c r="D526" s="2" t="s">
        <v>1332</v>
      </c>
      <c r="E526" s="2" t="s">
        <v>1333</v>
      </c>
      <c r="F526" s="2" t="s">
        <v>16</v>
      </c>
      <c r="G526" s="2" t="s">
        <v>1293</v>
      </c>
      <c r="H526" s="2" t="s">
        <v>18</v>
      </c>
      <c r="I526" s="2"/>
      <c r="J526" s="2" t="s">
        <v>42</v>
      </c>
      <c r="K526" s="2" t="s">
        <v>20</v>
      </c>
      <c r="L526" s="4" t="s">
        <v>1334</v>
      </c>
    </row>
    <row r="527" customFormat="false" ht="15.65" hidden="false" customHeight="true" outlineLevel="0" collapsed="false">
      <c r="A527" s="5" t="str">
        <f aca="false">HYPERLINK("https://www.fabsurplus.com/sdi_catalog/salesItemDetails.do?id=108798")</f>
        <v>https://www.fabsurplus.com/sdi_catalog/salesItemDetails.do?id=108798</v>
      </c>
      <c r="B527" s="5" t="s">
        <v>1335</v>
      </c>
      <c r="C527" s="5" t="s">
        <v>1331</v>
      </c>
      <c r="D527" s="5" t="s">
        <v>1336</v>
      </c>
      <c r="E527" s="5" t="s">
        <v>1337</v>
      </c>
      <c r="F527" s="5" t="s">
        <v>16</v>
      </c>
      <c r="G527" s="5"/>
      <c r="H527" s="5"/>
      <c r="I527" s="5"/>
      <c r="J527" s="5" t="s">
        <v>42</v>
      </c>
      <c r="K527" s="5"/>
      <c r="L527" s="5" t="s">
        <v>131</v>
      </c>
    </row>
    <row r="528" customFormat="false" ht="15.65" hidden="false" customHeight="true" outlineLevel="0" collapsed="false">
      <c r="A528" s="2" t="str">
        <f aca="false">HYPERLINK("https://www.fabsurplus.com/sdi_catalog/salesItemDetails.do?id=108799")</f>
        <v>https://www.fabsurplus.com/sdi_catalog/salesItemDetails.do?id=108799</v>
      </c>
      <c r="B528" s="2" t="s">
        <v>1338</v>
      </c>
      <c r="C528" s="2" t="s">
        <v>1339</v>
      </c>
      <c r="D528" s="2" t="s">
        <v>1340</v>
      </c>
      <c r="E528" s="2" t="s">
        <v>1341</v>
      </c>
      <c r="F528" s="2" t="s">
        <v>16</v>
      </c>
      <c r="G528" s="2"/>
      <c r="H528" s="2"/>
      <c r="I528" s="2"/>
      <c r="J528" s="2" t="s">
        <v>42</v>
      </c>
      <c r="K528" s="2"/>
      <c r="L528" s="2" t="s">
        <v>131</v>
      </c>
    </row>
    <row r="529" customFormat="false" ht="15.65" hidden="false" customHeight="true" outlineLevel="0" collapsed="false">
      <c r="A529" s="5" t="str">
        <f aca="false">HYPERLINK("https://www.fabsurplus.com/sdi_catalog/salesItemDetails.do?id=77093")</f>
        <v>https://www.fabsurplus.com/sdi_catalog/salesItemDetails.do?id=77093</v>
      </c>
      <c r="B529" s="5" t="s">
        <v>1342</v>
      </c>
      <c r="C529" s="5" t="s">
        <v>1343</v>
      </c>
      <c r="D529" s="5" t="s">
        <v>1344</v>
      </c>
      <c r="E529" s="5" t="s">
        <v>1345</v>
      </c>
      <c r="F529" s="5" t="s">
        <v>16</v>
      </c>
      <c r="G529" s="5"/>
      <c r="H529" s="5"/>
      <c r="I529" s="5"/>
      <c r="J529" s="5" t="s">
        <v>19</v>
      </c>
      <c r="K529" s="5"/>
      <c r="L529" s="5"/>
    </row>
    <row r="530" customFormat="false" ht="15.65" hidden="false" customHeight="true" outlineLevel="0" collapsed="false">
      <c r="A530" s="2" t="str">
        <f aca="false">HYPERLINK("https://www.fabsurplus.com/sdi_catalog/salesItemDetails.do?id=83564")</f>
        <v>https://www.fabsurplus.com/sdi_catalog/salesItemDetails.do?id=83564</v>
      </c>
      <c r="B530" s="2" t="s">
        <v>1346</v>
      </c>
      <c r="C530" s="2" t="s">
        <v>1343</v>
      </c>
      <c r="D530" s="2" t="s">
        <v>1347</v>
      </c>
      <c r="E530" s="2" t="s">
        <v>1348</v>
      </c>
      <c r="F530" s="2" t="s">
        <v>16</v>
      </c>
      <c r="G530" s="2"/>
      <c r="H530" s="2" t="s">
        <v>32</v>
      </c>
      <c r="I530" s="2"/>
      <c r="J530" s="2" t="s">
        <v>19</v>
      </c>
      <c r="K530" s="2" t="s">
        <v>20</v>
      </c>
      <c r="L530" s="2" t="s">
        <v>1349</v>
      </c>
    </row>
    <row r="531" customFormat="false" ht="15.65" hidden="false" customHeight="true" outlineLevel="0" collapsed="false">
      <c r="A531" s="5" t="str">
        <f aca="false">HYPERLINK("https://www.fabsurplus.com/sdi_catalog/salesItemDetails.do?id=83593")</f>
        <v>https://www.fabsurplus.com/sdi_catalog/salesItemDetails.do?id=83593</v>
      </c>
      <c r="B531" s="5" t="s">
        <v>1350</v>
      </c>
      <c r="C531" s="5" t="s">
        <v>1343</v>
      </c>
      <c r="D531" s="5" t="s">
        <v>1351</v>
      </c>
      <c r="E531" s="5" t="s">
        <v>1352</v>
      </c>
      <c r="F531" s="5" t="s">
        <v>16</v>
      </c>
      <c r="G531" s="5"/>
      <c r="H531" s="5" t="s">
        <v>18</v>
      </c>
      <c r="I531" s="5"/>
      <c r="J531" s="5" t="s">
        <v>19</v>
      </c>
      <c r="K531" s="5" t="s">
        <v>20</v>
      </c>
      <c r="L531" s="5" t="s">
        <v>1353</v>
      </c>
    </row>
    <row r="532" customFormat="false" ht="15.65" hidden="false" customHeight="true" outlineLevel="0" collapsed="false">
      <c r="A532" s="2" t="str">
        <f aca="false">HYPERLINK("https://www.fabsurplus.com/sdi_catalog/salesItemDetails.do?id=83595")</f>
        <v>https://www.fabsurplus.com/sdi_catalog/salesItemDetails.do?id=83595</v>
      </c>
      <c r="B532" s="2" t="s">
        <v>1354</v>
      </c>
      <c r="C532" s="2" t="s">
        <v>1343</v>
      </c>
      <c r="D532" s="2" t="s">
        <v>1355</v>
      </c>
      <c r="E532" s="2" t="s">
        <v>1356</v>
      </c>
      <c r="F532" s="2" t="s">
        <v>16</v>
      </c>
      <c r="G532" s="2"/>
      <c r="H532" s="2" t="s">
        <v>18</v>
      </c>
      <c r="I532" s="2"/>
      <c r="J532" s="2" t="s">
        <v>19</v>
      </c>
      <c r="K532" s="2" t="s">
        <v>20</v>
      </c>
      <c r="L532" s="2" t="s">
        <v>1357</v>
      </c>
    </row>
    <row r="533" customFormat="false" ht="15.65" hidden="false" customHeight="true" outlineLevel="0" collapsed="false">
      <c r="A533" s="5" t="str">
        <f aca="false">HYPERLINK("https://www.fabsurplus.com/sdi_catalog/salesItemDetails.do?id=100700")</f>
        <v>https://www.fabsurplus.com/sdi_catalog/salesItemDetails.do?id=100700</v>
      </c>
      <c r="B533" s="5" t="s">
        <v>1358</v>
      </c>
      <c r="C533" s="5" t="s">
        <v>1359</v>
      </c>
      <c r="D533" s="5" t="s">
        <v>1360</v>
      </c>
      <c r="E533" s="5" t="s">
        <v>1361</v>
      </c>
      <c r="F533" s="5" t="s">
        <v>16</v>
      </c>
      <c r="G533" s="5" t="s">
        <v>1362</v>
      </c>
      <c r="H533" s="5" t="s">
        <v>453</v>
      </c>
      <c r="I533" s="6" t="n">
        <v>35309</v>
      </c>
      <c r="J533" s="5" t="s">
        <v>19</v>
      </c>
      <c r="K533" s="5" t="s">
        <v>20</v>
      </c>
      <c r="L533" s="7" t="s">
        <v>1363</v>
      </c>
    </row>
    <row r="534" customFormat="false" ht="15.65" hidden="false" customHeight="true" outlineLevel="0" collapsed="false">
      <c r="A534" s="2" t="str">
        <f aca="false">HYPERLINK("https://www.fabsurplus.com/sdi_catalog/salesItemDetails.do?id=108727")</f>
        <v>https://www.fabsurplus.com/sdi_catalog/salesItemDetails.do?id=108727</v>
      </c>
      <c r="B534" s="2" t="s">
        <v>1364</v>
      </c>
      <c r="C534" s="2" t="s">
        <v>1365</v>
      </c>
      <c r="D534" s="2" t="s">
        <v>1366</v>
      </c>
      <c r="E534" s="2" t="s">
        <v>1367</v>
      </c>
      <c r="F534" s="2" t="s">
        <v>16</v>
      </c>
      <c r="G534" s="2" t="s">
        <v>70</v>
      </c>
      <c r="H534" s="2" t="s">
        <v>453</v>
      </c>
      <c r="I534" s="3" t="n">
        <v>34060</v>
      </c>
      <c r="J534" s="2" t="s">
        <v>19</v>
      </c>
      <c r="K534" s="2" t="s">
        <v>20</v>
      </c>
      <c r="L534" s="4" t="s">
        <v>1368</v>
      </c>
    </row>
    <row r="535" customFormat="false" ht="15.65" hidden="false" customHeight="true" outlineLevel="0" collapsed="false">
      <c r="A535" s="5" t="str">
        <f aca="false">HYPERLINK("https://www.fabsurplus.com/sdi_catalog/salesItemDetails.do?id=109898")</f>
        <v>https://www.fabsurplus.com/sdi_catalog/salesItemDetails.do?id=109898</v>
      </c>
      <c r="B535" s="5" t="s">
        <v>1369</v>
      </c>
      <c r="C535" s="5" t="s">
        <v>1370</v>
      </c>
      <c r="D535" s="5" t="s">
        <v>1371</v>
      </c>
      <c r="E535" s="5" t="s">
        <v>164</v>
      </c>
      <c r="F535" s="5" t="s">
        <v>16</v>
      </c>
      <c r="G535" s="5" t="s">
        <v>165</v>
      </c>
      <c r="H535" s="5"/>
      <c r="I535" s="5"/>
      <c r="J535" s="5" t="s">
        <v>42</v>
      </c>
      <c r="K535" s="5"/>
      <c r="L535" s="5" t="s">
        <v>1372</v>
      </c>
    </row>
    <row r="536" customFormat="false" ht="15.65" hidden="false" customHeight="true" outlineLevel="0" collapsed="false">
      <c r="A536" s="2" t="str">
        <f aca="false">HYPERLINK("https://www.fabsurplus.com/sdi_catalog/salesItemDetails.do?id=109899")</f>
        <v>https://www.fabsurplus.com/sdi_catalog/salesItemDetails.do?id=109899</v>
      </c>
      <c r="B536" s="2" t="s">
        <v>1373</v>
      </c>
      <c r="C536" s="2" t="s">
        <v>1370</v>
      </c>
      <c r="D536" s="2" t="s">
        <v>1371</v>
      </c>
      <c r="E536" s="2" t="s">
        <v>164</v>
      </c>
      <c r="F536" s="2" t="s">
        <v>16</v>
      </c>
      <c r="G536" s="2" t="s">
        <v>165</v>
      </c>
      <c r="H536" s="2"/>
      <c r="I536" s="2"/>
      <c r="J536" s="2" t="s">
        <v>42</v>
      </c>
      <c r="K536" s="2"/>
      <c r="L536" s="2" t="s">
        <v>1374</v>
      </c>
    </row>
    <row r="537" customFormat="false" ht="15.65" hidden="false" customHeight="true" outlineLevel="0" collapsed="false">
      <c r="A537" s="5" t="str">
        <f aca="false">HYPERLINK("https://www.fabsurplus.com/sdi_catalog/salesItemDetails.do?id=109900")</f>
        <v>https://www.fabsurplus.com/sdi_catalog/salesItemDetails.do?id=109900</v>
      </c>
      <c r="B537" s="5" t="s">
        <v>1375</v>
      </c>
      <c r="C537" s="5" t="s">
        <v>1370</v>
      </c>
      <c r="D537" s="5" t="s">
        <v>1371</v>
      </c>
      <c r="E537" s="5" t="s">
        <v>164</v>
      </c>
      <c r="F537" s="5" t="s">
        <v>16</v>
      </c>
      <c r="G537" s="5" t="s">
        <v>165</v>
      </c>
      <c r="H537" s="5"/>
      <c r="I537" s="5"/>
      <c r="J537" s="5" t="s">
        <v>42</v>
      </c>
      <c r="K537" s="5"/>
      <c r="L537" s="5" t="s">
        <v>1374</v>
      </c>
    </row>
    <row r="538" customFormat="false" ht="15.65" hidden="false" customHeight="true" outlineLevel="0" collapsed="false">
      <c r="A538" s="2" t="str">
        <f aca="false">HYPERLINK("https://www.fabsurplus.com/sdi_catalog/salesItemDetails.do?id=109901")</f>
        <v>https://www.fabsurplus.com/sdi_catalog/salesItemDetails.do?id=109901</v>
      </c>
      <c r="B538" s="2" t="s">
        <v>1376</v>
      </c>
      <c r="C538" s="2" t="s">
        <v>1370</v>
      </c>
      <c r="D538" s="2" t="s">
        <v>1371</v>
      </c>
      <c r="E538" s="2" t="s">
        <v>164</v>
      </c>
      <c r="F538" s="2" t="s">
        <v>16</v>
      </c>
      <c r="G538" s="2" t="s">
        <v>165</v>
      </c>
      <c r="H538" s="2"/>
      <c r="I538" s="2"/>
      <c r="J538" s="2" t="s">
        <v>42</v>
      </c>
      <c r="K538" s="2"/>
      <c r="L538" s="2" t="s">
        <v>1374</v>
      </c>
    </row>
    <row r="539" customFormat="false" ht="15.65" hidden="false" customHeight="true" outlineLevel="0" collapsed="false">
      <c r="A539" s="5" t="str">
        <f aca="false">HYPERLINK("https://www.fabsurplus.com/sdi_catalog/salesItemDetails.do?id=109902")</f>
        <v>https://www.fabsurplus.com/sdi_catalog/salesItemDetails.do?id=109902</v>
      </c>
      <c r="B539" s="5" t="s">
        <v>1377</v>
      </c>
      <c r="C539" s="5" t="s">
        <v>1370</v>
      </c>
      <c r="D539" s="5" t="s">
        <v>1371</v>
      </c>
      <c r="E539" s="5" t="s">
        <v>164</v>
      </c>
      <c r="F539" s="5" t="s">
        <v>16</v>
      </c>
      <c r="G539" s="5" t="s">
        <v>165</v>
      </c>
      <c r="H539" s="5"/>
      <c r="I539" s="5"/>
      <c r="J539" s="5" t="s">
        <v>42</v>
      </c>
      <c r="K539" s="5"/>
      <c r="L539" s="5" t="s">
        <v>1374</v>
      </c>
    </row>
    <row r="540" customFormat="false" ht="15.65" hidden="false" customHeight="true" outlineLevel="0" collapsed="false">
      <c r="A540" s="2" t="str">
        <f aca="false">HYPERLINK("https://www.fabsurplus.com/sdi_catalog/salesItemDetails.do?id=109903")</f>
        <v>https://www.fabsurplus.com/sdi_catalog/salesItemDetails.do?id=109903</v>
      </c>
      <c r="B540" s="2" t="s">
        <v>1378</v>
      </c>
      <c r="C540" s="2" t="s">
        <v>1370</v>
      </c>
      <c r="D540" s="2" t="s">
        <v>1371</v>
      </c>
      <c r="E540" s="2" t="s">
        <v>164</v>
      </c>
      <c r="F540" s="2" t="s">
        <v>16</v>
      </c>
      <c r="G540" s="2" t="s">
        <v>165</v>
      </c>
      <c r="H540" s="2"/>
      <c r="I540" s="2"/>
      <c r="J540" s="2" t="s">
        <v>42</v>
      </c>
      <c r="K540" s="2"/>
      <c r="L540" s="2" t="s">
        <v>1374</v>
      </c>
    </row>
    <row r="541" customFormat="false" ht="15.65" hidden="false" customHeight="true" outlineLevel="0" collapsed="false">
      <c r="A541" s="5" t="str">
        <f aca="false">HYPERLINK("https://www.fabsurplus.com/sdi_catalog/salesItemDetails.do?id=109904")</f>
        <v>https://www.fabsurplus.com/sdi_catalog/salesItemDetails.do?id=109904</v>
      </c>
      <c r="B541" s="5" t="s">
        <v>1379</v>
      </c>
      <c r="C541" s="5" t="s">
        <v>1370</v>
      </c>
      <c r="D541" s="5" t="s">
        <v>1371</v>
      </c>
      <c r="E541" s="5" t="s">
        <v>164</v>
      </c>
      <c r="F541" s="5" t="s">
        <v>16</v>
      </c>
      <c r="G541" s="5" t="s">
        <v>165</v>
      </c>
      <c r="H541" s="5"/>
      <c r="I541" s="5"/>
      <c r="J541" s="5" t="s">
        <v>42</v>
      </c>
      <c r="K541" s="5"/>
      <c r="L541" s="5" t="s">
        <v>1374</v>
      </c>
    </row>
    <row r="542" customFormat="false" ht="15.65" hidden="false" customHeight="true" outlineLevel="0" collapsed="false">
      <c r="A542" s="2" t="str">
        <f aca="false">HYPERLINK("https://www.fabsurplus.com/sdi_catalog/salesItemDetails.do?id=109905")</f>
        <v>https://www.fabsurplus.com/sdi_catalog/salesItemDetails.do?id=109905</v>
      </c>
      <c r="B542" s="2" t="s">
        <v>1380</v>
      </c>
      <c r="C542" s="2" t="s">
        <v>1370</v>
      </c>
      <c r="D542" s="2" t="s">
        <v>1371</v>
      </c>
      <c r="E542" s="2" t="s">
        <v>164</v>
      </c>
      <c r="F542" s="2" t="s">
        <v>16</v>
      </c>
      <c r="G542" s="2" t="s">
        <v>165</v>
      </c>
      <c r="H542" s="2"/>
      <c r="I542" s="2"/>
      <c r="J542" s="2" t="s">
        <v>42</v>
      </c>
      <c r="K542" s="2"/>
      <c r="L542" s="2" t="s">
        <v>1374</v>
      </c>
    </row>
    <row r="543" customFormat="false" ht="15.65" hidden="false" customHeight="true" outlineLevel="0" collapsed="false">
      <c r="A543" s="5" t="str">
        <f aca="false">HYPERLINK("https://www.fabsurplus.com/sdi_catalog/salesItemDetails.do?id=109906")</f>
        <v>https://www.fabsurplus.com/sdi_catalog/salesItemDetails.do?id=109906</v>
      </c>
      <c r="B543" s="5" t="s">
        <v>1381</v>
      </c>
      <c r="C543" s="5" t="s">
        <v>1370</v>
      </c>
      <c r="D543" s="5" t="s">
        <v>1371</v>
      </c>
      <c r="E543" s="5" t="s">
        <v>164</v>
      </c>
      <c r="F543" s="5" t="s">
        <v>16</v>
      </c>
      <c r="G543" s="5" t="s">
        <v>165</v>
      </c>
      <c r="H543" s="5"/>
      <c r="I543" s="5"/>
      <c r="J543" s="5" t="s">
        <v>42</v>
      </c>
      <c r="K543" s="5"/>
      <c r="L543" s="5" t="s">
        <v>1374</v>
      </c>
    </row>
    <row r="544" customFormat="false" ht="15.65" hidden="false" customHeight="true" outlineLevel="0" collapsed="false">
      <c r="A544" s="2" t="str">
        <f aca="false">HYPERLINK("https://www.fabsurplus.com/sdi_catalog/salesItemDetails.do?id=109907")</f>
        <v>https://www.fabsurplus.com/sdi_catalog/salesItemDetails.do?id=109907</v>
      </c>
      <c r="B544" s="2" t="s">
        <v>1382</v>
      </c>
      <c r="C544" s="2" t="s">
        <v>1370</v>
      </c>
      <c r="D544" s="2" t="s">
        <v>1371</v>
      </c>
      <c r="E544" s="2" t="s">
        <v>164</v>
      </c>
      <c r="F544" s="2" t="s">
        <v>16</v>
      </c>
      <c r="G544" s="2" t="s">
        <v>165</v>
      </c>
      <c r="H544" s="2"/>
      <c r="I544" s="2"/>
      <c r="J544" s="2" t="s">
        <v>42</v>
      </c>
      <c r="K544" s="2"/>
      <c r="L544" s="2" t="s">
        <v>1374</v>
      </c>
    </row>
    <row r="545" customFormat="false" ht="15.65" hidden="false" customHeight="true" outlineLevel="0" collapsed="false">
      <c r="A545" s="5" t="str">
        <f aca="false">HYPERLINK("https://www.fabsurplus.com/sdi_catalog/salesItemDetails.do?id=86305")</f>
        <v>https://www.fabsurplus.com/sdi_catalog/salesItemDetails.do?id=86305</v>
      </c>
      <c r="B545" s="5" t="s">
        <v>1383</v>
      </c>
      <c r="C545" s="5" t="s">
        <v>1384</v>
      </c>
      <c r="D545" s="5" t="s">
        <v>1385</v>
      </c>
      <c r="E545" s="5" t="s">
        <v>1386</v>
      </c>
      <c r="F545" s="5" t="s">
        <v>16</v>
      </c>
      <c r="G545" s="5"/>
      <c r="H545" s="5" t="s">
        <v>18</v>
      </c>
      <c r="I545" s="5"/>
      <c r="J545" s="5" t="s">
        <v>19</v>
      </c>
      <c r="K545" s="5" t="s">
        <v>20</v>
      </c>
      <c r="L545" s="7" t="s">
        <v>1387</v>
      </c>
    </row>
    <row r="546" customFormat="false" ht="15.65" hidden="false" customHeight="true" outlineLevel="0" collapsed="false">
      <c r="A546" s="2" t="str">
        <f aca="false">HYPERLINK("https://www.fabsurplus.com/sdi_catalog/salesItemDetails.do?id=107327")</f>
        <v>https://www.fabsurplus.com/sdi_catalog/salesItemDetails.do?id=107327</v>
      </c>
      <c r="B546" s="2" t="s">
        <v>1388</v>
      </c>
      <c r="C546" s="2" t="s">
        <v>1384</v>
      </c>
      <c r="D546" s="2" t="s">
        <v>1389</v>
      </c>
      <c r="E546" s="2" t="s">
        <v>1390</v>
      </c>
      <c r="F546" s="2" t="s">
        <v>16</v>
      </c>
      <c r="G546" s="2" t="s">
        <v>104</v>
      </c>
      <c r="H546" s="2" t="s">
        <v>18</v>
      </c>
      <c r="I546" s="2"/>
      <c r="J546" s="2" t="s">
        <v>286</v>
      </c>
      <c r="K546" s="2" t="s">
        <v>20</v>
      </c>
      <c r="L546" s="4" t="s">
        <v>1391</v>
      </c>
    </row>
    <row r="547" customFormat="false" ht="15.65" hidden="false" customHeight="true" outlineLevel="0" collapsed="false">
      <c r="A547" s="5" t="str">
        <f aca="false">HYPERLINK("https://www.fabsurplus.com/sdi_catalog/salesItemDetails.do?id=84551")</f>
        <v>https://www.fabsurplus.com/sdi_catalog/salesItemDetails.do?id=84551</v>
      </c>
      <c r="B547" s="5" t="s">
        <v>1392</v>
      </c>
      <c r="C547" s="5" t="s">
        <v>1384</v>
      </c>
      <c r="D547" s="5" t="s">
        <v>1393</v>
      </c>
      <c r="E547" s="5" t="s">
        <v>1394</v>
      </c>
      <c r="F547" s="5" t="s">
        <v>16</v>
      </c>
      <c r="G547" s="5"/>
      <c r="H547" s="5" t="s">
        <v>1395</v>
      </c>
      <c r="I547" s="5"/>
      <c r="J547" s="5" t="s">
        <v>19</v>
      </c>
      <c r="K547" s="5" t="s">
        <v>20</v>
      </c>
      <c r="L547" s="7" t="s">
        <v>1396</v>
      </c>
    </row>
    <row r="548" customFormat="false" ht="15.65" hidden="false" customHeight="true" outlineLevel="0" collapsed="false">
      <c r="A548" s="2" t="str">
        <f aca="false">HYPERLINK("https://www.fabsurplus.com/sdi_catalog/salesItemDetails.do?id=109908")</f>
        <v>https://www.fabsurplus.com/sdi_catalog/salesItemDetails.do?id=109908</v>
      </c>
      <c r="B548" s="2" t="s">
        <v>1397</v>
      </c>
      <c r="C548" s="2" t="s">
        <v>1384</v>
      </c>
      <c r="D548" s="2" t="s">
        <v>1398</v>
      </c>
      <c r="E548" s="2" t="s">
        <v>763</v>
      </c>
      <c r="F548" s="2" t="s">
        <v>16</v>
      </c>
      <c r="G548" s="2" t="s">
        <v>165</v>
      </c>
      <c r="H548" s="2"/>
      <c r="I548" s="2"/>
      <c r="J548" s="2" t="s">
        <v>42</v>
      </c>
      <c r="K548" s="2"/>
      <c r="L548" s="2" t="s">
        <v>1399</v>
      </c>
    </row>
    <row r="549" customFormat="false" ht="15.65" hidden="false" customHeight="true" outlineLevel="0" collapsed="false">
      <c r="A549" s="5" t="str">
        <f aca="false">HYPERLINK("https://www.fabsurplus.com/sdi_catalog/salesItemDetails.do?id=109909")</f>
        <v>https://www.fabsurplus.com/sdi_catalog/salesItemDetails.do?id=109909</v>
      </c>
      <c r="B549" s="5" t="s">
        <v>1400</v>
      </c>
      <c r="C549" s="5" t="s">
        <v>1384</v>
      </c>
      <c r="D549" s="5" t="s">
        <v>1401</v>
      </c>
      <c r="E549" s="5" t="s">
        <v>763</v>
      </c>
      <c r="F549" s="5" t="s">
        <v>16</v>
      </c>
      <c r="G549" s="5" t="s">
        <v>165</v>
      </c>
      <c r="H549" s="5"/>
      <c r="I549" s="5"/>
      <c r="J549" s="5" t="s">
        <v>42</v>
      </c>
      <c r="K549" s="5"/>
      <c r="L549" s="5" t="s">
        <v>1402</v>
      </c>
    </row>
    <row r="550" customFormat="false" ht="15.65" hidden="false" customHeight="true" outlineLevel="0" collapsed="false">
      <c r="A550" s="2" t="str">
        <f aca="false">HYPERLINK("https://www.fabsurplus.com/sdi_catalog/salesItemDetails.do?id=109910")</f>
        <v>https://www.fabsurplus.com/sdi_catalog/salesItemDetails.do?id=109910</v>
      </c>
      <c r="B550" s="2" t="s">
        <v>1403</v>
      </c>
      <c r="C550" s="2" t="s">
        <v>1384</v>
      </c>
      <c r="D550" s="2" t="s">
        <v>1401</v>
      </c>
      <c r="E550" s="2" t="s">
        <v>763</v>
      </c>
      <c r="F550" s="2" t="s">
        <v>16</v>
      </c>
      <c r="G550" s="2" t="s">
        <v>165</v>
      </c>
      <c r="H550" s="2"/>
      <c r="I550" s="2"/>
      <c r="J550" s="2" t="s">
        <v>42</v>
      </c>
      <c r="K550" s="2"/>
      <c r="L550" s="2" t="s">
        <v>1402</v>
      </c>
    </row>
    <row r="551" customFormat="false" ht="15.65" hidden="false" customHeight="true" outlineLevel="0" collapsed="false">
      <c r="A551" s="5" t="str">
        <f aca="false">HYPERLINK("https://www.fabsurplus.com/sdi_catalog/salesItemDetails.do?id=109911")</f>
        <v>https://www.fabsurplus.com/sdi_catalog/salesItemDetails.do?id=109911</v>
      </c>
      <c r="B551" s="5" t="s">
        <v>1404</v>
      </c>
      <c r="C551" s="5" t="s">
        <v>1384</v>
      </c>
      <c r="D551" s="5" t="s">
        <v>1405</v>
      </c>
      <c r="E551" s="5" t="s">
        <v>763</v>
      </c>
      <c r="F551" s="5" t="s">
        <v>16</v>
      </c>
      <c r="G551" s="5" t="s">
        <v>165</v>
      </c>
      <c r="H551" s="5"/>
      <c r="I551" s="5"/>
      <c r="J551" s="5" t="s">
        <v>42</v>
      </c>
      <c r="K551" s="5"/>
      <c r="L551" s="5" t="s">
        <v>1406</v>
      </c>
    </row>
    <row r="552" customFormat="false" ht="15.65" hidden="false" customHeight="true" outlineLevel="0" collapsed="false">
      <c r="A552" s="2" t="str">
        <f aca="false">HYPERLINK("https://www.fabsurplus.com/sdi_catalog/salesItemDetails.do?id=109912")</f>
        <v>https://www.fabsurplus.com/sdi_catalog/salesItemDetails.do?id=109912</v>
      </c>
      <c r="B552" s="2" t="s">
        <v>1407</v>
      </c>
      <c r="C552" s="2" t="s">
        <v>1384</v>
      </c>
      <c r="D552" s="2" t="s">
        <v>1408</v>
      </c>
      <c r="E552" s="2" t="s">
        <v>748</v>
      </c>
      <c r="F552" s="2" t="s">
        <v>16</v>
      </c>
      <c r="G552" s="2" t="s">
        <v>165</v>
      </c>
      <c r="H552" s="2"/>
      <c r="I552" s="2"/>
      <c r="J552" s="2" t="s">
        <v>42</v>
      </c>
      <c r="K552" s="2"/>
      <c r="L552" s="2" t="s">
        <v>1409</v>
      </c>
    </row>
    <row r="553" customFormat="false" ht="15.65" hidden="false" customHeight="true" outlineLevel="0" collapsed="false">
      <c r="A553" s="5" t="str">
        <f aca="false">HYPERLINK("https://www.fabsurplus.com/sdi_catalog/salesItemDetails.do?id=109913")</f>
        <v>https://www.fabsurplus.com/sdi_catalog/salesItemDetails.do?id=109913</v>
      </c>
      <c r="B553" s="5" t="s">
        <v>1410</v>
      </c>
      <c r="C553" s="5" t="s">
        <v>1384</v>
      </c>
      <c r="D553" s="5" t="s">
        <v>1411</v>
      </c>
      <c r="E553" s="5" t="s">
        <v>164</v>
      </c>
      <c r="F553" s="5" t="s">
        <v>16</v>
      </c>
      <c r="G553" s="5" t="s">
        <v>165</v>
      </c>
      <c r="H553" s="5"/>
      <c r="I553" s="5"/>
      <c r="J553" s="5" t="s">
        <v>42</v>
      </c>
      <c r="K553" s="5"/>
      <c r="L553" s="5" t="s">
        <v>1412</v>
      </c>
    </row>
    <row r="554" customFormat="false" ht="15.65" hidden="false" customHeight="true" outlineLevel="0" collapsed="false">
      <c r="A554" s="2" t="str">
        <f aca="false">HYPERLINK("https://www.fabsurplus.com/sdi_catalog/salesItemDetails.do?id=109914")</f>
        <v>https://www.fabsurplus.com/sdi_catalog/salesItemDetails.do?id=109914</v>
      </c>
      <c r="B554" s="2" t="s">
        <v>1413</v>
      </c>
      <c r="C554" s="2" t="s">
        <v>1384</v>
      </c>
      <c r="D554" s="2" t="s">
        <v>1411</v>
      </c>
      <c r="E554" s="2" t="s">
        <v>164</v>
      </c>
      <c r="F554" s="2" t="s">
        <v>16</v>
      </c>
      <c r="G554" s="2" t="s">
        <v>165</v>
      </c>
      <c r="H554" s="2"/>
      <c r="I554" s="2"/>
      <c r="J554" s="2" t="s">
        <v>42</v>
      </c>
      <c r="K554" s="2"/>
      <c r="L554" s="2" t="s">
        <v>1412</v>
      </c>
    </row>
    <row r="555" customFormat="false" ht="15.65" hidden="false" customHeight="true" outlineLevel="0" collapsed="false">
      <c r="A555" s="5" t="str">
        <f aca="false">HYPERLINK("https://www.fabsurplus.com/sdi_catalog/salesItemDetails.do?id=109915")</f>
        <v>https://www.fabsurplus.com/sdi_catalog/salesItemDetails.do?id=109915</v>
      </c>
      <c r="B555" s="5" t="s">
        <v>1414</v>
      </c>
      <c r="C555" s="5" t="s">
        <v>1384</v>
      </c>
      <c r="D555" s="5" t="s">
        <v>1411</v>
      </c>
      <c r="E555" s="5" t="s">
        <v>164</v>
      </c>
      <c r="F555" s="5" t="s">
        <v>16</v>
      </c>
      <c r="G555" s="5" t="s">
        <v>165</v>
      </c>
      <c r="H555" s="5"/>
      <c r="I555" s="5"/>
      <c r="J555" s="5" t="s">
        <v>42</v>
      </c>
      <c r="K555" s="5"/>
      <c r="L555" s="5" t="s">
        <v>1412</v>
      </c>
    </row>
    <row r="556" customFormat="false" ht="15.65" hidden="false" customHeight="true" outlineLevel="0" collapsed="false">
      <c r="A556" s="2" t="str">
        <f aca="false">HYPERLINK("https://www.fabsurplus.com/sdi_catalog/salesItemDetails.do?id=109916")</f>
        <v>https://www.fabsurplus.com/sdi_catalog/salesItemDetails.do?id=109916</v>
      </c>
      <c r="B556" s="2" t="s">
        <v>1415</v>
      </c>
      <c r="C556" s="2" t="s">
        <v>1384</v>
      </c>
      <c r="D556" s="2" t="s">
        <v>1416</v>
      </c>
      <c r="E556" s="2" t="s">
        <v>763</v>
      </c>
      <c r="F556" s="2" t="s">
        <v>16</v>
      </c>
      <c r="G556" s="2" t="s">
        <v>165</v>
      </c>
      <c r="H556" s="2"/>
      <c r="I556" s="2"/>
      <c r="J556" s="2" t="s">
        <v>42</v>
      </c>
      <c r="K556" s="2"/>
      <c r="L556" s="2" t="s">
        <v>1417</v>
      </c>
    </row>
    <row r="557" customFormat="false" ht="15.65" hidden="false" customHeight="true" outlineLevel="0" collapsed="false">
      <c r="A557" s="5" t="str">
        <f aca="false">HYPERLINK("https://www.fabsurplus.com/sdi_catalog/salesItemDetails.do?id=109917")</f>
        <v>https://www.fabsurplus.com/sdi_catalog/salesItemDetails.do?id=109917</v>
      </c>
      <c r="B557" s="5" t="s">
        <v>1418</v>
      </c>
      <c r="C557" s="5" t="s">
        <v>1384</v>
      </c>
      <c r="D557" s="5" t="s">
        <v>1419</v>
      </c>
      <c r="E557" s="5" t="s">
        <v>763</v>
      </c>
      <c r="F557" s="5" t="s">
        <v>16</v>
      </c>
      <c r="G557" s="5" t="s">
        <v>165</v>
      </c>
      <c r="H557" s="5"/>
      <c r="I557" s="5"/>
      <c r="J557" s="5" t="s">
        <v>42</v>
      </c>
      <c r="K557" s="5"/>
      <c r="L557" s="5" t="s">
        <v>686</v>
      </c>
    </row>
    <row r="558" customFormat="false" ht="15.65" hidden="false" customHeight="true" outlineLevel="0" collapsed="false">
      <c r="A558" s="2" t="str">
        <f aca="false">HYPERLINK("https://www.fabsurplus.com/sdi_catalog/salesItemDetails.do?id=109918")</f>
        <v>https://www.fabsurplus.com/sdi_catalog/salesItemDetails.do?id=109918</v>
      </c>
      <c r="B558" s="2" t="s">
        <v>1420</v>
      </c>
      <c r="C558" s="2" t="s">
        <v>1384</v>
      </c>
      <c r="D558" s="2" t="s">
        <v>1419</v>
      </c>
      <c r="E558" s="2" t="s">
        <v>763</v>
      </c>
      <c r="F558" s="2" t="s">
        <v>16</v>
      </c>
      <c r="G558" s="2" t="s">
        <v>165</v>
      </c>
      <c r="H558" s="2"/>
      <c r="I558" s="2"/>
      <c r="J558" s="2" t="s">
        <v>42</v>
      </c>
      <c r="K558" s="2"/>
      <c r="L558" s="2" t="s">
        <v>1421</v>
      </c>
    </row>
    <row r="559" customFormat="false" ht="15.65" hidden="false" customHeight="true" outlineLevel="0" collapsed="false">
      <c r="A559" s="5" t="str">
        <f aca="false">HYPERLINK("https://www.fabsurplus.com/sdi_catalog/salesItemDetails.do?id=109919")</f>
        <v>https://www.fabsurplus.com/sdi_catalog/salesItemDetails.do?id=109919</v>
      </c>
      <c r="B559" s="5" t="s">
        <v>1422</v>
      </c>
      <c r="C559" s="5" t="s">
        <v>1384</v>
      </c>
      <c r="D559" s="5" t="s">
        <v>1419</v>
      </c>
      <c r="E559" s="5" t="s">
        <v>763</v>
      </c>
      <c r="F559" s="5" t="s">
        <v>16</v>
      </c>
      <c r="G559" s="5" t="s">
        <v>165</v>
      </c>
      <c r="H559" s="5"/>
      <c r="I559" s="5"/>
      <c r="J559" s="5" t="s">
        <v>42</v>
      </c>
      <c r="K559" s="5"/>
      <c r="L559" s="5" t="s">
        <v>1423</v>
      </c>
    </row>
    <row r="560" customFormat="false" ht="15.65" hidden="false" customHeight="true" outlineLevel="0" collapsed="false">
      <c r="A560" s="2" t="str">
        <f aca="false">HYPERLINK("https://www.fabsurplus.com/sdi_catalog/salesItemDetails.do?id=109920")</f>
        <v>https://www.fabsurplus.com/sdi_catalog/salesItemDetails.do?id=109920</v>
      </c>
      <c r="B560" s="2" t="s">
        <v>1424</v>
      </c>
      <c r="C560" s="2" t="s">
        <v>1384</v>
      </c>
      <c r="D560" s="2" t="s">
        <v>1419</v>
      </c>
      <c r="E560" s="2" t="s">
        <v>763</v>
      </c>
      <c r="F560" s="2" t="s">
        <v>16</v>
      </c>
      <c r="G560" s="2" t="s">
        <v>165</v>
      </c>
      <c r="H560" s="2"/>
      <c r="I560" s="2"/>
      <c r="J560" s="2" t="s">
        <v>42</v>
      </c>
      <c r="K560" s="2"/>
      <c r="L560" s="2" t="s">
        <v>1423</v>
      </c>
    </row>
    <row r="561" customFormat="false" ht="15.65" hidden="false" customHeight="true" outlineLevel="0" collapsed="false">
      <c r="A561" s="5" t="str">
        <f aca="false">HYPERLINK("https://www.fabsurplus.com/sdi_catalog/salesItemDetails.do?id=109921")</f>
        <v>https://www.fabsurplus.com/sdi_catalog/salesItemDetails.do?id=109921</v>
      </c>
      <c r="B561" s="5" t="s">
        <v>1425</v>
      </c>
      <c r="C561" s="5" t="s">
        <v>1384</v>
      </c>
      <c r="D561" s="5" t="s">
        <v>1419</v>
      </c>
      <c r="E561" s="5" t="s">
        <v>763</v>
      </c>
      <c r="F561" s="5" t="s">
        <v>16</v>
      </c>
      <c r="G561" s="5" t="s">
        <v>165</v>
      </c>
      <c r="H561" s="5"/>
      <c r="I561" s="5"/>
      <c r="J561" s="5" t="s">
        <v>42</v>
      </c>
      <c r="K561" s="5"/>
      <c r="L561" s="5" t="s">
        <v>1426</v>
      </c>
    </row>
    <row r="562" customFormat="false" ht="15.65" hidden="false" customHeight="true" outlineLevel="0" collapsed="false">
      <c r="A562" s="2" t="str">
        <f aca="false">HYPERLINK("https://www.fabsurplus.com/sdi_catalog/salesItemDetails.do?id=109922")</f>
        <v>https://www.fabsurplus.com/sdi_catalog/salesItemDetails.do?id=109922</v>
      </c>
      <c r="B562" s="2" t="s">
        <v>1427</v>
      </c>
      <c r="C562" s="2" t="s">
        <v>1384</v>
      </c>
      <c r="D562" s="2" t="s">
        <v>1419</v>
      </c>
      <c r="E562" s="2" t="s">
        <v>763</v>
      </c>
      <c r="F562" s="2" t="s">
        <v>16</v>
      </c>
      <c r="G562" s="2" t="s">
        <v>165</v>
      </c>
      <c r="H562" s="2"/>
      <c r="I562" s="2"/>
      <c r="J562" s="2" t="s">
        <v>42</v>
      </c>
      <c r="K562" s="2"/>
      <c r="L562" s="2" t="s">
        <v>1426</v>
      </c>
    </row>
    <row r="563" customFormat="false" ht="15.65" hidden="false" customHeight="true" outlineLevel="0" collapsed="false">
      <c r="A563" s="5" t="str">
        <f aca="false">HYPERLINK("https://www.fabsurplus.com/sdi_catalog/salesItemDetails.do?id=109923")</f>
        <v>https://www.fabsurplus.com/sdi_catalog/salesItemDetails.do?id=109923</v>
      </c>
      <c r="B563" s="5" t="s">
        <v>1428</v>
      </c>
      <c r="C563" s="5" t="s">
        <v>1384</v>
      </c>
      <c r="D563" s="5" t="s">
        <v>1419</v>
      </c>
      <c r="E563" s="5" t="s">
        <v>763</v>
      </c>
      <c r="F563" s="5" t="s">
        <v>16</v>
      </c>
      <c r="G563" s="5" t="s">
        <v>165</v>
      </c>
      <c r="H563" s="5"/>
      <c r="I563" s="5"/>
      <c r="J563" s="5" t="s">
        <v>42</v>
      </c>
      <c r="K563" s="5"/>
      <c r="L563" s="5" t="s">
        <v>1429</v>
      </c>
    </row>
    <row r="564" customFormat="false" ht="15.65" hidden="false" customHeight="true" outlineLevel="0" collapsed="false">
      <c r="A564" s="2" t="str">
        <f aca="false">HYPERLINK("https://www.fabsurplus.com/sdi_catalog/salesItemDetails.do?id=109924")</f>
        <v>https://www.fabsurplus.com/sdi_catalog/salesItemDetails.do?id=109924</v>
      </c>
      <c r="B564" s="2" t="s">
        <v>1430</v>
      </c>
      <c r="C564" s="2" t="s">
        <v>1384</v>
      </c>
      <c r="D564" s="2" t="s">
        <v>1419</v>
      </c>
      <c r="E564" s="2" t="s">
        <v>763</v>
      </c>
      <c r="F564" s="2" t="s">
        <v>16</v>
      </c>
      <c r="G564" s="2" t="s">
        <v>165</v>
      </c>
      <c r="H564" s="2"/>
      <c r="I564" s="2"/>
      <c r="J564" s="2" t="s">
        <v>42</v>
      </c>
      <c r="K564" s="2"/>
      <c r="L564" s="2" t="s">
        <v>1429</v>
      </c>
    </row>
    <row r="565" customFormat="false" ht="15.65" hidden="false" customHeight="true" outlineLevel="0" collapsed="false">
      <c r="A565" s="5" t="str">
        <f aca="false">HYPERLINK("https://www.fabsurplus.com/sdi_catalog/salesItemDetails.do?id=109925")</f>
        <v>https://www.fabsurplus.com/sdi_catalog/salesItemDetails.do?id=109925</v>
      </c>
      <c r="B565" s="5" t="s">
        <v>1431</v>
      </c>
      <c r="C565" s="5" t="s">
        <v>1384</v>
      </c>
      <c r="D565" s="5" t="s">
        <v>1419</v>
      </c>
      <c r="E565" s="5" t="s">
        <v>763</v>
      </c>
      <c r="F565" s="5" t="s">
        <v>16</v>
      </c>
      <c r="G565" s="5" t="s">
        <v>165</v>
      </c>
      <c r="H565" s="5"/>
      <c r="I565" s="5"/>
      <c r="J565" s="5" t="s">
        <v>42</v>
      </c>
      <c r="K565" s="5"/>
      <c r="L565" s="5" t="s">
        <v>1429</v>
      </c>
    </row>
    <row r="566" customFormat="false" ht="15.65" hidden="false" customHeight="true" outlineLevel="0" collapsed="false">
      <c r="A566" s="2" t="str">
        <f aca="false">HYPERLINK("https://www.fabsurplus.com/sdi_catalog/salesItemDetails.do?id=109926")</f>
        <v>https://www.fabsurplus.com/sdi_catalog/salesItemDetails.do?id=109926</v>
      </c>
      <c r="B566" s="2" t="s">
        <v>1432</v>
      </c>
      <c r="C566" s="2" t="s">
        <v>1384</v>
      </c>
      <c r="D566" s="2" t="s">
        <v>1419</v>
      </c>
      <c r="E566" s="2" t="s">
        <v>763</v>
      </c>
      <c r="F566" s="2" t="s">
        <v>16</v>
      </c>
      <c r="G566" s="2" t="s">
        <v>165</v>
      </c>
      <c r="H566" s="2"/>
      <c r="I566" s="2"/>
      <c r="J566" s="2" t="s">
        <v>42</v>
      </c>
      <c r="K566" s="2"/>
      <c r="L566" s="2" t="s">
        <v>1433</v>
      </c>
    </row>
    <row r="567" customFormat="false" ht="15.65" hidden="false" customHeight="true" outlineLevel="0" collapsed="false">
      <c r="A567" s="5" t="str">
        <f aca="false">HYPERLINK("https://www.fabsurplus.com/sdi_catalog/salesItemDetails.do?id=109927")</f>
        <v>https://www.fabsurplus.com/sdi_catalog/salesItemDetails.do?id=109927</v>
      </c>
      <c r="B567" s="5" t="s">
        <v>1434</v>
      </c>
      <c r="C567" s="5" t="s">
        <v>1384</v>
      </c>
      <c r="D567" s="5" t="s">
        <v>1419</v>
      </c>
      <c r="E567" s="5" t="s">
        <v>763</v>
      </c>
      <c r="F567" s="5" t="s">
        <v>16</v>
      </c>
      <c r="G567" s="5" t="s">
        <v>165</v>
      </c>
      <c r="H567" s="5"/>
      <c r="I567" s="5"/>
      <c r="J567" s="5" t="s">
        <v>42</v>
      </c>
      <c r="K567" s="5"/>
      <c r="L567" s="5" t="s">
        <v>1435</v>
      </c>
    </row>
    <row r="568" customFormat="false" ht="15.65" hidden="false" customHeight="true" outlineLevel="0" collapsed="false">
      <c r="A568" s="2" t="str">
        <f aca="false">HYPERLINK("https://www.fabsurplus.com/sdi_catalog/salesItemDetails.do?id=109928")</f>
        <v>https://www.fabsurplus.com/sdi_catalog/salesItemDetails.do?id=109928</v>
      </c>
      <c r="B568" s="2" t="s">
        <v>1436</v>
      </c>
      <c r="C568" s="2" t="s">
        <v>1384</v>
      </c>
      <c r="D568" s="2" t="s">
        <v>1437</v>
      </c>
      <c r="E568" s="2" t="s">
        <v>164</v>
      </c>
      <c r="F568" s="2" t="s">
        <v>16</v>
      </c>
      <c r="G568" s="2" t="s">
        <v>165</v>
      </c>
      <c r="H568" s="2"/>
      <c r="I568" s="2"/>
      <c r="J568" s="2" t="s">
        <v>42</v>
      </c>
      <c r="K568" s="2"/>
      <c r="L568" s="2" t="s">
        <v>686</v>
      </c>
    </row>
    <row r="569" customFormat="false" ht="15.65" hidden="false" customHeight="true" outlineLevel="0" collapsed="false">
      <c r="A569" s="5" t="str">
        <f aca="false">HYPERLINK("https://www.fabsurplus.com/sdi_catalog/salesItemDetails.do?id=109929")</f>
        <v>https://www.fabsurplus.com/sdi_catalog/salesItemDetails.do?id=109929</v>
      </c>
      <c r="B569" s="5" t="s">
        <v>1438</v>
      </c>
      <c r="C569" s="5" t="s">
        <v>1384</v>
      </c>
      <c r="D569" s="5" t="s">
        <v>1437</v>
      </c>
      <c r="E569" s="5" t="s">
        <v>164</v>
      </c>
      <c r="F569" s="5" t="s">
        <v>16</v>
      </c>
      <c r="G569" s="5" t="s">
        <v>165</v>
      </c>
      <c r="H569" s="5"/>
      <c r="I569" s="5"/>
      <c r="J569" s="5" t="s">
        <v>42</v>
      </c>
      <c r="K569" s="5"/>
      <c r="L569" s="5" t="s">
        <v>1439</v>
      </c>
    </row>
    <row r="570" customFormat="false" ht="15.65" hidden="false" customHeight="true" outlineLevel="0" collapsed="false">
      <c r="A570" s="2" t="str">
        <f aca="false">HYPERLINK("https://www.fabsurplus.com/sdi_catalog/salesItemDetails.do?id=109930")</f>
        <v>https://www.fabsurplus.com/sdi_catalog/salesItemDetails.do?id=109930</v>
      </c>
      <c r="B570" s="2" t="s">
        <v>1440</v>
      </c>
      <c r="C570" s="2" t="s">
        <v>1384</v>
      </c>
      <c r="D570" s="2" t="s">
        <v>1437</v>
      </c>
      <c r="E570" s="2" t="s">
        <v>164</v>
      </c>
      <c r="F570" s="2" t="s">
        <v>16</v>
      </c>
      <c r="G570" s="2" t="s">
        <v>165</v>
      </c>
      <c r="H570" s="2"/>
      <c r="I570" s="2"/>
      <c r="J570" s="2" t="s">
        <v>42</v>
      </c>
      <c r="K570" s="2"/>
      <c r="L570" s="2" t="s">
        <v>1439</v>
      </c>
    </row>
    <row r="571" customFormat="false" ht="15.65" hidden="false" customHeight="true" outlineLevel="0" collapsed="false">
      <c r="A571" s="5" t="str">
        <f aca="false">HYPERLINK("https://www.fabsurplus.com/sdi_catalog/salesItemDetails.do?id=109931")</f>
        <v>https://www.fabsurplus.com/sdi_catalog/salesItemDetails.do?id=109931</v>
      </c>
      <c r="B571" s="5" t="s">
        <v>1441</v>
      </c>
      <c r="C571" s="5" t="s">
        <v>1384</v>
      </c>
      <c r="D571" s="5" t="s">
        <v>1442</v>
      </c>
      <c r="E571" s="5" t="s">
        <v>164</v>
      </c>
      <c r="F571" s="5" t="s">
        <v>16</v>
      </c>
      <c r="G571" s="5" t="s">
        <v>165</v>
      </c>
      <c r="H571" s="5"/>
      <c r="I571" s="5"/>
      <c r="J571" s="5" t="s">
        <v>42</v>
      </c>
      <c r="K571" s="5"/>
      <c r="L571" s="5" t="s">
        <v>1443</v>
      </c>
    </row>
    <row r="572" customFormat="false" ht="15.65" hidden="false" customHeight="true" outlineLevel="0" collapsed="false">
      <c r="A572" s="2" t="str">
        <f aca="false">HYPERLINK("https://www.fabsurplus.com/sdi_catalog/salesItemDetails.do?id=109932")</f>
        <v>https://www.fabsurplus.com/sdi_catalog/salesItemDetails.do?id=109932</v>
      </c>
      <c r="B572" s="2" t="s">
        <v>1444</v>
      </c>
      <c r="C572" s="2" t="s">
        <v>1384</v>
      </c>
      <c r="D572" s="2" t="s">
        <v>1445</v>
      </c>
      <c r="E572" s="2" t="s">
        <v>164</v>
      </c>
      <c r="F572" s="2" t="s">
        <v>16</v>
      </c>
      <c r="G572" s="2" t="s">
        <v>165</v>
      </c>
      <c r="H572" s="2"/>
      <c r="I572" s="2"/>
      <c r="J572" s="2" t="s">
        <v>42</v>
      </c>
      <c r="K572" s="2"/>
      <c r="L572" s="2" t="s">
        <v>1446</v>
      </c>
    </row>
    <row r="573" customFormat="false" ht="15.65" hidden="false" customHeight="true" outlineLevel="0" collapsed="false">
      <c r="A573" s="5" t="str">
        <f aca="false">HYPERLINK("https://www.fabsurplus.com/sdi_catalog/salesItemDetails.do?id=109933")</f>
        <v>https://www.fabsurplus.com/sdi_catalog/salesItemDetails.do?id=109933</v>
      </c>
      <c r="B573" s="5" t="s">
        <v>1447</v>
      </c>
      <c r="C573" s="5" t="s">
        <v>1384</v>
      </c>
      <c r="D573" s="5" t="s">
        <v>1442</v>
      </c>
      <c r="E573" s="5" t="s">
        <v>164</v>
      </c>
      <c r="F573" s="5" t="s">
        <v>16</v>
      </c>
      <c r="G573" s="5" t="s">
        <v>165</v>
      </c>
      <c r="H573" s="5"/>
      <c r="I573" s="5"/>
      <c r="J573" s="5" t="s">
        <v>42</v>
      </c>
      <c r="K573" s="5"/>
      <c r="L573" s="5" t="s">
        <v>1448</v>
      </c>
    </row>
    <row r="574" customFormat="false" ht="15.65" hidden="false" customHeight="true" outlineLevel="0" collapsed="false">
      <c r="A574" s="2" t="str">
        <f aca="false">HYPERLINK("https://www.fabsurplus.com/sdi_catalog/salesItemDetails.do?id=109934")</f>
        <v>https://www.fabsurplus.com/sdi_catalog/salesItemDetails.do?id=109934</v>
      </c>
      <c r="B574" s="2" t="s">
        <v>1449</v>
      </c>
      <c r="C574" s="2" t="s">
        <v>1384</v>
      </c>
      <c r="D574" s="2" t="s">
        <v>1390</v>
      </c>
      <c r="E574" s="2" t="s">
        <v>763</v>
      </c>
      <c r="F574" s="2" t="s">
        <v>16</v>
      </c>
      <c r="G574" s="2" t="s">
        <v>165</v>
      </c>
      <c r="H574" s="2"/>
      <c r="I574" s="2"/>
      <c r="J574" s="2" t="s">
        <v>42</v>
      </c>
      <c r="K574" s="2"/>
      <c r="L574" s="2" t="s">
        <v>1450</v>
      </c>
    </row>
    <row r="575" customFormat="false" ht="15.65" hidden="false" customHeight="true" outlineLevel="0" collapsed="false">
      <c r="A575" s="5" t="str">
        <f aca="false">HYPERLINK("https://www.fabsurplus.com/sdi_catalog/salesItemDetails.do?id=109935")</f>
        <v>https://www.fabsurplus.com/sdi_catalog/salesItemDetails.do?id=109935</v>
      </c>
      <c r="B575" s="5" t="s">
        <v>1451</v>
      </c>
      <c r="C575" s="5" t="s">
        <v>1384</v>
      </c>
      <c r="D575" s="5" t="s">
        <v>1452</v>
      </c>
      <c r="E575" s="5" t="s">
        <v>164</v>
      </c>
      <c r="F575" s="5" t="s">
        <v>16</v>
      </c>
      <c r="G575" s="5" t="s">
        <v>165</v>
      </c>
      <c r="H575" s="5"/>
      <c r="I575" s="5"/>
      <c r="J575" s="5" t="s">
        <v>42</v>
      </c>
      <c r="K575" s="5"/>
      <c r="L575" s="5" t="s">
        <v>1453</v>
      </c>
    </row>
    <row r="576" customFormat="false" ht="15.65" hidden="false" customHeight="true" outlineLevel="0" collapsed="false">
      <c r="A576" s="2" t="str">
        <f aca="false">HYPERLINK("https://www.fabsurplus.com/sdi_catalog/salesItemDetails.do?id=109936")</f>
        <v>https://www.fabsurplus.com/sdi_catalog/salesItemDetails.do?id=109936</v>
      </c>
      <c r="B576" s="2" t="s">
        <v>1454</v>
      </c>
      <c r="C576" s="2" t="s">
        <v>1384</v>
      </c>
      <c r="D576" s="2" t="s">
        <v>1452</v>
      </c>
      <c r="E576" s="2" t="s">
        <v>164</v>
      </c>
      <c r="F576" s="2" t="s">
        <v>16</v>
      </c>
      <c r="G576" s="2" t="s">
        <v>165</v>
      </c>
      <c r="H576" s="2"/>
      <c r="I576" s="2"/>
      <c r="J576" s="2" t="s">
        <v>42</v>
      </c>
      <c r="K576" s="2"/>
      <c r="L576" s="2" t="s">
        <v>1453</v>
      </c>
    </row>
    <row r="577" customFormat="false" ht="15.65" hidden="false" customHeight="true" outlineLevel="0" collapsed="false">
      <c r="A577" s="5" t="str">
        <f aca="false">HYPERLINK("https://www.fabsurplus.com/sdi_catalog/salesItemDetails.do?id=109937")</f>
        <v>https://www.fabsurplus.com/sdi_catalog/salesItemDetails.do?id=109937</v>
      </c>
      <c r="B577" s="5" t="s">
        <v>1455</v>
      </c>
      <c r="C577" s="5" t="s">
        <v>1384</v>
      </c>
      <c r="D577" s="5" t="s">
        <v>1452</v>
      </c>
      <c r="E577" s="5" t="s">
        <v>164</v>
      </c>
      <c r="F577" s="5" t="s">
        <v>16</v>
      </c>
      <c r="G577" s="5" t="s">
        <v>165</v>
      </c>
      <c r="H577" s="5"/>
      <c r="I577" s="5"/>
      <c r="J577" s="5" t="s">
        <v>42</v>
      </c>
      <c r="K577" s="5"/>
      <c r="L577" s="5" t="s">
        <v>1453</v>
      </c>
    </row>
    <row r="578" customFormat="false" ht="15.65" hidden="false" customHeight="true" outlineLevel="0" collapsed="false">
      <c r="A578" s="2" t="str">
        <f aca="false">HYPERLINK("https://www.fabsurplus.com/sdi_catalog/salesItemDetails.do?id=109938")</f>
        <v>https://www.fabsurplus.com/sdi_catalog/salesItemDetails.do?id=109938</v>
      </c>
      <c r="B578" s="2" t="s">
        <v>1456</v>
      </c>
      <c r="C578" s="2" t="s">
        <v>1384</v>
      </c>
      <c r="D578" s="2" t="s">
        <v>1452</v>
      </c>
      <c r="E578" s="2" t="s">
        <v>164</v>
      </c>
      <c r="F578" s="2" t="s">
        <v>16</v>
      </c>
      <c r="G578" s="2" t="s">
        <v>165</v>
      </c>
      <c r="H578" s="2"/>
      <c r="I578" s="2"/>
      <c r="J578" s="2" t="s">
        <v>42</v>
      </c>
      <c r="K578" s="2"/>
      <c r="L578" s="2" t="s">
        <v>1453</v>
      </c>
    </row>
    <row r="579" customFormat="false" ht="15.65" hidden="false" customHeight="true" outlineLevel="0" collapsed="false">
      <c r="A579" s="5" t="str">
        <f aca="false">HYPERLINK("https://www.fabsurplus.com/sdi_catalog/salesItemDetails.do?id=109939")</f>
        <v>https://www.fabsurplus.com/sdi_catalog/salesItemDetails.do?id=109939</v>
      </c>
      <c r="B579" s="5" t="s">
        <v>1457</v>
      </c>
      <c r="C579" s="5" t="s">
        <v>1384</v>
      </c>
      <c r="D579" s="5" t="s">
        <v>1452</v>
      </c>
      <c r="E579" s="5" t="s">
        <v>164</v>
      </c>
      <c r="F579" s="5" t="s">
        <v>16</v>
      </c>
      <c r="G579" s="5" t="s">
        <v>165</v>
      </c>
      <c r="H579" s="5"/>
      <c r="I579" s="5"/>
      <c r="J579" s="5" t="s">
        <v>42</v>
      </c>
      <c r="K579" s="5"/>
      <c r="L579" s="5" t="s">
        <v>1453</v>
      </c>
    </row>
    <row r="580" customFormat="false" ht="15.65" hidden="false" customHeight="true" outlineLevel="0" collapsed="false">
      <c r="A580" s="2" t="str">
        <f aca="false">HYPERLINK("https://www.fabsurplus.com/sdi_catalog/salesItemDetails.do?id=109940")</f>
        <v>https://www.fabsurplus.com/sdi_catalog/salesItemDetails.do?id=109940</v>
      </c>
      <c r="B580" s="2" t="s">
        <v>1458</v>
      </c>
      <c r="C580" s="2" t="s">
        <v>1384</v>
      </c>
      <c r="D580" s="2" t="s">
        <v>1459</v>
      </c>
      <c r="E580" s="2" t="s">
        <v>763</v>
      </c>
      <c r="F580" s="2" t="s">
        <v>16</v>
      </c>
      <c r="G580" s="2" t="s">
        <v>165</v>
      </c>
      <c r="H580" s="2"/>
      <c r="I580" s="2"/>
      <c r="J580" s="2" t="s">
        <v>42</v>
      </c>
      <c r="K580" s="2"/>
      <c r="L580" s="2" t="s">
        <v>1460</v>
      </c>
    </row>
    <row r="581" customFormat="false" ht="15.65" hidden="false" customHeight="true" outlineLevel="0" collapsed="false">
      <c r="A581" s="5" t="str">
        <f aca="false">HYPERLINK("https://www.fabsurplus.com/sdi_catalog/salesItemDetails.do?id=109941")</f>
        <v>https://www.fabsurplus.com/sdi_catalog/salesItemDetails.do?id=109941</v>
      </c>
      <c r="B581" s="5" t="s">
        <v>1461</v>
      </c>
      <c r="C581" s="5" t="s">
        <v>1384</v>
      </c>
      <c r="D581" s="5" t="s">
        <v>1462</v>
      </c>
      <c r="E581" s="5" t="s">
        <v>763</v>
      </c>
      <c r="F581" s="5" t="s">
        <v>16</v>
      </c>
      <c r="G581" s="5" t="s">
        <v>165</v>
      </c>
      <c r="H581" s="5"/>
      <c r="I581" s="5"/>
      <c r="J581" s="5" t="s">
        <v>42</v>
      </c>
      <c r="K581" s="5"/>
      <c r="L581" s="5" t="s">
        <v>1463</v>
      </c>
    </row>
    <row r="582" customFormat="false" ht="15.65" hidden="false" customHeight="true" outlineLevel="0" collapsed="false">
      <c r="A582" s="2" t="str">
        <f aca="false">HYPERLINK("https://www.fabsurplus.com/sdi_catalog/salesItemDetails.do?id=83588")</f>
        <v>https://www.fabsurplus.com/sdi_catalog/salesItemDetails.do?id=83588</v>
      </c>
      <c r="B582" s="2" t="s">
        <v>1464</v>
      </c>
      <c r="C582" s="2" t="s">
        <v>1384</v>
      </c>
      <c r="D582" s="2" t="s">
        <v>1465</v>
      </c>
      <c r="E582" s="2" t="s">
        <v>1466</v>
      </c>
      <c r="F582" s="2" t="s">
        <v>16</v>
      </c>
      <c r="G582" s="2" t="s">
        <v>104</v>
      </c>
      <c r="H582" s="2" t="s">
        <v>32</v>
      </c>
      <c r="I582" s="2"/>
      <c r="J582" s="2" t="s">
        <v>19</v>
      </c>
      <c r="K582" s="2" t="s">
        <v>20</v>
      </c>
      <c r="L582" s="4" t="s">
        <v>1467</v>
      </c>
    </row>
    <row r="583" customFormat="false" ht="15.65" hidden="false" customHeight="true" outlineLevel="0" collapsed="false">
      <c r="A583" s="5" t="str">
        <f aca="false">HYPERLINK("https://www.fabsurplus.com/sdi_catalog/salesItemDetails.do?id=108978")</f>
        <v>https://www.fabsurplus.com/sdi_catalog/salesItemDetails.do?id=108978</v>
      </c>
      <c r="B583" s="5" t="s">
        <v>1468</v>
      </c>
      <c r="C583" s="5" t="s">
        <v>1384</v>
      </c>
      <c r="D583" s="5" t="s">
        <v>1469</v>
      </c>
      <c r="E583" s="5" t="s">
        <v>1470</v>
      </c>
      <c r="F583" s="5" t="s">
        <v>16</v>
      </c>
      <c r="G583" s="5"/>
      <c r="H583" s="5" t="s">
        <v>1395</v>
      </c>
      <c r="I583" s="5"/>
      <c r="J583" s="5" t="s">
        <v>19</v>
      </c>
      <c r="K583" s="5" t="s">
        <v>20</v>
      </c>
      <c r="L583" s="5" t="s">
        <v>1471</v>
      </c>
    </row>
    <row r="584" customFormat="false" ht="15.65" hidden="false" customHeight="true" outlineLevel="0" collapsed="false">
      <c r="A584" s="2" t="str">
        <f aca="false">HYPERLINK("https://www.fabsurplus.com/sdi_catalog/salesItemDetails.do?id=83669")</f>
        <v>https://www.fabsurplus.com/sdi_catalog/salesItemDetails.do?id=83669</v>
      </c>
      <c r="B584" s="2" t="s">
        <v>1472</v>
      </c>
      <c r="C584" s="2" t="s">
        <v>1384</v>
      </c>
      <c r="D584" s="2" t="s">
        <v>1473</v>
      </c>
      <c r="E584" s="2" t="s">
        <v>1474</v>
      </c>
      <c r="F584" s="2" t="s">
        <v>86</v>
      </c>
      <c r="G584" s="2"/>
      <c r="H584" s="2" t="s">
        <v>32</v>
      </c>
      <c r="I584" s="2"/>
      <c r="J584" s="2" t="s">
        <v>19</v>
      </c>
      <c r="K584" s="2" t="s">
        <v>20</v>
      </c>
      <c r="L584" s="4" t="s">
        <v>1475</v>
      </c>
    </row>
    <row r="585" customFormat="false" ht="15.65" hidden="false" customHeight="true" outlineLevel="0" collapsed="false">
      <c r="A585" s="5" t="str">
        <f aca="false">HYPERLINK("https://www.fabsurplus.com/sdi_catalog/salesItemDetails.do?id=108131")</f>
        <v>https://www.fabsurplus.com/sdi_catalog/salesItemDetails.do?id=108131</v>
      </c>
      <c r="B585" s="5" t="s">
        <v>1476</v>
      </c>
      <c r="C585" s="5" t="s">
        <v>1477</v>
      </c>
      <c r="D585" s="5" t="s">
        <v>1478</v>
      </c>
      <c r="E585" s="5" t="s">
        <v>1479</v>
      </c>
      <c r="F585" s="5" t="s">
        <v>16</v>
      </c>
      <c r="G585" s="5" t="s">
        <v>61</v>
      </c>
      <c r="H585" s="5"/>
      <c r="I585" s="5"/>
      <c r="J585" s="5" t="s">
        <v>19</v>
      </c>
      <c r="K585" s="5"/>
      <c r="L585" s="5" t="s">
        <v>1480</v>
      </c>
    </row>
    <row r="586" customFormat="false" ht="15.65" hidden="false" customHeight="true" outlineLevel="0" collapsed="false">
      <c r="A586" s="2" t="str">
        <f aca="false">HYPERLINK("https://www.fabsurplus.com/sdi_catalog/salesItemDetails.do?id=109357")</f>
        <v>https://www.fabsurplus.com/sdi_catalog/salesItemDetails.do?id=109357</v>
      </c>
      <c r="B586" s="2" t="s">
        <v>1481</v>
      </c>
      <c r="C586" s="2" t="s">
        <v>1482</v>
      </c>
      <c r="D586" s="2" t="s">
        <v>1483</v>
      </c>
      <c r="E586" s="2" t="s">
        <v>103</v>
      </c>
      <c r="F586" s="2" t="s">
        <v>321</v>
      </c>
      <c r="G586" s="2" t="s">
        <v>104</v>
      </c>
      <c r="H586" s="2"/>
      <c r="I586" s="2"/>
      <c r="J586" s="2" t="s">
        <v>19</v>
      </c>
      <c r="K586" s="2"/>
      <c r="L586" s="2"/>
    </row>
    <row r="587" customFormat="false" ht="15.65" hidden="false" customHeight="true" outlineLevel="0" collapsed="false">
      <c r="A587" s="5" t="str">
        <f aca="false">HYPERLINK("https://www.fabsurplus.com/sdi_catalog/salesItemDetails.do?id=77090")</f>
        <v>https://www.fabsurplus.com/sdi_catalog/salesItemDetails.do?id=77090</v>
      </c>
      <c r="B587" s="5" t="s">
        <v>1484</v>
      </c>
      <c r="C587" s="5" t="s">
        <v>1485</v>
      </c>
      <c r="D587" s="5" t="s">
        <v>1486</v>
      </c>
      <c r="E587" s="5" t="s">
        <v>1487</v>
      </c>
      <c r="F587" s="5" t="s">
        <v>16</v>
      </c>
      <c r="G587" s="5"/>
      <c r="H587" s="5"/>
      <c r="I587" s="5"/>
      <c r="J587" s="5" t="s">
        <v>19</v>
      </c>
      <c r="K587" s="5"/>
      <c r="L587" s="5"/>
    </row>
    <row r="588" customFormat="false" ht="15.65" hidden="false" customHeight="true" outlineLevel="0" collapsed="false">
      <c r="A588" s="2" t="str">
        <f aca="false">HYPERLINK("https://www.fabsurplus.com/sdi_catalog/salesItemDetails.do?id=77153")</f>
        <v>https://www.fabsurplus.com/sdi_catalog/salesItemDetails.do?id=77153</v>
      </c>
      <c r="B588" s="2" t="s">
        <v>1488</v>
      </c>
      <c r="C588" s="2" t="s">
        <v>1485</v>
      </c>
      <c r="D588" s="2" t="s">
        <v>1489</v>
      </c>
      <c r="E588" s="2" t="s">
        <v>1490</v>
      </c>
      <c r="F588" s="2" t="s">
        <v>16</v>
      </c>
      <c r="G588" s="2" t="s">
        <v>1491</v>
      </c>
      <c r="H588" s="2" t="s">
        <v>1395</v>
      </c>
      <c r="I588" s="2"/>
      <c r="J588" s="2" t="s">
        <v>19</v>
      </c>
      <c r="K588" s="2" t="s">
        <v>20</v>
      </c>
      <c r="L588" s="4" t="s">
        <v>1492</v>
      </c>
    </row>
    <row r="589" customFormat="false" ht="15.65" hidden="false" customHeight="true" outlineLevel="0" collapsed="false">
      <c r="A589" s="5" t="str">
        <f aca="false">HYPERLINK("https://www.fabsurplus.com/sdi_catalog/salesItemDetails.do?id=74261")</f>
        <v>https://www.fabsurplus.com/sdi_catalog/salesItemDetails.do?id=74261</v>
      </c>
      <c r="B589" s="5" t="s">
        <v>1493</v>
      </c>
      <c r="C589" s="5" t="s">
        <v>1494</v>
      </c>
      <c r="D589" s="5" t="s">
        <v>1495</v>
      </c>
      <c r="E589" s="5" t="s">
        <v>1496</v>
      </c>
      <c r="F589" s="5" t="s">
        <v>16</v>
      </c>
      <c r="G589" s="5"/>
      <c r="H589" s="5" t="s">
        <v>18</v>
      </c>
      <c r="I589" s="6" t="n">
        <v>39082.9583333333</v>
      </c>
      <c r="J589" s="5" t="s">
        <v>19</v>
      </c>
      <c r="K589" s="5" t="s">
        <v>20</v>
      </c>
      <c r="L589" s="7" t="s">
        <v>1497</v>
      </c>
    </row>
    <row r="590" customFormat="false" ht="15.65" hidden="false" customHeight="true" outlineLevel="0" collapsed="false">
      <c r="A590" s="2" t="str">
        <f aca="false">HYPERLINK("https://www.fabsurplus.com/sdi_catalog/salesItemDetails.do?id=77188")</f>
        <v>https://www.fabsurplus.com/sdi_catalog/salesItemDetails.do?id=77188</v>
      </c>
      <c r="B590" s="2" t="s">
        <v>1498</v>
      </c>
      <c r="C590" s="2" t="s">
        <v>1494</v>
      </c>
      <c r="D590" s="2" t="s">
        <v>1499</v>
      </c>
      <c r="E590" s="2" t="s">
        <v>1500</v>
      </c>
      <c r="F590" s="2" t="s">
        <v>16</v>
      </c>
      <c r="G590" s="2" t="s">
        <v>1501</v>
      </c>
      <c r="H590" s="2" t="s">
        <v>32</v>
      </c>
      <c r="I590" s="2"/>
      <c r="J590" s="2" t="s">
        <v>19</v>
      </c>
      <c r="K590" s="2" t="s">
        <v>20</v>
      </c>
      <c r="L590" s="4" t="s">
        <v>1502</v>
      </c>
    </row>
    <row r="591" customFormat="false" ht="15.65" hidden="false" customHeight="true" outlineLevel="0" collapsed="false">
      <c r="A591" s="5" t="str">
        <f aca="false">HYPERLINK("https://www.fabsurplus.com/sdi_catalog/salesItemDetails.do?id=84241")</f>
        <v>https://www.fabsurplus.com/sdi_catalog/salesItemDetails.do?id=84241</v>
      </c>
      <c r="B591" s="5" t="s">
        <v>1503</v>
      </c>
      <c r="C591" s="5" t="s">
        <v>1504</v>
      </c>
      <c r="D591" s="5" t="s">
        <v>1505</v>
      </c>
      <c r="E591" s="5" t="s">
        <v>1506</v>
      </c>
      <c r="F591" s="5" t="s">
        <v>16</v>
      </c>
      <c r="G591" s="5" t="s">
        <v>104</v>
      </c>
      <c r="H591" s="5" t="s">
        <v>32</v>
      </c>
      <c r="I591" s="5"/>
      <c r="J591" s="5" t="s">
        <v>19</v>
      </c>
      <c r="K591" s="5" t="s">
        <v>20</v>
      </c>
      <c r="L591" s="7" t="s">
        <v>1507</v>
      </c>
    </row>
    <row r="592" customFormat="false" ht="15.65" hidden="false" customHeight="true" outlineLevel="0" collapsed="false">
      <c r="A592" s="2" t="str">
        <f aca="false">HYPERLINK("https://www.fabsurplus.com/sdi_catalog/salesItemDetails.do?id=77162")</f>
        <v>https://www.fabsurplus.com/sdi_catalog/salesItemDetails.do?id=77162</v>
      </c>
      <c r="B592" s="2" t="s">
        <v>1508</v>
      </c>
      <c r="C592" s="2" t="s">
        <v>1504</v>
      </c>
      <c r="D592" s="2" t="s">
        <v>1509</v>
      </c>
      <c r="E592" s="2" t="s">
        <v>1510</v>
      </c>
      <c r="F592" s="2" t="s">
        <v>16</v>
      </c>
      <c r="G592" s="2" t="s">
        <v>104</v>
      </c>
      <c r="H592" s="2" t="s">
        <v>1395</v>
      </c>
      <c r="I592" s="2"/>
      <c r="J592" s="2" t="s">
        <v>19</v>
      </c>
      <c r="K592" s="2" t="s">
        <v>20</v>
      </c>
      <c r="L592" s="4" t="s">
        <v>1511</v>
      </c>
    </row>
    <row r="593" customFormat="false" ht="15.65" hidden="false" customHeight="true" outlineLevel="0" collapsed="false">
      <c r="A593" s="5" t="str">
        <f aca="false">HYPERLINK("https://www.fabsurplus.com/sdi_catalog/salesItemDetails.do?id=79884")</f>
        <v>https://www.fabsurplus.com/sdi_catalog/salesItemDetails.do?id=79884</v>
      </c>
      <c r="B593" s="5" t="s">
        <v>1512</v>
      </c>
      <c r="C593" s="5" t="s">
        <v>1513</v>
      </c>
      <c r="D593" s="5" t="s">
        <v>1514</v>
      </c>
      <c r="E593" s="5" t="s">
        <v>1515</v>
      </c>
      <c r="F593" s="5" t="s">
        <v>16</v>
      </c>
      <c r="G593" s="5" t="s">
        <v>1236</v>
      </c>
      <c r="H593" s="5" t="s">
        <v>18</v>
      </c>
      <c r="I593" s="6" t="n">
        <v>34700</v>
      </c>
      <c r="J593" s="5" t="s">
        <v>19</v>
      </c>
      <c r="K593" s="5" t="s">
        <v>20</v>
      </c>
      <c r="L593" s="7" t="s">
        <v>1516</v>
      </c>
    </row>
    <row r="594" customFormat="false" ht="15.65" hidden="false" customHeight="true" outlineLevel="0" collapsed="false">
      <c r="A594" s="2" t="str">
        <f aca="false">HYPERLINK("https://www.fabsurplus.com/sdi_catalog/salesItemDetails.do?id=84221")</f>
        <v>https://www.fabsurplus.com/sdi_catalog/salesItemDetails.do?id=84221</v>
      </c>
      <c r="B594" s="2" t="s">
        <v>1517</v>
      </c>
      <c r="C594" s="2" t="s">
        <v>1518</v>
      </c>
      <c r="D594" s="2" t="s">
        <v>1519</v>
      </c>
      <c r="E594" s="2" t="s">
        <v>1520</v>
      </c>
      <c r="F594" s="2" t="s">
        <v>16</v>
      </c>
      <c r="G594" s="2" t="s">
        <v>104</v>
      </c>
      <c r="H594" s="2" t="s">
        <v>18</v>
      </c>
      <c r="I594" s="2"/>
      <c r="J594" s="2" t="s">
        <v>19</v>
      </c>
      <c r="K594" s="2" t="s">
        <v>20</v>
      </c>
      <c r="L594" s="4" t="s">
        <v>1521</v>
      </c>
    </row>
    <row r="595" customFormat="false" ht="15.65" hidden="false" customHeight="true" outlineLevel="0" collapsed="false">
      <c r="A595" s="5" t="str">
        <f aca="false">HYPERLINK("https://www.fabsurplus.com/sdi_catalog/salesItemDetails.do?id=2669")</f>
        <v>https://www.fabsurplus.com/sdi_catalog/salesItemDetails.do?id=2669</v>
      </c>
      <c r="B595" s="5" t="s">
        <v>1522</v>
      </c>
      <c r="C595" s="5" t="s">
        <v>1523</v>
      </c>
      <c r="D595" s="5" t="s">
        <v>1524</v>
      </c>
      <c r="E595" s="5" t="s">
        <v>1525</v>
      </c>
      <c r="F595" s="5" t="s">
        <v>16</v>
      </c>
      <c r="G595" s="5" t="s">
        <v>1272</v>
      </c>
      <c r="H595" s="5" t="s">
        <v>18</v>
      </c>
      <c r="I595" s="6" t="n">
        <v>34881</v>
      </c>
      <c r="J595" s="5" t="s">
        <v>19</v>
      </c>
      <c r="K595" s="5" t="s">
        <v>20</v>
      </c>
      <c r="L595" s="7" t="s">
        <v>1526</v>
      </c>
    </row>
    <row r="596" customFormat="false" ht="15.65" hidden="false" customHeight="true" outlineLevel="0" collapsed="false">
      <c r="A596" s="2" t="str">
        <f aca="false">HYPERLINK("https://www.fabsurplus.com/sdi_catalog/salesItemDetails.do?id=10637")</f>
        <v>https://www.fabsurplus.com/sdi_catalog/salesItemDetails.do?id=10637</v>
      </c>
      <c r="B596" s="2" t="s">
        <v>1527</v>
      </c>
      <c r="C596" s="2" t="s">
        <v>1523</v>
      </c>
      <c r="D596" s="2" t="s">
        <v>1528</v>
      </c>
      <c r="E596" s="2" t="s">
        <v>1525</v>
      </c>
      <c r="F596" s="2" t="s">
        <v>16</v>
      </c>
      <c r="G596" s="2" t="s">
        <v>1272</v>
      </c>
      <c r="H596" s="2" t="s">
        <v>32</v>
      </c>
      <c r="I596" s="3" t="n">
        <v>34850.9166666667</v>
      </c>
      <c r="J596" s="2" t="s">
        <v>42</v>
      </c>
      <c r="K596" s="2" t="s">
        <v>20</v>
      </c>
      <c r="L596" s="4" t="s">
        <v>1529</v>
      </c>
    </row>
    <row r="597" customFormat="false" ht="15.65" hidden="false" customHeight="true" outlineLevel="0" collapsed="false">
      <c r="A597" s="5" t="str">
        <f aca="false">HYPERLINK("https://www.fabsurplus.com/sdi_catalog/salesItemDetails.do?id=34740")</f>
        <v>https://www.fabsurplus.com/sdi_catalog/salesItemDetails.do?id=34740</v>
      </c>
      <c r="B597" s="5" t="s">
        <v>1530</v>
      </c>
      <c r="C597" s="5" t="s">
        <v>1531</v>
      </c>
      <c r="D597" s="5" t="s">
        <v>1532</v>
      </c>
      <c r="E597" s="5" t="s">
        <v>1533</v>
      </c>
      <c r="F597" s="5" t="s">
        <v>16</v>
      </c>
      <c r="G597" s="5" t="s">
        <v>38</v>
      </c>
      <c r="H597" s="5" t="s">
        <v>18</v>
      </c>
      <c r="I597" s="6" t="n">
        <v>38626</v>
      </c>
      <c r="J597" s="5" t="s">
        <v>19</v>
      </c>
      <c r="K597" s="5" t="s">
        <v>20</v>
      </c>
      <c r="L597" s="7" t="s">
        <v>1534</v>
      </c>
    </row>
    <row r="598" customFormat="false" ht="15.65" hidden="false" customHeight="true" outlineLevel="0" collapsed="false">
      <c r="A598" s="2" t="str">
        <f aca="false">HYPERLINK("https://www.fabsurplus.com/sdi_catalog/salesItemDetails.do?id=100908")</f>
        <v>https://www.fabsurplus.com/sdi_catalog/salesItemDetails.do?id=100908</v>
      </c>
      <c r="B598" s="2" t="s">
        <v>1535</v>
      </c>
      <c r="C598" s="2" t="s">
        <v>1536</v>
      </c>
      <c r="D598" s="2" t="s">
        <v>1537</v>
      </c>
      <c r="E598" s="2" t="s">
        <v>1538</v>
      </c>
      <c r="F598" s="2" t="s">
        <v>16</v>
      </c>
      <c r="G598" s="2" t="s">
        <v>61</v>
      </c>
      <c r="H598" s="2"/>
      <c r="I598" s="3" t="n">
        <v>38503.9166666667</v>
      </c>
      <c r="J598" s="2" t="s">
        <v>19</v>
      </c>
      <c r="K598" s="2"/>
      <c r="L598" s="2" t="s">
        <v>1539</v>
      </c>
    </row>
    <row r="599" customFormat="false" ht="15.65" hidden="false" customHeight="true" outlineLevel="0" collapsed="false">
      <c r="A599" s="5" t="str">
        <f aca="false">HYPERLINK("https://www.fabsurplus.com/sdi_catalog/salesItemDetails.do?id=106883")</f>
        <v>https://www.fabsurplus.com/sdi_catalog/salesItemDetails.do?id=106883</v>
      </c>
      <c r="B599" s="5" t="s">
        <v>1540</v>
      </c>
      <c r="C599" s="5" t="s">
        <v>1541</v>
      </c>
      <c r="D599" s="5" t="s">
        <v>1542</v>
      </c>
      <c r="E599" s="5" t="s">
        <v>279</v>
      </c>
      <c r="F599" s="5" t="s">
        <v>108</v>
      </c>
      <c r="G599" s="5" t="s">
        <v>104</v>
      </c>
      <c r="H599" s="5" t="s">
        <v>18</v>
      </c>
      <c r="I599" s="6" t="n">
        <v>42156</v>
      </c>
      <c r="J599" s="5" t="s">
        <v>19</v>
      </c>
      <c r="K599" s="5" t="s">
        <v>20</v>
      </c>
      <c r="L599" s="7" t="s">
        <v>1543</v>
      </c>
    </row>
    <row r="600" customFormat="false" ht="15.65" hidden="false" customHeight="true" outlineLevel="0" collapsed="false">
      <c r="A600" s="2" t="str">
        <f aca="false">HYPERLINK("https://www.fabsurplus.com/sdi_catalog/salesItemDetails.do?id=108132")</f>
        <v>https://www.fabsurplus.com/sdi_catalog/salesItemDetails.do?id=108132</v>
      </c>
      <c r="B600" s="2" t="s">
        <v>1544</v>
      </c>
      <c r="C600" s="2" t="s">
        <v>1545</v>
      </c>
      <c r="D600" s="2" t="s">
        <v>1546</v>
      </c>
      <c r="E600" s="2" t="s">
        <v>1547</v>
      </c>
      <c r="F600" s="2" t="s">
        <v>16</v>
      </c>
      <c r="G600" s="2"/>
      <c r="H600" s="2"/>
      <c r="I600" s="3" t="n">
        <v>36678</v>
      </c>
      <c r="J600" s="2" t="s">
        <v>19</v>
      </c>
      <c r="K600" s="2"/>
      <c r="L600" s="2" t="s">
        <v>1480</v>
      </c>
    </row>
    <row r="601" customFormat="false" ht="15.65" hidden="false" customHeight="true" outlineLevel="0" collapsed="false">
      <c r="A601" s="5" t="str">
        <f aca="false">HYPERLINK("https://www.fabsurplus.com/sdi_catalog/salesItemDetails.do?id=100868")</f>
        <v>https://www.fabsurplus.com/sdi_catalog/salesItemDetails.do?id=100868</v>
      </c>
      <c r="B601" s="5" t="s">
        <v>1548</v>
      </c>
      <c r="C601" s="5" t="s">
        <v>1549</v>
      </c>
      <c r="D601" s="5" t="s">
        <v>1550</v>
      </c>
      <c r="E601" s="5" t="s">
        <v>1551</v>
      </c>
      <c r="F601" s="5" t="s">
        <v>16</v>
      </c>
      <c r="G601" s="5" t="s">
        <v>38</v>
      </c>
      <c r="H601" s="5" t="s">
        <v>275</v>
      </c>
      <c r="I601" s="5"/>
      <c r="J601" s="5" t="s">
        <v>42</v>
      </c>
      <c r="K601" s="5" t="s">
        <v>1552</v>
      </c>
      <c r="L601" s="5" t="s">
        <v>1553</v>
      </c>
    </row>
    <row r="602" customFormat="false" ht="15.65" hidden="false" customHeight="true" outlineLevel="0" collapsed="false">
      <c r="A602" s="2" t="str">
        <f aca="false">HYPERLINK("https://www.fabsurplus.com/sdi_catalog/salesItemDetails.do?id=108037")</f>
        <v>https://www.fabsurplus.com/sdi_catalog/salesItemDetails.do?id=108037</v>
      </c>
      <c r="B602" s="2" t="s">
        <v>1554</v>
      </c>
      <c r="C602" s="2" t="s">
        <v>1549</v>
      </c>
      <c r="D602" s="2" t="s">
        <v>1555</v>
      </c>
      <c r="E602" s="2" t="s">
        <v>1556</v>
      </c>
      <c r="F602" s="2" t="s">
        <v>16</v>
      </c>
      <c r="G602" s="2" t="s">
        <v>104</v>
      </c>
      <c r="H602" s="2" t="s">
        <v>32</v>
      </c>
      <c r="I602" s="2"/>
      <c r="J602" s="2" t="s">
        <v>19</v>
      </c>
      <c r="K602" s="2" t="s">
        <v>20</v>
      </c>
      <c r="L602" s="4" t="s">
        <v>1557</v>
      </c>
    </row>
    <row r="603" customFormat="false" ht="15.65" hidden="false" customHeight="true" outlineLevel="0" collapsed="false">
      <c r="A603" s="5" t="str">
        <f aca="false">HYPERLINK("https://www.fabsurplus.com/sdi_catalog/salesItemDetails.do?id=109063")</f>
        <v>https://www.fabsurplus.com/sdi_catalog/salesItemDetails.do?id=109063</v>
      </c>
      <c r="B603" s="5" t="s">
        <v>1558</v>
      </c>
      <c r="C603" s="5" t="s">
        <v>1549</v>
      </c>
      <c r="D603" s="5" t="s">
        <v>1550</v>
      </c>
      <c r="E603" s="5" t="s">
        <v>1559</v>
      </c>
      <c r="F603" s="5" t="s">
        <v>16</v>
      </c>
      <c r="G603" s="5" t="s">
        <v>38</v>
      </c>
      <c r="H603" s="5" t="s">
        <v>275</v>
      </c>
      <c r="I603" s="5"/>
      <c r="J603" s="5" t="s">
        <v>42</v>
      </c>
      <c r="K603" s="5" t="s">
        <v>1560</v>
      </c>
      <c r="L603" s="7" t="s">
        <v>1561</v>
      </c>
    </row>
    <row r="604" customFormat="false" ht="15.65" hidden="false" customHeight="true" outlineLevel="0" collapsed="false">
      <c r="A604" s="2" t="str">
        <f aca="false">HYPERLINK("https://www.fabsurplus.com/sdi_catalog/salesItemDetails.do?id=100873")</f>
        <v>https://www.fabsurplus.com/sdi_catalog/salesItemDetails.do?id=100873</v>
      </c>
      <c r="B604" s="2" t="s">
        <v>1562</v>
      </c>
      <c r="C604" s="2" t="s">
        <v>1549</v>
      </c>
      <c r="D604" s="2" t="s">
        <v>1563</v>
      </c>
      <c r="E604" s="2" t="s">
        <v>1564</v>
      </c>
      <c r="F604" s="2" t="s">
        <v>16</v>
      </c>
      <c r="G604" s="2" t="s">
        <v>38</v>
      </c>
      <c r="H604" s="2" t="s">
        <v>275</v>
      </c>
      <c r="I604" s="3" t="n">
        <v>36311.9166666667</v>
      </c>
      <c r="J604" s="2" t="s">
        <v>42</v>
      </c>
      <c r="K604" s="2"/>
      <c r="L604" s="4" t="s">
        <v>1565</v>
      </c>
    </row>
    <row r="605" customFormat="false" ht="15.65" hidden="false" customHeight="true" outlineLevel="0" collapsed="false">
      <c r="A605" s="5" t="str">
        <f aca="false">HYPERLINK("https://www.fabsurplus.com/sdi_catalog/salesItemDetails.do?id=108556")</f>
        <v>https://www.fabsurplus.com/sdi_catalog/salesItemDetails.do?id=108556</v>
      </c>
      <c r="B605" s="5" t="s">
        <v>1566</v>
      </c>
      <c r="C605" s="5" t="s">
        <v>1549</v>
      </c>
      <c r="D605" s="5" t="s">
        <v>1567</v>
      </c>
      <c r="E605" s="5" t="s">
        <v>1568</v>
      </c>
      <c r="F605" s="5" t="s">
        <v>16</v>
      </c>
      <c r="G605" s="5" t="s">
        <v>61</v>
      </c>
      <c r="H605" s="5" t="s">
        <v>18</v>
      </c>
      <c r="I605" s="6" t="n">
        <v>39569</v>
      </c>
      <c r="J605" s="5" t="s">
        <v>19</v>
      </c>
      <c r="K605" s="5" t="s">
        <v>20</v>
      </c>
      <c r="L605" s="5" t="s">
        <v>596</v>
      </c>
    </row>
    <row r="606" customFormat="false" ht="15.65" hidden="false" customHeight="true" outlineLevel="0" collapsed="false">
      <c r="A606" s="2" t="str">
        <f aca="false">HYPERLINK("https://www.fabsurplus.com/sdi_catalog/salesItemDetails.do?id=108557")</f>
        <v>https://www.fabsurplus.com/sdi_catalog/salesItemDetails.do?id=108557</v>
      </c>
      <c r="B606" s="2" t="s">
        <v>1569</v>
      </c>
      <c r="C606" s="2" t="s">
        <v>1549</v>
      </c>
      <c r="D606" s="2" t="s">
        <v>1570</v>
      </c>
      <c r="E606" s="2" t="s">
        <v>1571</v>
      </c>
      <c r="F606" s="2" t="s">
        <v>16</v>
      </c>
      <c r="G606" s="2" t="s">
        <v>61</v>
      </c>
      <c r="H606" s="2" t="s">
        <v>18</v>
      </c>
      <c r="I606" s="3" t="n">
        <v>37377</v>
      </c>
      <c r="J606" s="2" t="s">
        <v>19</v>
      </c>
      <c r="K606" s="2" t="s">
        <v>20</v>
      </c>
      <c r="L606" s="4" t="s">
        <v>1572</v>
      </c>
    </row>
    <row r="607" customFormat="false" ht="15.65" hidden="false" customHeight="true" outlineLevel="0" collapsed="false">
      <c r="A607" s="5" t="str">
        <f aca="false">HYPERLINK("https://www.fabsurplus.com/sdi_catalog/salesItemDetails.do?id=108558")</f>
        <v>https://www.fabsurplus.com/sdi_catalog/salesItemDetails.do?id=108558</v>
      </c>
      <c r="B607" s="5" t="s">
        <v>1573</v>
      </c>
      <c r="C607" s="5" t="s">
        <v>1549</v>
      </c>
      <c r="D607" s="5" t="s">
        <v>1574</v>
      </c>
      <c r="E607" s="5" t="s">
        <v>1575</v>
      </c>
      <c r="F607" s="5" t="s">
        <v>16</v>
      </c>
      <c r="G607" s="5" t="s">
        <v>61</v>
      </c>
      <c r="H607" s="5"/>
      <c r="I607" s="6" t="n">
        <v>37377</v>
      </c>
      <c r="J607" s="5" t="s">
        <v>19</v>
      </c>
      <c r="K607" s="5"/>
      <c r="L607" s="7" t="s">
        <v>1576</v>
      </c>
    </row>
    <row r="608" customFormat="false" ht="15.65" hidden="false" customHeight="true" outlineLevel="0" collapsed="false">
      <c r="A608" s="2" t="str">
        <f aca="false">HYPERLINK("https://www.fabsurplus.com/sdi_catalog/salesItemDetails.do?id=109582")</f>
        <v>https://www.fabsurplus.com/sdi_catalog/salesItemDetails.do?id=109582</v>
      </c>
      <c r="B608" s="2" t="s">
        <v>1577</v>
      </c>
      <c r="C608" s="2" t="s">
        <v>1549</v>
      </c>
      <c r="D608" s="2" t="s">
        <v>1419</v>
      </c>
      <c r="E608" s="2" t="s">
        <v>1578</v>
      </c>
      <c r="F608" s="2" t="s">
        <v>16</v>
      </c>
      <c r="G608" s="2" t="s">
        <v>1579</v>
      </c>
      <c r="H608" s="2" t="s">
        <v>32</v>
      </c>
      <c r="I608" s="3" t="n">
        <v>32660</v>
      </c>
      <c r="J608" s="2" t="s">
        <v>19</v>
      </c>
      <c r="K608" s="2" t="s">
        <v>20</v>
      </c>
      <c r="L608" s="2"/>
    </row>
    <row r="609" customFormat="false" ht="15.65" hidden="false" customHeight="true" outlineLevel="0" collapsed="false">
      <c r="A609" s="5" t="str">
        <f aca="false">HYPERLINK("https://www.fabsurplus.com/sdi_catalog/salesItemDetails.do?id=108559")</f>
        <v>https://www.fabsurplus.com/sdi_catalog/salesItemDetails.do?id=108559</v>
      </c>
      <c r="B609" s="5" t="s">
        <v>1580</v>
      </c>
      <c r="C609" s="5" t="s">
        <v>1549</v>
      </c>
      <c r="D609" s="5" t="s">
        <v>1581</v>
      </c>
      <c r="E609" s="5" t="s">
        <v>1582</v>
      </c>
      <c r="F609" s="5" t="s">
        <v>16</v>
      </c>
      <c r="G609" s="5" t="s">
        <v>61</v>
      </c>
      <c r="H609" s="5" t="s">
        <v>32</v>
      </c>
      <c r="I609" s="6" t="n">
        <v>38838</v>
      </c>
      <c r="J609" s="5" t="s">
        <v>19</v>
      </c>
      <c r="K609" s="5" t="s">
        <v>20</v>
      </c>
      <c r="L609" s="5"/>
    </row>
    <row r="610" customFormat="false" ht="15.65" hidden="false" customHeight="true" outlineLevel="0" collapsed="false">
      <c r="A610" s="2" t="str">
        <f aca="false">HYPERLINK("https://www.fabsurplus.com/sdi_catalog/salesItemDetails.do?id=109583")</f>
        <v>https://www.fabsurplus.com/sdi_catalog/salesItemDetails.do?id=109583</v>
      </c>
      <c r="B610" s="2" t="s">
        <v>1583</v>
      </c>
      <c r="C610" s="2" t="s">
        <v>1549</v>
      </c>
      <c r="D610" s="2" t="s">
        <v>1419</v>
      </c>
      <c r="E610" s="2" t="s">
        <v>1584</v>
      </c>
      <c r="F610" s="2" t="s">
        <v>16</v>
      </c>
      <c r="G610" s="2" t="s">
        <v>1579</v>
      </c>
      <c r="H610" s="2" t="s">
        <v>32</v>
      </c>
      <c r="I610" s="3" t="n">
        <v>32660</v>
      </c>
      <c r="J610" s="2" t="s">
        <v>19</v>
      </c>
      <c r="K610" s="2" t="s">
        <v>20</v>
      </c>
      <c r="L610" s="4" t="s">
        <v>1585</v>
      </c>
    </row>
    <row r="611" customFormat="false" ht="15.65" hidden="false" customHeight="true" outlineLevel="0" collapsed="false">
      <c r="A611" s="5" t="str">
        <f aca="false">HYPERLINK("https://www.fabsurplus.com/sdi_catalog/salesItemDetails.do?id=108560")</f>
        <v>https://www.fabsurplus.com/sdi_catalog/salesItemDetails.do?id=108560</v>
      </c>
      <c r="B611" s="5" t="s">
        <v>1586</v>
      </c>
      <c r="C611" s="5" t="s">
        <v>1549</v>
      </c>
      <c r="D611" s="5" t="s">
        <v>1581</v>
      </c>
      <c r="E611" s="5" t="s">
        <v>1582</v>
      </c>
      <c r="F611" s="5" t="s">
        <v>16</v>
      </c>
      <c r="G611" s="5" t="s">
        <v>61</v>
      </c>
      <c r="H611" s="5" t="s">
        <v>32</v>
      </c>
      <c r="I611" s="6" t="n">
        <v>43221</v>
      </c>
      <c r="J611" s="5" t="s">
        <v>19</v>
      </c>
      <c r="K611" s="5" t="s">
        <v>20</v>
      </c>
      <c r="L611" s="5"/>
    </row>
    <row r="612" customFormat="false" ht="15.65" hidden="false" customHeight="true" outlineLevel="0" collapsed="false">
      <c r="A612" s="2" t="str">
        <f aca="false">HYPERLINK("https://www.fabsurplus.com/sdi_catalog/salesItemDetails.do?id=108561")</f>
        <v>https://www.fabsurplus.com/sdi_catalog/salesItemDetails.do?id=108561</v>
      </c>
      <c r="B612" s="2" t="s">
        <v>1587</v>
      </c>
      <c r="C612" s="2" t="s">
        <v>1549</v>
      </c>
      <c r="D612" s="2" t="s">
        <v>1581</v>
      </c>
      <c r="E612" s="2" t="s">
        <v>1582</v>
      </c>
      <c r="F612" s="2" t="s">
        <v>16</v>
      </c>
      <c r="G612" s="2" t="s">
        <v>61</v>
      </c>
      <c r="H612" s="2" t="s">
        <v>32</v>
      </c>
      <c r="I612" s="3" t="n">
        <v>43221</v>
      </c>
      <c r="J612" s="2" t="s">
        <v>19</v>
      </c>
      <c r="K612" s="2" t="s">
        <v>20</v>
      </c>
      <c r="L612" s="2"/>
    </row>
    <row r="613" customFormat="false" ht="15.65" hidden="false" customHeight="true" outlineLevel="0" collapsed="false">
      <c r="A613" s="5" t="str">
        <f aca="false">HYPERLINK("https://www.fabsurplus.com/sdi_catalog/salesItemDetails.do?id=91158")</f>
        <v>https://www.fabsurplus.com/sdi_catalog/salesItemDetails.do?id=91158</v>
      </c>
      <c r="B613" s="5" t="s">
        <v>1588</v>
      </c>
      <c r="C613" s="5" t="s">
        <v>1549</v>
      </c>
      <c r="D613" s="5" t="s">
        <v>1589</v>
      </c>
      <c r="E613" s="5" t="s">
        <v>1590</v>
      </c>
      <c r="F613" s="5" t="s">
        <v>16</v>
      </c>
      <c r="G613" s="5" t="s">
        <v>38</v>
      </c>
      <c r="H613" s="5" t="s">
        <v>275</v>
      </c>
      <c r="I613" s="6" t="n">
        <v>36677.9166666667</v>
      </c>
      <c r="J613" s="5" t="s">
        <v>42</v>
      </c>
      <c r="K613" s="5"/>
      <c r="L613" s="7" t="s">
        <v>1591</v>
      </c>
    </row>
    <row r="614" customFormat="false" ht="15.65" hidden="false" customHeight="true" outlineLevel="0" collapsed="false">
      <c r="A614" s="2" t="str">
        <f aca="false">HYPERLINK("https://www.fabsurplus.com/sdi_catalog/salesItemDetails.do?id=96534")</f>
        <v>https://www.fabsurplus.com/sdi_catalog/salesItemDetails.do?id=96534</v>
      </c>
      <c r="B614" s="2" t="s">
        <v>1592</v>
      </c>
      <c r="C614" s="2" t="s">
        <v>1549</v>
      </c>
      <c r="D614" s="2" t="s">
        <v>1550</v>
      </c>
      <c r="E614" s="2" t="s">
        <v>1593</v>
      </c>
      <c r="F614" s="2" t="s">
        <v>16</v>
      </c>
      <c r="G614" s="2" t="s">
        <v>38</v>
      </c>
      <c r="H614" s="2" t="s">
        <v>275</v>
      </c>
      <c r="I614" s="2"/>
      <c r="J614" s="2" t="s">
        <v>42</v>
      </c>
      <c r="K614" s="2"/>
      <c r="L614" s="4" t="s">
        <v>1594</v>
      </c>
    </row>
    <row r="615" customFormat="false" ht="15.65" hidden="false" customHeight="true" outlineLevel="0" collapsed="false">
      <c r="A615" s="5" t="str">
        <f aca="false">HYPERLINK("https://www.fabsurplus.com/sdi_catalog/salesItemDetails.do?id=91159")</f>
        <v>https://www.fabsurplus.com/sdi_catalog/salesItemDetails.do?id=91159</v>
      </c>
      <c r="B615" s="5" t="s">
        <v>1595</v>
      </c>
      <c r="C615" s="5" t="s">
        <v>1549</v>
      </c>
      <c r="D615" s="5" t="s">
        <v>1589</v>
      </c>
      <c r="E615" s="5" t="s">
        <v>1590</v>
      </c>
      <c r="F615" s="5" t="s">
        <v>16</v>
      </c>
      <c r="G615" s="5" t="s">
        <v>38</v>
      </c>
      <c r="H615" s="5" t="s">
        <v>275</v>
      </c>
      <c r="I615" s="6" t="n">
        <v>37042.9166666667</v>
      </c>
      <c r="J615" s="5" t="s">
        <v>42</v>
      </c>
      <c r="K615" s="5"/>
      <c r="L615" s="7" t="s">
        <v>1596</v>
      </c>
    </row>
    <row r="616" customFormat="false" ht="15.65" hidden="false" customHeight="true" outlineLevel="0" collapsed="false">
      <c r="A616" s="2" t="str">
        <f aca="false">HYPERLINK("https://www.fabsurplus.com/sdi_catalog/salesItemDetails.do?id=91160")</f>
        <v>https://www.fabsurplus.com/sdi_catalog/salesItemDetails.do?id=91160</v>
      </c>
      <c r="B616" s="2" t="s">
        <v>1597</v>
      </c>
      <c r="C616" s="2" t="s">
        <v>1549</v>
      </c>
      <c r="D616" s="2" t="s">
        <v>1589</v>
      </c>
      <c r="E616" s="2" t="s">
        <v>1598</v>
      </c>
      <c r="F616" s="2" t="s">
        <v>16</v>
      </c>
      <c r="G616" s="2" t="s">
        <v>38</v>
      </c>
      <c r="H616" s="2"/>
      <c r="I616" s="2"/>
      <c r="J616" s="2" t="s">
        <v>19</v>
      </c>
      <c r="K616" s="2"/>
      <c r="L616" s="2" t="s">
        <v>142</v>
      </c>
    </row>
    <row r="617" customFormat="false" ht="15.65" hidden="false" customHeight="true" outlineLevel="0" collapsed="false">
      <c r="A617" s="5" t="str">
        <f aca="false">HYPERLINK("https://www.fabsurplus.com/sdi_catalog/salesItemDetails.do?id=96537")</f>
        <v>https://www.fabsurplus.com/sdi_catalog/salesItemDetails.do?id=96537</v>
      </c>
      <c r="B617" s="5" t="s">
        <v>1599</v>
      </c>
      <c r="C617" s="5" t="s">
        <v>1549</v>
      </c>
      <c r="D617" s="5" t="s">
        <v>1600</v>
      </c>
      <c r="E617" s="5" t="s">
        <v>1601</v>
      </c>
      <c r="F617" s="5" t="s">
        <v>16</v>
      </c>
      <c r="G617" s="5" t="s">
        <v>38</v>
      </c>
      <c r="H617" s="5" t="s">
        <v>275</v>
      </c>
      <c r="I617" s="6" t="n">
        <v>36311.9166666667</v>
      </c>
      <c r="J617" s="5" t="s">
        <v>42</v>
      </c>
      <c r="K617" s="5"/>
      <c r="L617" s="7" t="s">
        <v>1602</v>
      </c>
    </row>
    <row r="618" customFormat="false" ht="15.65" hidden="false" customHeight="true" outlineLevel="0" collapsed="false">
      <c r="A618" s="2" t="str">
        <f aca="false">HYPERLINK("https://www.fabsurplus.com/sdi_catalog/salesItemDetails.do?id=91162")</f>
        <v>https://www.fabsurplus.com/sdi_catalog/salesItemDetails.do?id=91162</v>
      </c>
      <c r="B618" s="2" t="s">
        <v>1603</v>
      </c>
      <c r="C618" s="2" t="s">
        <v>1549</v>
      </c>
      <c r="D618" s="2" t="s">
        <v>1589</v>
      </c>
      <c r="E618" s="2" t="s">
        <v>1590</v>
      </c>
      <c r="F618" s="2" t="s">
        <v>16</v>
      </c>
      <c r="G618" s="2" t="s">
        <v>38</v>
      </c>
      <c r="H618" s="2"/>
      <c r="I618" s="2"/>
      <c r="J618" s="2" t="s">
        <v>19</v>
      </c>
      <c r="K618" s="2"/>
      <c r="L618" s="2" t="s">
        <v>142</v>
      </c>
    </row>
    <row r="619" customFormat="false" ht="15.65" hidden="false" customHeight="true" outlineLevel="0" collapsed="false">
      <c r="A619" s="5" t="str">
        <f aca="false">HYPERLINK("https://www.fabsurplus.com/sdi_catalog/salesItemDetails.do?id=96538")</f>
        <v>https://www.fabsurplus.com/sdi_catalog/salesItemDetails.do?id=96538</v>
      </c>
      <c r="B619" s="5" t="s">
        <v>1604</v>
      </c>
      <c r="C619" s="5" t="s">
        <v>1549</v>
      </c>
      <c r="D619" s="5" t="s">
        <v>1600</v>
      </c>
      <c r="E619" s="5" t="s">
        <v>1601</v>
      </c>
      <c r="F619" s="5" t="s">
        <v>16</v>
      </c>
      <c r="G619" s="5" t="s">
        <v>38</v>
      </c>
      <c r="H619" s="5" t="s">
        <v>275</v>
      </c>
      <c r="I619" s="6" t="n">
        <v>36311.9166666667</v>
      </c>
      <c r="J619" s="5" t="s">
        <v>42</v>
      </c>
      <c r="K619" s="5"/>
      <c r="L619" s="7" t="s">
        <v>1605</v>
      </c>
    </row>
    <row r="620" customFormat="false" ht="15.65" hidden="false" customHeight="true" outlineLevel="0" collapsed="false">
      <c r="A620" s="2" t="str">
        <f aca="false">HYPERLINK("https://www.fabsurplus.com/sdi_catalog/salesItemDetails.do?id=108059")</f>
        <v>https://www.fabsurplus.com/sdi_catalog/salesItemDetails.do?id=108059</v>
      </c>
      <c r="B620" s="2" t="s">
        <v>1606</v>
      </c>
      <c r="C620" s="2" t="s">
        <v>1549</v>
      </c>
      <c r="D620" s="2" t="s">
        <v>1607</v>
      </c>
      <c r="E620" s="2" t="s">
        <v>1608</v>
      </c>
      <c r="F620" s="2" t="s">
        <v>16</v>
      </c>
      <c r="G620" s="2" t="s">
        <v>1293</v>
      </c>
      <c r="H620" s="2"/>
      <c r="I620" s="2"/>
      <c r="J620" s="2" t="s">
        <v>19</v>
      </c>
      <c r="K620" s="2"/>
      <c r="L620" s="2" t="s">
        <v>1609</v>
      </c>
    </row>
    <row r="621" customFormat="false" ht="15.65" hidden="false" customHeight="true" outlineLevel="0" collapsed="false">
      <c r="A621" s="5" t="str">
        <f aca="false">HYPERLINK("https://www.fabsurplus.com/sdi_catalog/salesItemDetails.do?id=108060")</f>
        <v>https://www.fabsurplus.com/sdi_catalog/salesItemDetails.do?id=108060</v>
      </c>
      <c r="B621" s="5" t="s">
        <v>1610</v>
      </c>
      <c r="C621" s="5" t="s">
        <v>1549</v>
      </c>
      <c r="D621" s="5" t="s">
        <v>1611</v>
      </c>
      <c r="E621" s="5" t="s">
        <v>1612</v>
      </c>
      <c r="F621" s="5" t="s">
        <v>16</v>
      </c>
      <c r="G621" s="5" t="s">
        <v>38</v>
      </c>
      <c r="H621" s="5"/>
      <c r="I621" s="5"/>
      <c r="J621" s="5" t="s">
        <v>19</v>
      </c>
      <c r="K621" s="5"/>
      <c r="L621" s="5" t="s">
        <v>1613</v>
      </c>
    </row>
    <row r="622" customFormat="false" ht="15.65" hidden="false" customHeight="true" outlineLevel="0" collapsed="false">
      <c r="A622" s="2" t="str">
        <f aca="false">HYPERLINK("https://www.fabsurplus.com/sdi_catalog/salesItemDetails.do?id=110620")</f>
        <v>https://www.fabsurplus.com/sdi_catalog/salesItemDetails.do?id=110620</v>
      </c>
      <c r="B622" s="2" t="s">
        <v>1614</v>
      </c>
      <c r="C622" s="2" t="s">
        <v>1549</v>
      </c>
      <c r="D622" s="2" t="s">
        <v>1615</v>
      </c>
      <c r="E622" s="2" t="s">
        <v>1616</v>
      </c>
      <c r="F622" s="2" t="s">
        <v>16</v>
      </c>
      <c r="G622" s="2" t="s">
        <v>61</v>
      </c>
      <c r="H622" s="2"/>
      <c r="I622" s="2"/>
      <c r="J622" s="2" t="s">
        <v>19</v>
      </c>
      <c r="K622" s="2"/>
      <c r="L622" s="4" t="s">
        <v>1617</v>
      </c>
    </row>
    <row r="623" customFormat="false" ht="15.65" hidden="false" customHeight="true" outlineLevel="0" collapsed="false">
      <c r="A623" s="5" t="str">
        <f aca="false">HYPERLINK("https://www.fabsurplus.com/sdi_catalog/salesItemDetails.do?id=97053")</f>
        <v>https://www.fabsurplus.com/sdi_catalog/salesItemDetails.do?id=97053</v>
      </c>
      <c r="B623" s="5" t="s">
        <v>1618</v>
      </c>
      <c r="C623" s="5" t="s">
        <v>1549</v>
      </c>
      <c r="D623" s="5" t="s">
        <v>1619</v>
      </c>
      <c r="E623" s="5" t="s">
        <v>1620</v>
      </c>
      <c r="F623" s="5" t="s">
        <v>16</v>
      </c>
      <c r="G623" s="5" t="s">
        <v>61</v>
      </c>
      <c r="H623" s="5" t="s">
        <v>32</v>
      </c>
      <c r="I623" s="5"/>
      <c r="J623" s="5" t="s">
        <v>19</v>
      </c>
      <c r="K623" s="5" t="s">
        <v>20</v>
      </c>
      <c r="L623" s="7" t="s">
        <v>1621</v>
      </c>
    </row>
    <row r="624" customFormat="false" ht="15.65" hidden="false" customHeight="true" outlineLevel="0" collapsed="false">
      <c r="A624" s="2" t="str">
        <f aca="false">HYPERLINK("https://www.fabsurplus.com/sdi_catalog/salesItemDetails.do?id=97054")</f>
        <v>https://www.fabsurplus.com/sdi_catalog/salesItemDetails.do?id=97054</v>
      </c>
      <c r="B624" s="2" t="s">
        <v>1622</v>
      </c>
      <c r="C624" s="2" t="s">
        <v>1549</v>
      </c>
      <c r="D624" s="2" t="s">
        <v>1619</v>
      </c>
      <c r="E624" s="2" t="s">
        <v>1623</v>
      </c>
      <c r="F624" s="2" t="s">
        <v>16</v>
      </c>
      <c r="G624" s="2" t="s">
        <v>61</v>
      </c>
      <c r="H624" s="2" t="s">
        <v>32</v>
      </c>
      <c r="I624" s="2"/>
      <c r="J624" s="2" t="s">
        <v>19</v>
      </c>
      <c r="K624" s="2" t="s">
        <v>20</v>
      </c>
      <c r="L624" s="4" t="s">
        <v>1621</v>
      </c>
    </row>
    <row r="625" customFormat="false" ht="15.65" hidden="false" customHeight="true" outlineLevel="0" collapsed="false">
      <c r="A625" s="5" t="str">
        <f aca="false">HYPERLINK("https://www.fabsurplus.com/sdi_catalog/salesItemDetails.do?id=91168")</f>
        <v>https://www.fabsurplus.com/sdi_catalog/salesItemDetails.do?id=91168</v>
      </c>
      <c r="B625" s="5" t="s">
        <v>1624</v>
      </c>
      <c r="C625" s="5" t="s">
        <v>1549</v>
      </c>
      <c r="D625" s="5" t="s">
        <v>1589</v>
      </c>
      <c r="E625" s="5" t="s">
        <v>1590</v>
      </c>
      <c r="F625" s="5" t="s">
        <v>16</v>
      </c>
      <c r="G625" s="5" t="s">
        <v>38</v>
      </c>
      <c r="H625" s="5" t="s">
        <v>275</v>
      </c>
      <c r="I625" s="6" t="n">
        <v>36677.9166666667</v>
      </c>
      <c r="J625" s="5" t="s">
        <v>42</v>
      </c>
      <c r="K625" s="5"/>
      <c r="L625" s="7" t="s">
        <v>1625</v>
      </c>
    </row>
    <row r="626" customFormat="false" ht="15.65" hidden="false" customHeight="true" outlineLevel="0" collapsed="false">
      <c r="A626" s="2" t="str">
        <f aca="false">HYPERLINK("https://www.fabsurplus.com/sdi_catalog/salesItemDetails.do?id=109088")</f>
        <v>https://www.fabsurplus.com/sdi_catalog/salesItemDetails.do?id=109088</v>
      </c>
      <c r="B626" s="2" t="s">
        <v>1626</v>
      </c>
      <c r="C626" s="2" t="s">
        <v>1549</v>
      </c>
      <c r="D626" s="2" t="s">
        <v>1627</v>
      </c>
      <c r="E626" s="2" t="s">
        <v>1628</v>
      </c>
      <c r="F626" s="2" t="s">
        <v>16</v>
      </c>
      <c r="G626" s="2" t="s">
        <v>61</v>
      </c>
      <c r="H626" s="2" t="s">
        <v>275</v>
      </c>
      <c r="I626" s="3" t="n">
        <v>39295</v>
      </c>
      <c r="J626" s="2" t="s">
        <v>19</v>
      </c>
      <c r="K626" s="2" t="s">
        <v>1629</v>
      </c>
      <c r="L626" s="4" t="s">
        <v>1630</v>
      </c>
    </row>
    <row r="627" customFormat="false" ht="15.65" hidden="false" customHeight="true" outlineLevel="0" collapsed="false">
      <c r="A627" s="5" t="str">
        <f aca="false">HYPERLINK("https://www.fabsurplus.com/sdi_catalog/salesItemDetails.do?id=97057")</f>
        <v>https://www.fabsurplus.com/sdi_catalog/salesItemDetails.do?id=97057</v>
      </c>
      <c r="B627" s="5" t="s">
        <v>1631</v>
      </c>
      <c r="C627" s="5" t="s">
        <v>1549</v>
      </c>
      <c r="D627" s="5" t="s">
        <v>1619</v>
      </c>
      <c r="E627" s="5" t="s">
        <v>1632</v>
      </c>
      <c r="F627" s="5" t="s">
        <v>16</v>
      </c>
      <c r="G627" s="5" t="s">
        <v>61</v>
      </c>
      <c r="H627" s="5" t="s">
        <v>32</v>
      </c>
      <c r="I627" s="5"/>
      <c r="J627" s="5" t="s">
        <v>19</v>
      </c>
      <c r="K627" s="5" t="s">
        <v>20</v>
      </c>
      <c r="L627" s="7" t="s">
        <v>1621</v>
      </c>
    </row>
    <row r="628" customFormat="false" ht="15.65" hidden="false" customHeight="true" outlineLevel="0" collapsed="false">
      <c r="A628" s="2" t="str">
        <f aca="false">HYPERLINK("https://www.fabsurplus.com/sdi_catalog/salesItemDetails.do?id=97059")</f>
        <v>https://www.fabsurplus.com/sdi_catalog/salesItemDetails.do?id=97059</v>
      </c>
      <c r="B628" s="2" t="s">
        <v>1633</v>
      </c>
      <c r="C628" s="2" t="s">
        <v>1549</v>
      </c>
      <c r="D628" s="2" t="s">
        <v>1619</v>
      </c>
      <c r="E628" s="2" t="s">
        <v>1634</v>
      </c>
      <c r="F628" s="2" t="s">
        <v>16</v>
      </c>
      <c r="G628" s="2" t="s">
        <v>61</v>
      </c>
      <c r="H628" s="2" t="s">
        <v>32</v>
      </c>
      <c r="I628" s="2"/>
      <c r="J628" s="2" t="s">
        <v>19</v>
      </c>
      <c r="K628" s="2" t="s">
        <v>20</v>
      </c>
      <c r="L628" s="4" t="s">
        <v>1621</v>
      </c>
    </row>
    <row r="629" customFormat="false" ht="15.65" hidden="false" customHeight="true" outlineLevel="0" collapsed="false">
      <c r="A629" s="5" t="str">
        <f aca="false">HYPERLINK("https://www.fabsurplus.com/sdi_catalog/salesItemDetails.do?id=97061")</f>
        <v>https://www.fabsurplus.com/sdi_catalog/salesItemDetails.do?id=97061</v>
      </c>
      <c r="B629" s="5" t="s">
        <v>1635</v>
      </c>
      <c r="C629" s="5" t="s">
        <v>1549</v>
      </c>
      <c r="D629" s="5" t="s">
        <v>1636</v>
      </c>
      <c r="E629" s="5" t="s">
        <v>1637</v>
      </c>
      <c r="F629" s="5" t="s">
        <v>16</v>
      </c>
      <c r="G629" s="5" t="s">
        <v>61</v>
      </c>
      <c r="H629" s="5" t="s">
        <v>32</v>
      </c>
      <c r="I629" s="5"/>
      <c r="J629" s="5" t="s">
        <v>19</v>
      </c>
      <c r="K629" s="5" t="s">
        <v>20</v>
      </c>
      <c r="L629" s="7" t="s">
        <v>1621</v>
      </c>
    </row>
    <row r="630" customFormat="false" ht="15.65" hidden="false" customHeight="true" outlineLevel="0" collapsed="false">
      <c r="A630" s="2" t="str">
        <f aca="false">HYPERLINK("https://www.fabsurplus.com/sdi_catalog/salesItemDetails.do?id=97062")</f>
        <v>https://www.fabsurplus.com/sdi_catalog/salesItemDetails.do?id=97062</v>
      </c>
      <c r="B630" s="2" t="s">
        <v>1638</v>
      </c>
      <c r="C630" s="2" t="s">
        <v>1549</v>
      </c>
      <c r="D630" s="2" t="s">
        <v>1636</v>
      </c>
      <c r="E630" s="2" t="s">
        <v>1637</v>
      </c>
      <c r="F630" s="2" t="s">
        <v>16</v>
      </c>
      <c r="G630" s="2" t="s">
        <v>61</v>
      </c>
      <c r="H630" s="2" t="s">
        <v>32</v>
      </c>
      <c r="I630" s="2"/>
      <c r="J630" s="2" t="s">
        <v>19</v>
      </c>
      <c r="K630" s="2" t="s">
        <v>20</v>
      </c>
      <c r="L630" s="4" t="s">
        <v>1621</v>
      </c>
    </row>
    <row r="631" customFormat="false" ht="15.65" hidden="false" customHeight="true" outlineLevel="0" collapsed="false">
      <c r="A631" s="5" t="str">
        <f aca="false">HYPERLINK("https://www.fabsurplus.com/sdi_catalog/salesItemDetails.do?id=109095")</f>
        <v>https://www.fabsurplus.com/sdi_catalog/salesItemDetails.do?id=109095</v>
      </c>
      <c r="B631" s="5" t="s">
        <v>1639</v>
      </c>
      <c r="C631" s="5" t="s">
        <v>1549</v>
      </c>
      <c r="D631" s="5" t="s">
        <v>1640</v>
      </c>
      <c r="E631" s="5" t="s">
        <v>1641</v>
      </c>
      <c r="F631" s="5" t="s">
        <v>16</v>
      </c>
      <c r="G631" s="5" t="s">
        <v>38</v>
      </c>
      <c r="H631" s="5" t="s">
        <v>1266</v>
      </c>
      <c r="I631" s="5"/>
      <c r="J631" s="5" t="s">
        <v>19</v>
      </c>
      <c r="K631" s="5" t="s">
        <v>20</v>
      </c>
      <c r="L631" s="7" t="s">
        <v>1642</v>
      </c>
    </row>
    <row r="632" customFormat="false" ht="15.65" hidden="false" customHeight="true" outlineLevel="0" collapsed="false">
      <c r="A632" s="2" t="str">
        <f aca="false">HYPERLINK("https://www.fabsurplus.com/sdi_catalog/salesItemDetails.do?id=109352")</f>
        <v>https://www.fabsurplus.com/sdi_catalog/salesItemDetails.do?id=109352</v>
      </c>
      <c r="B632" s="2" t="s">
        <v>1643</v>
      </c>
      <c r="C632" s="2" t="s">
        <v>1549</v>
      </c>
      <c r="D632" s="2" t="s">
        <v>1644</v>
      </c>
      <c r="E632" s="2" t="s">
        <v>103</v>
      </c>
      <c r="F632" s="2" t="s">
        <v>16</v>
      </c>
      <c r="G632" s="2" t="s">
        <v>104</v>
      </c>
      <c r="H632" s="2"/>
      <c r="I632" s="2"/>
      <c r="J632" s="2" t="s">
        <v>19</v>
      </c>
      <c r="K632" s="2"/>
      <c r="L632" s="2" t="s">
        <v>1645</v>
      </c>
    </row>
    <row r="633" customFormat="false" ht="15.65" hidden="false" customHeight="true" outlineLevel="0" collapsed="false">
      <c r="A633" s="5" t="str">
        <f aca="false">HYPERLINK("https://www.fabsurplus.com/sdi_catalog/salesItemDetails.do?id=109353")</f>
        <v>https://www.fabsurplus.com/sdi_catalog/salesItemDetails.do?id=109353</v>
      </c>
      <c r="B633" s="5" t="s">
        <v>1646</v>
      </c>
      <c r="C633" s="5" t="s">
        <v>1549</v>
      </c>
      <c r="D633" s="5" t="s">
        <v>1644</v>
      </c>
      <c r="E633" s="5" t="s">
        <v>103</v>
      </c>
      <c r="F633" s="5" t="s">
        <v>16</v>
      </c>
      <c r="G633" s="5" t="s">
        <v>104</v>
      </c>
      <c r="H633" s="5"/>
      <c r="I633" s="5"/>
      <c r="J633" s="5" t="s">
        <v>19</v>
      </c>
      <c r="K633" s="5"/>
      <c r="L633" s="5" t="s">
        <v>1645</v>
      </c>
    </row>
    <row r="634" customFormat="false" ht="15.65" hidden="false" customHeight="true" outlineLevel="0" collapsed="false">
      <c r="A634" s="2" t="str">
        <f aca="false">HYPERLINK("https://www.fabsurplus.com/sdi_catalog/salesItemDetails.do?id=109354")</f>
        <v>https://www.fabsurplus.com/sdi_catalog/salesItemDetails.do?id=109354</v>
      </c>
      <c r="B634" s="2" t="s">
        <v>1647</v>
      </c>
      <c r="C634" s="2" t="s">
        <v>1549</v>
      </c>
      <c r="D634" s="2" t="s">
        <v>1648</v>
      </c>
      <c r="E634" s="2" t="s">
        <v>103</v>
      </c>
      <c r="F634" s="2" t="s">
        <v>16</v>
      </c>
      <c r="G634" s="2" t="s">
        <v>104</v>
      </c>
      <c r="H634" s="2"/>
      <c r="I634" s="2"/>
      <c r="J634" s="2" t="s">
        <v>19</v>
      </c>
      <c r="K634" s="2"/>
      <c r="L634" s="2" t="s">
        <v>1649</v>
      </c>
    </row>
    <row r="635" customFormat="false" ht="15.65" hidden="false" customHeight="true" outlineLevel="0" collapsed="false">
      <c r="A635" s="5" t="str">
        <f aca="false">HYPERLINK("https://www.fabsurplus.com/sdi_catalog/salesItemDetails.do?id=109355")</f>
        <v>https://www.fabsurplus.com/sdi_catalog/salesItemDetails.do?id=109355</v>
      </c>
      <c r="B635" s="5" t="s">
        <v>1650</v>
      </c>
      <c r="C635" s="5" t="s">
        <v>1549</v>
      </c>
      <c r="D635" s="5" t="s">
        <v>1648</v>
      </c>
      <c r="E635" s="5" t="s">
        <v>103</v>
      </c>
      <c r="F635" s="5" t="s">
        <v>16</v>
      </c>
      <c r="G635" s="5" t="s">
        <v>104</v>
      </c>
      <c r="H635" s="5"/>
      <c r="I635" s="5"/>
      <c r="J635" s="5" t="s">
        <v>19</v>
      </c>
      <c r="K635" s="5"/>
      <c r="L635" s="5" t="s">
        <v>1651</v>
      </c>
    </row>
    <row r="636" customFormat="false" ht="15.65" hidden="false" customHeight="true" outlineLevel="0" collapsed="false">
      <c r="A636" s="2" t="str">
        <f aca="false">HYPERLINK("https://www.fabsurplus.com/sdi_catalog/salesItemDetails.do?id=109356")</f>
        <v>https://www.fabsurplus.com/sdi_catalog/salesItemDetails.do?id=109356</v>
      </c>
      <c r="B636" s="2" t="s">
        <v>1652</v>
      </c>
      <c r="C636" s="2" t="s">
        <v>1549</v>
      </c>
      <c r="D636" s="2" t="s">
        <v>1653</v>
      </c>
      <c r="E636" s="2" t="s">
        <v>103</v>
      </c>
      <c r="F636" s="2" t="s">
        <v>16</v>
      </c>
      <c r="G636" s="2" t="s">
        <v>104</v>
      </c>
      <c r="H636" s="2"/>
      <c r="I636" s="2"/>
      <c r="J636" s="2" t="s">
        <v>19</v>
      </c>
      <c r="K636" s="2"/>
      <c r="L636" s="2" t="s">
        <v>1654</v>
      </c>
    </row>
    <row r="637" customFormat="false" ht="15.65" hidden="false" customHeight="true" outlineLevel="0" collapsed="false">
      <c r="A637" s="5" t="str">
        <f aca="false">HYPERLINK("https://www.fabsurplus.com/sdi_catalog/salesItemDetails.do?id=100909")</f>
        <v>https://www.fabsurplus.com/sdi_catalog/salesItemDetails.do?id=100909</v>
      </c>
      <c r="B637" s="5" t="s">
        <v>1655</v>
      </c>
      <c r="C637" s="5" t="s">
        <v>1549</v>
      </c>
      <c r="D637" s="5" t="s">
        <v>1656</v>
      </c>
      <c r="E637" s="5" t="s">
        <v>1657</v>
      </c>
      <c r="F637" s="5" t="s">
        <v>16</v>
      </c>
      <c r="G637" s="5" t="s">
        <v>61</v>
      </c>
      <c r="H637" s="5"/>
      <c r="I637" s="6" t="n">
        <v>42155.9166666667</v>
      </c>
      <c r="J637" s="5" t="s">
        <v>19</v>
      </c>
      <c r="K637" s="5"/>
      <c r="L637" s="5" t="s">
        <v>1539</v>
      </c>
    </row>
    <row r="638" customFormat="false" ht="15.65" hidden="false" customHeight="true" outlineLevel="0" collapsed="false">
      <c r="A638" s="2" t="str">
        <f aca="false">HYPERLINK("https://www.fabsurplus.com/sdi_catalog/salesItemDetails.do?id=91182")</f>
        <v>https://www.fabsurplus.com/sdi_catalog/salesItemDetails.do?id=91182</v>
      </c>
      <c r="B638" s="2" t="s">
        <v>1658</v>
      </c>
      <c r="C638" s="2" t="s">
        <v>1549</v>
      </c>
      <c r="D638" s="2" t="s">
        <v>1659</v>
      </c>
      <c r="E638" s="2" t="s">
        <v>1660</v>
      </c>
      <c r="F638" s="2" t="s">
        <v>16</v>
      </c>
      <c r="G638" s="2" t="s">
        <v>1293</v>
      </c>
      <c r="H638" s="2"/>
      <c r="I638" s="3" t="n">
        <v>34120.9166666667</v>
      </c>
      <c r="J638" s="2" t="s">
        <v>19</v>
      </c>
      <c r="K638" s="2"/>
      <c r="L638" s="2" t="s">
        <v>142</v>
      </c>
    </row>
    <row r="639" customFormat="false" ht="15.65" hidden="false" customHeight="true" outlineLevel="0" collapsed="false">
      <c r="A639" s="5" t="str">
        <f aca="false">HYPERLINK("https://www.fabsurplus.com/sdi_catalog/salesItemDetails.do?id=100910")</f>
        <v>https://www.fabsurplus.com/sdi_catalog/salesItemDetails.do?id=100910</v>
      </c>
      <c r="B639" s="5" t="s">
        <v>1661</v>
      </c>
      <c r="C639" s="5" t="s">
        <v>1549</v>
      </c>
      <c r="D639" s="5" t="s">
        <v>1656</v>
      </c>
      <c r="E639" s="5" t="s">
        <v>1657</v>
      </c>
      <c r="F639" s="5" t="s">
        <v>16</v>
      </c>
      <c r="G639" s="5" t="s">
        <v>61</v>
      </c>
      <c r="H639" s="5"/>
      <c r="I639" s="6" t="n">
        <v>42155.9166666667</v>
      </c>
      <c r="J639" s="5" t="s">
        <v>19</v>
      </c>
      <c r="K639" s="5"/>
      <c r="L639" s="5" t="s">
        <v>1539</v>
      </c>
    </row>
    <row r="640" customFormat="false" ht="15.65" hidden="false" customHeight="true" outlineLevel="0" collapsed="false">
      <c r="A640" s="2" t="str">
        <f aca="false">HYPERLINK("https://www.fabsurplus.com/sdi_catalog/salesItemDetails.do?id=109358")</f>
        <v>https://www.fabsurplus.com/sdi_catalog/salesItemDetails.do?id=109358</v>
      </c>
      <c r="B640" s="2" t="s">
        <v>1662</v>
      </c>
      <c r="C640" s="2" t="s">
        <v>1549</v>
      </c>
      <c r="D640" s="2" t="s">
        <v>1663</v>
      </c>
      <c r="E640" s="2" t="s">
        <v>103</v>
      </c>
      <c r="F640" s="2" t="s">
        <v>236</v>
      </c>
      <c r="G640" s="2" t="s">
        <v>104</v>
      </c>
      <c r="H640" s="2"/>
      <c r="I640" s="2"/>
      <c r="J640" s="2" t="s">
        <v>19</v>
      </c>
      <c r="K640" s="2"/>
      <c r="L640" s="2" t="s">
        <v>1664</v>
      </c>
    </row>
    <row r="641" customFormat="false" ht="15.65" hidden="false" customHeight="true" outlineLevel="0" collapsed="false">
      <c r="A641" s="5" t="str">
        <f aca="false">HYPERLINK("https://www.fabsurplus.com/sdi_catalog/salesItemDetails.do?id=91183")</f>
        <v>https://www.fabsurplus.com/sdi_catalog/salesItemDetails.do?id=91183</v>
      </c>
      <c r="B641" s="5" t="s">
        <v>1665</v>
      </c>
      <c r="C641" s="5" t="s">
        <v>1549</v>
      </c>
      <c r="D641" s="5" t="s">
        <v>1659</v>
      </c>
      <c r="E641" s="5" t="s">
        <v>1666</v>
      </c>
      <c r="F641" s="5" t="s">
        <v>16</v>
      </c>
      <c r="G641" s="5" t="s">
        <v>38</v>
      </c>
      <c r="H641" s="5"/>
      <c r="I641" s="5"/>
      <c r="J641" s="5" t="s">
        <v>19</v>
      </c>
      <c r="K641" s="5"/>
      <c r="L641" s="5" t="s">
        <v>142</v>
      </c>
    </row>
    <row r="642" customFormat="false" ht="15.65" hidden="false" customHeight="true" outlineLevel="0" collapsed="false">
      <c r="A642" s="2" t="str">
        <f aca="false">HYPERLINK("https://www.fabsurplus.com/sdi_catalog/salesItemDetails.do?id=100911")</f>
        <v>https://www.fabsurplus.com/sdi_catalog/salesItemDetails.do?id=100911</v>
      </c>
      <c r="B642" s="2" t="s">
        <v>1667</v>
      </c>
      <c r="C642" s="2" t="s">
        <v>1549</v>
      </c>
      <c r="D642" s="2" t="s">
        <v>1656</v>
      </c>
      <c r="E642" s="2" t="s">
        <v>1657</v>
      </c>
      <c r="F642" s="2" t="s">
        <v>16</v>
      </c>
      <c r="G642" s="2" t="s">
        <v>61</v>
      </c>
      <c r="H642" s="2"/>
      <c r="I642" s="3" t="n">
        <v>42521.9166666667</v>
      </c>
      <c r="J642" s="2" t="s">
        <v>19</v>
      </c>
      <c r="K642" s="2"/>
      <c r="L642" s="2" t="s">
        <v>1539</v>
      </c>
    </row>
    <row r="643" customFormat="false" ht="15.65" hidden="false" customHeight="true" outlineLevel="0" collapsed="false">
      <c r="A643" s="5" t="str">
        <f aca="false">HYPERLINK("https://www.fabsurplus.com/sdi_catalog/salesItemDetails.do?id=109359")</f>
        <v>https://www.fabsurplus.com/sdi_catalog/salesItemDetails.do?id=109359</v>
      </c>
      <c r="B643" s="5" t="s">
        <v>1668</v>
      </c>
      <c r="C643" s="5" t="s">
        <v>1549</v>
      </c>
      <c r="D643" s="5" t="s">
        <v>1669</v>
      </c>
      <c r="E643" s="5" t="s">
        <v>103</v>
      </c>
      <c r="F643" s="5" t="s">
        <v>16</v>
      </c>
      <c r="G643" s="5" t="s">
        <v>104</v>
      </c>
      <c r="H643" s="5"/>
      <c r="I643" s="5"/>
      <c r="J643" s="5" t="s">
        <v>19</v>
      </c>
      <c r="K643" s="5"/>
      <c r="L643" s="5" t="s">
        <v>1670</v>
      </c>
    </row>
    <row r="644" customFormat="false" ht="15.65" hidden="false" customHeight="true" outlineLevel="0" collapsed="false">
      <c r="A644" s="2" t="str">
        <f aca="false">HYPERLINK("https://www.fabsurplus.com/sdi_catalog/salesItemDetails.do?id=109360")</f>
        <v>https://www.fabsurplus.com/sdi_catalog/salesItemDetails.do?id=109360</v>
      </c>
      <c r="B644" s="2" t="s">
        <v>1671</v>
      </c>
      <c r="C644" s="2" t="s">
        <v>1549</v>
      </c>
      <c r="D644" s="2" t="s">
        <v>1672</v>
      </c>
      <c r="E644" s="2" t="s">
        <v>103</v>
      </c>
      <c r="F644" s="2" t="s">
        <v>236</v>
      </c>
      <c r="G644" s="2" t="s">
        <v>104</v>
      </c>
      <c r="H644" s="2"/>
      <c r="I644" s="2"/>
      <c r="J644" s="2" t="s">
        <v>19</v>
      </c>
      <c r="K644" s="2"/>
      <c r="L644" s="2" t="s">
        <v>1673</v>
      </c>
    </row>
    <row r="645" customFormat="false" ht="15.65" hidden="false" customHeight="true" outlineLevel="0" collapsed="false">
      <c r="A645" s="5" t="str">
        <f aca="false">HYPERLINK("https://www.fabsurplus.com/sdi_catalog/salesItemDetails.do?id=91185")</f>
        <v>https://www.fabsurplus.com/sdi_catalog/salesItemDetails.do?id=91185</v>
      </c>
      <c r="B645" s="5" t="s">
        <v>1674</v>
      </c>
      <c r="C645" s="5" t="s">
        <v>1549</v>
      </c>
      <c r="D645" s="5" t="s">
        <v>1659</v>
      </c>
      <c r="E645" s="5" t="s">
        <v>1675</v>
      </c>
      <c r="F645" s="5" t="s">
        <v>16</v>
      </c>
      <c r="G645" s="5" t="s">
        <v>1293</v>
      </c>
      <c r="H645" s="5"/>
      <c r="I645" s="6" t="n">
        <v>34850.9166666667</v>
      </c>
      <c r="J645" s="5" t="s">
        <v>19</v>
      </c>
      <c r="K645" s="5"/>
      <c r="L645" s="5" t="s">
        <v>142</v>
      </c>
    </row>
    <row r="646" customFormat="false" ht="15.65" hidden="false" customHeight="true" outlineLevel="0" collapsed="false">
      <c r="A646" s="2" t="str">
        <f aca="false">HYPERLINK("https://www.fabsurplus.com/sdi_catalog/salesItemDetails.do?id=100913")</f>
        <v>https://www.fabsurplus.com/sdi_catalog/salesItemDetails.do?id=100913</v>
      </c>
      <c r="B646" s="2" t="s">
        <v>1676</v>
      </c>
      <c r="C646" s="2" t="s">
        <v>1549</v>
      </c>
      <c r="D646" s="2" t="s">
        <v>1677</v>
      </c>
      <c r="E646" s="2" t="s">
        <v>1678</v>
      </c>
      <c r="F646" s="2" t="s">
        <v>16</v>
      </c>
      <c r="G646" s="2" t="s">
        <v>61</v>
      </c>
      <c r="H646" s="2"/>
      <c r="I646" s="3" t="n">
        <v>38868.9166666667</v>
      </c>
      <c r="J646" s="2" t="s">
        <v>19</v>
      </c>
      <c r="K646" s="2"/>
      <c r="L646" s="2" t="s">
        <v>1539</v>
      </c>
    </row>
    <row r="647" customFormat="false" ht="15.65" hidden="false" customHeight="true" outlineLevel="0" collapsed="false">
      <c r="A647" s="5" t="str">
        <f aca="false">HYPERLINK("https://www.fabsurplus.com/sdi_catalog/salesItemDetails.do?id=103473")</f>
        <v>https://www.fabsurplus.com/sdi_catalog/salesItemDetails.do?id=103473</v>
      </c>
      <c r="B647" s="5" t="s">
        <v>1679</v>
      </c>
      <c r="C647" s="5" t="s">
        <v>1549</v>
      </c>
      <c r="D647" s="5" t="s">
        <v>1680</v>
      </c>
      <c r="E647" s="5" t="s">
        <v>1681</v>
      </c>
      <c r="F647" s="5" t="s">
        <v>16</v>
      </c>
      <c r="G647" s="5" t="s">
        <v>61</v>
      </c>
      <c r="H647" s="5"/>
      <c r="I647" s="6" t="n">
        <v>39233.9166666667</v>
      </c>
      <c r="J647" s="5" t="s">
        <v>19</v>
      </c>
      <c r="K647" s="5"/>
      <c r="L647" s="7" t="s">
        <v>1682</v>
      </c>
    </row>
    <row r="648" customFormat="false" ht="15.65" hidden="false" customHeight="true" outlineLevel="0" collapsed="false">
      <c r="A648" s="2" t="str">
        <f aca="false">HYPERLINK("https://www.fabsurplus.com/sdi_catalog/salesItemDetails.do?id=108337")</f>
        <v>https://www.fabsurplus.com/sdi_catalog/salesItemDetails.do?id=108337</v>
      </c>
      <c r="B648" s="2" t="s">
        <v>1683</v>
      </c>
      <c r="C648" s="2" t="s">
        <v>1549</v>
      </c>
      <c r="D648" s="2" t="s">
        <v>1684</v>
      </c>
      <c r="E648" s="2" t="s">
        <v>1685</v>
      </c>
      <c r="F648" s="2" t="s">
        <v>16</v>
      </c>
      <c r="G648" s="2" t="s">
        <v>61</v>
      </c>
      <c r="H648" s="2" t="s">
        <v>18</v>
      </c>
      <c r="I648" s="2"/>
      <c r="J648" s="2" t="s">
        <v>19</v>
      </c>
      <c r="K648" s="2" t="s">
        <v>20</v>
      </c>
      <c r="L648" s="4" t="s">
        <v>1686</v>
      </c>
    </row>
    <row r="649" customFormat="false" ht="15.65" hidden="false" customHeight="true" outlineLevel="0" collapsed="false">
      <c r="A649" s="5" t="str">
        <f aca="false">HYPERLINK("https://www.fabsurplus.com/sdi_catalog/salesItemDetails.do?id=109361")</f>
        <v>https://www.fabsurplus.com/sdi_catalog/salesItemDetails.do?id=109361</v>
      </c>
      <c r="B649" s="5" t="s">
        <v>1687</v>
      </c>
      <c r="C649" s="5" t="s">
        <v>1549</v>
      </c>
      <c r="D649" s="5" t="s">
        <v>1688</v>
      </c>
      <c r="E649" s="5" t="s">
        <v>103</v>
      </c>
      <c r="F649" s="5" t="s">
        <v>16</v>
      </c>
      <c r="G649" s="5" t="s">
        <v>104</v>
      </c>
      <c r="H649" s="5"/>
      <c r="I649" s="5"/>
      <c r="J649" s="5" t="s">
        <v>19</v>
      </c>
      <c r="K649" s="5"/>
      <c r="L649" s="5" t="s">
        <v>1689</v>
      </c>
    </row>
    <row r="650" customFormat="false" ht="15.65" hidden="false" customHeight="true" outlineLevel="0" collapsed="false">
      <c r="A650" s="2" t="str">
        <f aca="false">HYPERLINK("https://www.fabsurplus.com/sdi_catalog/salesItemDetails.do?id=100914")</f>
        <v>https://www.fabsurplus.com/sdi_catalog/salesItemDetails.do?id=100914</v>
      </c>
      <c r="B650" s="2" t="s">
        <v>1690</v>
      </c>
      <c r="C650" s="2" t="s">
        <v>1549</v>
      </c>
      <c r="D650" s="2" t="s">
        <v>1677</v>
      </c>
      <c r="E650" s="2" t="s">
        <v>1678</v>
      </c>
      <c r="F650" s="2" t="s">
        <v>16</v>
      </c>
      <c r="G650" s="2" t="s">
        <v>61</v>
      </c>
      <c r="H650" s="2"/>
      <c r="I650" s="3" t="n">
        <v>39233.9166666667</v>
      </c>
      <c r="J650" s="2" t="s">
        <v>19</v>
      </c>
      <c r="K650" s="2"/>
      <c r="L650" s="2" t="s">
        <v>1539</v>
      </c>
    </row>
    <row r="651" customFormat="false" ht="15.65" hidden="false" customHeight="true" outlineLevel="0" collapsed="false">
      <c r="A651" s="5" t="str">
        <f aca="false">HYPERLINK("https://www.fabsurplus.com/sdi_catalog/salesItemDetails.do?id=103474")</f>
        <v>https://www.fabsurplus.com/sdi_catalog/salesItemDetails.do?id=103474</v>
      </c>
      <c r="B651" s="5" t="s">
        <v>1691</v>
      </c>
      <c r="C651" s="5" t="s">
        <v>1549</v>
      </c>
      <c r="D651" s="5" t="s">
        <v>1692</v>
      </c>
      <c r="E651" s="5" t="s">
        <v>1693</v>
      </c>
      <c r="F651" s="5" t="s">
        <v>16</v>
      </c>
      <c r="G651" s="5" t="s">
        <v>61</v>
      </c>
      <c r="H651" s="5"/>
      <c r="I651" s="6" t="n">
        <v>37772.9166666667</v>
      </c>
      <c r="J651" s="5" t="s">
        <v>19</v>
      </c>
      <c r="K651" s="5"/>
      <c r="L651" s="7" t="s">
        <v>1682</v>
      </c>
    </row>
    <row r="652" customFormat="false" ht="15.65" hidden="false" customHeight="true" outlineLevel="0" collapsed="false">
      <c r="A652" s="2" t="str">
        <f aca="false">HYPERLINK("https://www.fabsurplus.com/sdi_catalog/salesItemDetails.do?id=109362")</f>
        <v>https://www.fabsurplus.com/sdi_catalog/salesItemDetails.do?id=109362</v>
      </c>
      <c r="B652" s="2" t="s">
        <v>1694</v>
      </c>
      <c r="C652" s="2" t="s">
        <v>1549</v>
      </c>
      <c r="D652" s="2" t="s">
        <v>1695</v>
      </c>
      <c r="E652" s="2" t="s">
        <v>103</v>
      </c>
      <c r="F652" s="2" t="s">
        <v>16</v>
      </c>
      <c r="G652" s="2" t="s">
        <v>104</v>
      </c>
      <c r="H652" s="2"/>
      <c r="I652" s="2"/>
      <c r="J652" s="2" t="s">
        <v>19</v>
      </c>
      <c r="K652" s="2"/>
      <c r="L652" s="2" t="s">
        <v>1696</v>
      </c>
    </row>
    <row r="653" customFormat="false" ht="15.65" hidden="false" customHeight="true" outlineLevel="0" collapsed="false">
      <c r="A653" s="5" t="str">
        <f aca="false">HYPERLINK("https://www.fabsurplus.com/sdi_catalog/salesItemDetails.do?id=103475")</f>
        <v>https://www.fabsurplus.com/sdi_catalog/salesItemDetails.do?id=103475</v>
      </c>
      <c r="B653" s="5" t="s">
        <v>1697</v>
      </c>
      <c r="C653" s="5" t="s">
        <v>1549</v>
      </c>
      <c r="D653" s="5" t="s">
        <v>1692</v>
      </c>
      <c r="E653" s="5" t="s">
        <v>1693</v>
      </c>
      <c r="F653" s="5" t="s">
        <v>16</v>
      </c>
      <c r="G653" s="5" t="s">
        <v>61</v>
      </c>
      <c r="H653" s="5"/>
      <c r="I653" s="6" t="n">
        <v>38503.9166666667</v>
      </c>
      <c r="J653" s="5" t="s">
        <v>19</v>
      </c>
      <c r="K653" s="5"/>
      <c r="L653" s="7" t="s">
        <v>1682</v>
      </c>
    </row>
    <row r="654" customFormat="false" ht="15.65" hidden="false" customHeight="true" outlineLevel="0" collapsed="false">
      <c r="A654" s="2" t="str">
        <f aca="false">HYPERLINK("https://www.fabsurplus.com/sdi_catalog/salesItemDetails.do?id=103476")</f>
        <v>https://www.fabsurplus.com/sdi_catalog/salesItemDetails.do?id=103476</v>
      </c>
      <c r="B654" s="2" t="s">
        <v>1698</v>
      </c>
      <c r="C654" s="2" t="s">
        <v>1549</v>
      </c>
      <c r="D654" s="2" t="s">
        <v>1692</v>
      </c>
      <c r="E654" s="2" t="s">
        <v>1693</v>
      </c>
      <c r="F654" s="2" t="s">
        <v>16</v>
      </c>
      <c r="G654" s="2" t="s">
        <v>61</v>
      </c>
      <c r="H654" s="2"/>
      <c r="I654" s="3" t="n">
        <v>40329.9166666667</v>
      </c>
      <c r="J654" s="2" t="s">
        <v>19</v>
      </c>
      <c r="K654" s="2"/>
      <c r="L654" s="4" t="s">
        <v>1682</v>
      </c>
    </row>
    <row r="655" customFormat="false" ht="15.65" hidden="false" customHeight="true" outlineLevel="0" collapsed="false">
      <c r="A655" s="5" t="str">
        <f aca="false">HYPERLINK("https://www.fabsurplus.com/sdi_catalog/salesItemDetails.do?id=91189")</f>
        <v>https://www.fabsurplus.com/sdi_catalog/salesItemDetails.do?id=91189</v>
      </c>
      <c r="B655" s="5" t="s">
        <v>1699</v>
      </c>
      <c r="C655" s="5" t="s">
        <v>1549</v>
      </c>
      <c r="D655" s="5" t="s">
        <v>1659</v>
      </c>
      <c r="E655" s="5" t="s">
        <v>1700</v>
      </c>
      <c r="F655" s="5" t="s">
        <v>16</v>
      </c>
      <c r="G655" s="5" t="s">
        <v>38</v>
      </c>
      <c r="H655" s="5"/>
      <c r="I655" s="5"/>
      <c r="J655" s="5" t="s">
        <v>19</v>
      </c>
      <c r="K655" s="5"/>
      <c r="L655" s="5" t="s">
        <v>142</v>
      </c>
    </row>
    <row r="656" customFormat="false" ht="15.65" hidden="false" customHeight="true" outlineLevel="0" collapsed="false">
      <c r="A656" s="2" t="str">
        <f aca="false">HYPERLINK("https://www.fabsurplus.com/sdi_catalog/salesItemDetails.do?id=103477")</f>
        <v>https://www.fabsurplus.com/sdi_catalog/salesItemDetails.do?id=103477</v>
      </c>
      <c r="B656" s="2" t="s">
        <v>1701</v>
      </c>
      <c r="C656" s="2" t="s">
        <v>1549</v>
      </c>
      <c r="D656" s="2" t="s">
        <v>1692</v>
      </c>
      <c r="E656" s="2" t="s">
        <v>1693</v>
      </c>
      <c r="F656" s="2" t="s">
        <v>16</v>
      </c>
      <c r="G656" s="2" t="s">
        <v>61</v>
      </c>
      <c r="H656" s="2"/>
      <c r="I656" s="2"/>
      <c r="J656" s="2" t="s">
        <v>19</v>
      </c>
      <c r="K656" s="2"/>
      <c r="L656" s="4" t="s">
        <v>1682</v>
      </c>
    </row>
    <row r="657" customFormat="false" ht="15.65" hidden="false" customHeight="true" outlineLevel="0" collapsed="false">
      <c r="A657" s="5" t="str">
        <f aca="false">HYPERLINK("https://www.fabsurplus.com/sdi_catalog/salesItemDetails.do?id=91190")</f>
        <v>https://www.fabsurplus.com/sdi_catalog/salesItemDetails.do?id=91190</v>
      </c>
      <c r="B657" s="5" t="s">
        <v>1702</v>
      </c>
      <c r="C657" s="5" t="s">
        <v>1549</v>
      </c>
      <c r="D657" s="5" t="s">
        <v>1659</v>
      </c>
      <c r="E657" s="5" t="s">
        <v>1700</v>
      </c>
      <c r="F657" s="5" t="s">
        <v>16</v>
      </c>
      <c r="G657" s="5" t="s">
        <v>38</v>
      </c>
      <c r="H657" s="5"/>
      <c r="I657" s="5"/>
      <c r="J657" s="5" t="s">
        <v>19</v>
      </c>
      <c r="K657" s="5"/>
      <c r="L657" s="5" t="s">
        <v>142</v>
      </c>
    </row>
    <row r="658" customFormat="false" ht="15.65" hidden="false" customHeight="true" outlineLevel="0" collapsed="false">
      <c r="A658" s="2" t="str">
        <f aca="false">HYPERLINK("https://www.fabsurplus.com/sdi_catalog/salesItemDetails.do?id=103478")</f>
        <v>https://www.fabsurplus.com/sdi_catalog/salesItemDetails.do?id=103478</v>
      </c>
      <c r="B658" s="2" t="s">
        <v>1703</v>
      </c>
      <c r="C658" s="2" t="s">
        <v>1549</v>
      </c>
      <c r="D658" s="2" t="s">
        <v>1692</v>
      </c>
      <c r="E658" s="2" t="s">
        <v>1693</v>
      </c>
      <c r="F658" s="2" t="s">
        <v>16</v>
      </c>
      <c r="G658" s="2" t="s">
        <v>61</v>
      </c>
      <c r="H658" s="2"/>
      <c r="I658" s="2"/>
      <c r="J658" s="2" t="s">
        <v>19</v>
      </c>
      <c r="K658" s="2"/>
      <c r="L658" s="4" t="s">
        <v>1682</v>
      </c>
    </row>
    <row r="659" customFormat="false" ht="15.65" hidden="false" customHeight="true" outlineLevel="0" collapsed="false">
      <c r="A659" s="5" t="str">
        <f aca="false">HYPERLINK("https://www.fabsurplus.com/sdi_catalog/salesItemDetails.do?id=91192")</f>
        <v>https://www.fabsurplus.com/sdi_catalog/salesItemDetails.do?id=91192</v>
      </c>
      <c r="B659" s="5" t="s">
        <v>1704</v>
      </c>
      <c r="C659" s="5" t="s">
        <v>1549</v>
      </c>
      <c r="D659" s="5" t="s">
        <v>1705</v>
      </c>
      <c r="E659" s="5" t="s">
        <v>1706</v>
      </c>
      <c r="F659" s="5" t="s">
        <v>16</v>
      </c>
      <c r="G659" s="5" t="s">
        <v>38</v>
      </c>
      <c r="H659" s="5"/>
      <c r="I659" s="5"/>
      <c r="J659" s="5" t="s">
        <v>19</v>
      </c>
      <c r="K659" s="5"/>
      <c r="L659" s="5" t="s">
        <v>142</v>
      </c>
    </row>
    <row r="660" customFormat="false" ht="15.65" hidden="false" customHeight="true" outlineLevel="0" collapsed="false">
      <c r="A660" s="2" t="str">
        <f aca="false">HYPERLINK("https://www.fabsurplus.com/sdi_catalog/salesItemDetails.do?id=109112")</f>
        <v>https://www.fabsurplus.com/sdi_catalog/salesItemDetails.do?id=109112</v>
      </c>
      <c r="B660" s="2" t="s">
        <v>1707</v>
      </c>
      <c r="C660" s="2" t="s">
        <v>1549</v>
      </c>
      <c r="D660" s="2" t="s">
        <v>1708</v>
      </c>
      <c r="E660" s="2" t="s">
        <v>1709</v>
      </c>
      <c r="F660" s="2" t="s">
        <v>16</v>
      </c>
      <c r="G660" s="2" t="s">
        <v>38</v>
      </c>
      <c r="H660" s="2" t="s">
        <v>275</v>
      </c>
      <c r="I660" s="3" t="n">
        <v>38139</v>
      </c>
      <c r="J660" s="2"/>
      <c r="K660" s="2" t="s">
        <v>20</v>
      </c>
      <c r="L660" s="2"/>
    </row>
    <row r="661" customFormat="false" ht="15.65" hidden="false" customHeight="true" outlineLevel="0" collapsed="false">
      <c r="A661" s="5" t="str">
        <f aca="false">HYPERLINK("https://www.fabsurplus.com/sdi_catalog/salesItemDetails.do?id=91193")</f>
        <v>https://www.fabsurplus.com/sdi_catalog/salesItemDetails.do?id=91193</v>
      </c>
      <c r="B661" s="5" t="s">
        <v>1710</v>
      </c>
      <c r="C661" s="5" t="s">
        <v>1549</v>
      </c>
      <c r="D661" s="5" t="s">
        <v>1705</v>
      </c>
      <c r="E661" s="5" t="s">
        <v>1706</v>
      </c>
      <c r="F661" s="5" t="s">
        <v>16</v>
      </c>
      <c r="G661" s="5" t="s">
        <v>1293</v>
      </c>
      <c r="H661" s="5"/>
      <c r="I661" s="5"/>
      <c r="J661" s="5" t="s">
        <v>19</v>
      </c>
      <c r="K661" s="5"/>
      <c r="L661" s="5" t="s">
        <v>142</v>
      </c>
    </row>
    <row r="662" customFormat="false" ht="15.65" hidden="false" customHeight="true" outlineLevel="0" collapsed="false">
      <c r="A662" s="2" t="str">
        <f aca="false">HYPERLINK("https://www.fabsurplus.com/sdi_catalog/salesItemDetails.do?id=108345")</f>
        <v>https://www.fabsurplus.com/sdi_catalog/salesItemDetails.do?id=108345</v>
      </c>
      <c r="B662" s="2" t="s">
        <v>1711</v>
      </c>
      <c r="C662" s="2" t="s">
        <v>1549</v>
      </c>
      <c r="D662" s="2" t="s">
        <v>1712</v>
      </c>
      <c r="E662" s="2" t="s">
        <v>1713</v>
      </c>
      <c r="F662" s="2" t="s">
        <v>78</v>
      </c>
      <c r="G662" s="2" t="s">
        <v>61</v>
      </c>
      <c r="H662" s="2"/>
      <c r="I662" s="2"/>
      <c r="J662" s="2" t="s">
        <v>19</v>
      </c>
      <c r="K662" s="2"/>
      <c r="L662" s="2"/>
    </row>
    <row r="663" customFormat="false" ht="15.65" hidden="false" customHeight="true" outlineLevel="0" collapsed="false">
      <c r="A663" s="5" t="str">
        <f aca="false">HYPERLINK("https://www.fabsurplus.com/sdi_catalog/salesItemDetails.do?id=83514")</f>
        <v>https://www.fabsurplus.com/sdi_catalog/salesItemDetails.do?id=83514</v>
      </c>
      <c r="B663" s="5" t="s">
        <v>1714</v>
      </c>
      <c r="C663" s="5" t="s">
        <v>1549</v>
      </c>
      <c r="D663" s="5" t="s">
        <v>1715</v>
      </c>
      <c r="E663" s="5" t="s">
        <v>1716</v>
      </c>
      <c r="F663" s="5" t="s">
        <v>16</v>
      </c>
      <c r="G663" s="5" t="s">
        <v>1717</v>
      </c>
      <c r="H663" s="5" t="s">
        <v>18</v>
      </c>
      <c r="I663" s="6" t="n">
        <v>35551</v>
      </c>
      <c r="J663" s="5" t="s">
        <v>19</v>
      </c>
      <c r="K663" s="5" t="s">
        <v>20</v>
      </c>
      <c r="L663" s="7" t="s">
        <v>1718</v>
      </c>
    </row>
    <row r="664" customFormat="false" ht="15.65" hidden="false" customHeight="true" outlineLevel="0" collapsed="false">
      <c r="A664" s="2" t="str">
        <f aca="false">HYPERLINK("https://www.fabsurplus.com/sdi_catalog/salesItemDetails.do?id=91194")</f>
        <v>https://www.fabsurplus.com/sdi_catalog/salesItemDetails.do?id=91194</v>
      </c>
      <c r="B664" s="2" t="s">
        <v>1719</v>
      </c>
      <c r="C664" s="2" t="s">
        <v>1549</v>
      </c>
      <c r="D664" s="2" t="s">
        <v>1705</v>
      </c>
      <c r="E664" s="2" t="s">
        <v>1700</v>
      </c>
      <c r="F664" s="2" t="s">
        <v>16</v>
      </c>
      <c r="G664" s="2" t="s">
        <v>38</v>
      </c>
      <c r="H664" s="2"/>
      <c r="I664" s="2"/>
      <c r="J664" s="2" t="s">
        <v>19</v>
      </c>
      <c r="K664" s="2"/>
      <c r="L664" s="2" t="s">
        <v>142</v>
      </c>
    </row>
    <row r="665" customFormat="false" ht="15.65" hidden="false" customHeight="true" outlineLevel="0" collapsed="false">
      <c r="A665" s="5" t="str">
        <f aca="false">HYPERLINK("https://www.fabsurplus.com/sdi_catalog/salesItemDetails.do?id=103482")</f>
        <v>https://www.fabsurplus.com/sdi_catalog/salesItemDetails.do?id=103482</v>
      </c>
      <c r="B665" s="5" t="s">
        <v>1720</v>
      </c>
      <c r="C665" s="5" t="s">
        <v>1549</v>
      </c>
      <c r="D665" s="5" t="s">
        <v>1721</v>
      </c>
      <c r="E665" s="5" t="s">
        <v>1722</v>
      </c>
      <c r="F665" s="5" t="s">
        <v>16</v>
      </c>
      <c r="G665" s="5" t="s">
        <v>61</v>
      </c>
      <c r="H665" s="5"/>
      <c r="I665" s="5"/>
      <c r="J665" s="5" t="s">
        <v>19</v>
      </c>
      <c r="K665" s="5"/>
      <c r="L665" s="7" t="s">
        <v>1682</v>
      </c>
    </row>
    <row r="666" customFormat="false" ht="15.65" hidden="false" customHeight="true" outlineLevel="0" collapsed="false">
      <c r="A666" s="2" t="str">
        <f aca="false">HYPERLINK("https://www.fabsurplus.com/sdi_catalog/salesItemDetails.do?id=11579")</f>
        <v>https://www.fabsurplus.com/sdi_catalog/salesItemDetails.do?id=11579</v>
      </c>
      <c r="B666" s="2" t="s">
        <v>1723</v>
      </c>
      <c r="C666" s="2" t="s">
        <v>1549</v>
      </c>
      <c r="D666" s="2" t="s">
        <v>1724</v>
      </c>
      <c r="E666" s="2" t="s">
        <v>1725</v>
      </c>
      <c r="F666" s="2" t="s">
        <v>16</v>
      </c>
      <c r="G666" s="2" t="s">
        <v>38</v>
      </c>
      <c r="H666" s="2" t="s">
        <v>18</v>
      </c>
      <c r="I666" s="3" t="n">
        <v>36312</v>
      </c>
      <c r="J666" s="2" t="s">
        <v>42</v>
      </c>
      <c r="K666" s="2" t="s">
        <v>20</v>
      </c>
      <c r="L666" s="4" t="s">
        <v>1726</v>
      </c>
    </row>
    <row r="667" customFormat="false" ht="15.65" hidden="false" customHeight="true" outlineLevel="0" collapsed="false">
      <c r="A667" s="5" t="str">
        <f aca="false">HYPERLINK("https://www.fabsurplus.com/sdi_catalog/salesItemDetails.do?id=91195")</f>
        <v>https://www.fabsurplus.com/sdi_catalog/salesItemDetails.do?id=91195</v>
      </c>
      <c r="B667" s="5" t="s">
        <v>1727</v>
      </c>
      <c r="C667" s="5" t="s">
        <v>1549</v>
      </c>
      <c r="D667" s="5" t="s">
        <v>1705</v>
      </c>
      <c r="E667" s="5" t="s">
        <v>1706</v>
      </c>
      <c r="F667" s="5" t="s">
        <v>16</v>
      </c>
      <c r="G667" s="5" t="s">
        <v>38</v>
      </c>
      <c r="H667" s="5"/>
      <c r="I667" s="5"/>
      <c r="J667" s="5" t="s">
        <v>19</v>
      </c>
      <c r="K667" s="5"/>
      <c r="L667" s="5" t="s">
        <v>142</v>
      </c>
    </row>
    <row r="668" customFormat="false" ht="15.65" hidden="false" customHeight="true" outlineLevel="0" collapsed="false">
      <c r="A668" s="2" t="str">
        <f aca="false">HYPERLINK("https://www.fabsurplus.com/sdi_catalog/salesItemDetails.do?id=103483")</f>
        <v>https://www.fabsurplus.com/sdi_catalog/salesItemDetails.do?id=103483</v>
      </c>
      <c r="B668" s="2" t="s">
        <v>1728</v>
      </c>
      <c r="C668" s="2" t="s">
        <v>1549</v>
      </c>
      <c r="D668" s="2" t="s">
        <v>1729</v>
      </c>
      <c r="E668" s="2" t="s">
        <v>1657</v>
      </c>
      <c r="F668" s="2" t="s">
        <v>16</v>
      </c>
      <c r="G668" s="2" t="s">
        <v>61</v>
      </c>
      <c r="H668" s="2"/>
      <c r="I668" s="2"/>
      <c r="J668" s="2" t="s">
        <v>19</v>
      </c>
      <c r="K668" s="2"/>
      <c r="L668" s="4" t="s">
        <v>1682</v>
      </c>
    </row>
    <row r="669" customFormat="false" ht="15.65" hidden="false" customHeight="true" outlineLevel="0" collapsed="false">
      <c r="A669" s="5" t="str">
        <f aca="false">HYPERLINK("https://www.fabsurplus.com/sdi_catalog/salesItemDetails.do?id=108347")</f>
        <v>https://www.fabsurplus.com/sdi_catalog/salesItemDetails.do?id=108347</v>
      </c>
      <c r="B669" s="5" t="s">
        <v>1730</v>
      </c>
      <c r="C669" s="5" t="s">
        <v>1549</v>
      </c>
      <c r="D669" s="5" t="s">
        <v>1731</v>
      </c>
      <c r="E669" s="5" t="s">
        <v>1732</v>
      </c>
      <c r="F669" s="5" t="s">
        <v>151</v>
      </c>
      <c r="G669" s="5" t="s">
        <v>61</v>
      </c>
      <c r="H669" s="5"/>
      <c r="I669" s="5"/>
      <c r="J669" s="5" t="s">
        <v>19</v>
      </c>
      <c r="K669" s="5"/>
      <c r="L669" s="5"/>
    </row>
    <row r="670" customFormat="false" ht="15.65" hidden="false" customHeight="true" outlineLevel="0" collapsed="false">
      <c r="A670" s="2" t="str">
        <f aca="false">HYPERLINK("https://www.fabsurplus.com/sdi_catalog/salesItemDetails.do?id=91196")</f>
        <v>https://www.fabsurplus.com/sdi_catalog/salesItemDetails.do?id=91196</v>
      </c>
      <c r="B670" s="2" t="s">
        <v>1733</v>
      </c>
      <c r="C670" s="2" t="s">
        <v>1549</v>
      </c>
      <c r="D670" s="2" t="s">
        <v>1734</v>
      </c>
      <c r="E670" s="2" t="s">
        <v>1735</v>
      </c>
      <c r="F670" s="2" t="s">
        <v>16</v>
      </c>
      <c r="G670" s="2" t="s">
        <v>38</v>
      </c>
      <c r="H670" s="2"/>
      <c r="I670" s="2"/>
      <c r="J670" s="2" t="s">
        <v>19</v>
      </c>
      <c r="K670" s="2"/>
      <c r="L670" s="2" t="s">
        <v>142</v>
      </c>
    </row>
    <row r="671" customFormat="false" ht="15.65" hidden="false" customHeight="true" outlineLevel="0" collapsed="false">
      <c r="A671" s="5" t="str">
        <f aca="false">HYPERLINK("https://www.fabsurplus.com/sdi_catalog/salesItemDetails.do?id=103484")</f>
        <v>https://www.fabsurplus.com/sdi_catalog/salesItemDetails.do?id=103484</v>
      </c>
      <c r="B671" s="5" t="s">
        <v>1736</v>
      </c>
      <c r="C671" s="5" t="s">
        <v>1549</v>
      </c>
      <c r="D671" s="5" t="s">
        <v>1729</v>
      </c>
      <c r="E671" s="5" t="s">
        <v>1737</v>
      </c>
      <c r="F671" s="5" t="s">
        <v>16</v>
      </c>
      <c r="G671" s="5" t="s">
        <v>61</v>
      </c>
      <c r="H671" s="5"/>
      <c r="I671" s="5"/>
      <c r="J671" s="5" t="s">
        <v>19</v>
      </c>
      <c r="K671" s="5"/>
      <c r="L671" s="7" t="s">
        <v>1682</v>
      </c>
    </row>
    <row r="672" customFormat="false" ht="15.65" hidden="false" customHeight="true" outlineLevel="0" collapsed="false">
      <c r="A672" s="2" t="str">
        <f aca="false">HYPERLINK("https://www.fabsurplus.com/sdi_catalog/salesItemDetails.do?id=108348")</f>
        <v>https://www.fabsurplus.com/sdi_catalog/salesItemDetails.do?id=108348</v>
      </c>
      <c r="B672" s="2" t="s">
        <v>1738</v>
      </c>
      <c r="C672" s="2" t="s">
        <v>1549</v>
      </c>
      <c r="D672" s="2" t="s">
        <v>1739</v>
      </c>
      <c r="E672" s="2" t="s">
        <v>1713</v>
      </c>
      <c r="F672" s="2" t="s">
        <v>16</v>
      </c>
      <c r="G672" s="2" t="s">
        <v>61</v>
      </c>
      <c r="H672" s="2"/>
      <c r="I672" s="2"/>
      <c r="J672" s="2" t="s">
        <v>19</v>
      </c>
      <c r="K672" s="2"/>
      <c r="L672" s="2"/>
    </row>
    <row r="673" customFormat="false" ht="15.65" hidden="false" customHeight="true" outlineLevel="0" collapsed="false">
      <c r="A673" s="5" t="str">
        <f aca="false">HYPERLINK("https://www.fabsurplus.com/sdi_catalog/salesItemDetails.do?id=103485")</f>
        <v>https://www.fabsurplus.com/sdi_catalog/salesItemDetails.do?id=103485</v>
      </c>
      <c r="B673" s="5" t="s">
        <v>1740</v>
      </c>
      <c r="C673" s="5" t="s">
        <v>1549</v>
      </c>
      <c r="D673" s="5" t="s">
        <v>1741</v>
      </c>
      <c r="E673" s="5" t="s">
        <v>1657</v>
      </c>
      <c r="F673" s="5" t="s">
        <v>16</v>
      </c>
      <c r="G673" s="5" t="s">
        <v>61</v>
      </c>
      <c r="H673" s="5"/>
      <c r="I673" s="5"/>
      <c r="J673" s="5" t="s">
        <v>19</v>
      </c>
      <c r="K673" s="5"/>
      <c r="L673" s="7" t="s">
        <v>1682</v>
      </c>
    </row>
    <row r="674" customFormat="false" ht="15.65" hidden="false" customHeight="true" outlineLevel="0" collapsed="false">
      <c r="A674" s="2" t="str">
        <f aca="false">HYPERLINK("https://www.fabsurplus.com/sdi_catalog/salesItemDetails.do?id=108349")</f>
        <v>https://www.fabsurplus.com/sdi_catalog/salesItemDetails.do?id=108349</v>
      </c>
      <c r="B674" s="2" t="s">
        <v>1742</v>
      </c>
      <c r="C674" s="2" t="s">
        <v>1549</v>
      </c>
      <c r="D674" s="2" t="s">
        <v>1743</v>
      </c>
      <c r="E674" s="2" t="s">
        <v>1713</v>
      </c>
      <c r="F674" s="2" t="s">
        <v>86</v>
      </c>
      <c r="G674" s="2" t="s">
        <v>61</v>
      </c>
      <c r="H674" s="2"/>
      <c r="I674" s="2"/>
      <c r="J674" s="2" t="s">
        <v>19</v>
      </c>
      <c r="K674" s="2"/>
      <c r="L674" s="2"/>
    </row>
    <row r="675" customFormat="false" ht="15.65" hidden="false" customHeight="true" outlineLevel="0" collapsed="false">
      <c r="A675" s="5" t="str">
        <f aca="false">HYPERLINK("https://www.fabsurplus.com/sdi_catalog/salesItemDetails.do?id=103486")</f>
        <v>https://www.fabsurplus.com/sdi_catalog/salesItemDetails.do?id=103486</v>
      </c>
      <c r="B675" s="5" t="s">
        <v>1744</v>
      </c>
      <c r="C675" s="5" t="s">
        <v>1549</v>
      </c>
      <c r="D675" s="5" t="s">
        <v>1741</v>
      </c>
      <c r="E675" s="5" t="s">
        <v>1737</v>
      </c>
      <c r="F675" s="5" t="s">
        <v>16</v>
      </c>
      <c r="G675" s="5" t="s">
        <v>61</v>
      </c>
      <c r="H675" s="5"/>
      <c r="I675" s="5"/>
      <c r="J675" s="5" t="s">
        <v>19</v>
      </c>
      <c r="K675" s="5"/>
      <c r="L675" s="7" t="s">
        <v>1682</v>
      </c>
    </row>
    <row r="676" customFormat="false" ht="15.65" hidden="false" customHeight="true" outlineLevel="0" collapsed="false">
      <c r="A676" s="2" t="str">
        <f aca="false">HYPERLINK("https://www.fabsurplus.com/sdi_catalog/salesItemDetails.do?id=91199")</f>
        <v>https://www.fabsurplus.com/sdi_catalog/salesItemDetails.do?id=91199</v>
      </c>
      <c r="B676" s="2" t="s">
        <v>1745</v>
      </c>
      <c r="C676" s="2" t="s">
        <v>1549</v>
      </c>
      <c r="D676" s="2" t="s">
        <v>1746</v>
      </c>
      <c r="E676" s="2" t="s">
        <v>1747</v>
      </c>
      <c r="F676" s="2" t="s">
        <v>16</v>
      </c>
      <c r="G676" s="2" t="s">
        <v>38</v>
      </c>
      <c r="H676" s="2"/>
      <c r="I676" s="3" t="n">
        <v>35551</v>
      </c>
      <c r="J676" s="2" t="s">
        <v>19</v>
      </c>
      <c r="K676" s="2"/>
      <c r="L676" s="2" t="s">
        <v>142</v>
      </c>
    </row>
    <row r="677" customFormat="false" ht="15.65" hidden="false" customHeight="true" outlineLevel="0" collapsed="false">
      <c r="A677" s="5" t="str">
        <f aca="false">HYPERLINK("https://www.fabsurplus.com/sdi_catalog/salesItemDetails.do?id=103487")</f>
        <v>https://www.fabsurplus.com/sdi_catalog/salesItemDetails.do?id=103487</v>
      </c>
      <c r="B677" s="5" t="s">
        <v>1748</v>
      </c>
      <c r="C677" s="5" t="s">
        <v>1549</v>
      </c>
      <c r="D677" s="5" t="s">
        <v>1741</v>
      </c>
      <c r="E677" s="5" t="s">
        <v>1737</v>
      </c>
      <c r="F677" s="5" t="s">
        <v>16</v>
      </c>
      <c r="G677" s="5" t="s">
        <v>61</v>
      </c>
      <c r="H677" s="5"/>
      <c r="I677" s="5"/>
      <c r="J677" s="5" t="s">
        <v>19</v>
      </c>
      <c r="K677" s="5"/>
      <c r="L677" s="7" t="s">
        <v>1682</v>
      </c>
    </row>
    <row r="678" customFormat="false" ht="15.65" hidden="false" customHeight="true" outlineLevel="0" collapsed="false">
      <c r="A678" s="2" t="str">
        <f aca="false">HYPERLINK("https://www.fabsurplus.com/sdi_catalog/salesItemDetails.do?id=103488")</f>
        <v>https://www.fabsurplus.com/sdi_catalog/salesItemDetails.do?id=103488</v>
      </c>
      <c r="B678" s="2" t="s">
        <v>1749</v>
      </c>
      <c r="C678" s="2" t="s">
        <v>1549</v>
      </c>
      <c r="D678" s="2" t="s">
        <v>1741</v>
      </c>
      <c r="E678" s="2" t="s">
        <v>1737</v>
      </c>
      <c r="F678" s="2" t="s">
        <v>16</v>
      </c>
      <c r="G678" s="2" t="s">
        <v>61</v>
      </c>
      <c r="H678" s="2"/>
      <c r="I678" s="2"/>
      <c r="J678" s="2" t="s">
        <v>19</v>
      </c>
      <c r="K678" s="2"/>
      <c r="L678" s="4" t="s">
        <v>1682</v>
      </c>
    </row>
    <row r="679" customFormat="false" ht="15.65" hidden="false" customHeight="true" outlineLevel="0" collapsed="false">
      <c r="A679" s="5" t="str">
        <f aca="false">HYPERLINK("https://www.fabsurplus.com/sdi_catalog/salesItemDetails.do?id=91201")</f>
        <v>https://www.fabsurplus.com/sdi_catalog/salesItemDetails.do?id=91201</v>
      </c>
      <c r="B679" s="5" t="s">
        <v>1750</v>
      </c>
      <c r="C679" s="5" t="s">
        <v>1549</v>
      </c>
      <c r="D679" s="5" t="s">
        <v>1734</v>
      </c>
      <c r="E679" s="5" t="s">
        <v>1751</v>
      </c>
      <c r="F679" s="5" t="s">
        <v>16</v>
      </c>
      <c r="G679" s="5" t="s">
        <v>38</v>
      </c>
      <c r="H679" s="5"/>
      <c r="I679" s="6" t="n">
        <v>36647</v>
      </c>
      <c r="J679" s="5" t="s">
        <v>19</v>
      </c>
      <c r="K679" s="5"/>
      <c r="L679" s="5" t="s">
        <v>142</v>
      </c>
    </row>
    <row r="680" customFormat="false" ht="15.65" hidden="false" customHeight="true" outlineLevel="0" collapsed="false">
      <c r="A680" s="2" t="str">
        <f aca="false">HYPERLINK("https://www.fabsurplus.com/sdi_catalog/salesItemDetails.do?id=103489")</f>
        <v>https://www.fabsurplus.com/sdi_catalog/salesItemDetails.do?id=103489</v>
      </c>
      <c r="B680" s="2" t="s">
        <v>1752</v>
      </c>
      <c r="C680" s="2" t="s">
        <v>1549</v>
      </c>
      <c r="D680" s="2" t="s">
        <v>1741</v>
      </c>
      <c r="E680" s="2" t="s">
        <v>1737</v>
      </c>
      <c r="F680" s="2" t="s">
        <v>16</v>
      </c>
      <c r="G680" s="2" t="s">
        <v>61</v>
      </c>
      <c r="H680" s="2"/>
      <c r="I680" s="2"/>
      <c r="J680" s="2" t="s">
        <v>19</v>
      </c>
      <c r="K680" s="2"/>
      <c r="L680" s="4" t="s">
        <v>1682</v>
      </c>
    </row>
    <row r="681" customFormat="false" ht="15.65" hidden="false" customHeight="true" outlineLevel="0" collapsed="false">
      <c r="A681" s="5" t="str">
        <f aca="false">HYPERLINK("https://www.fabsurplus.com/sdi_catalog/salesItemDetails.do?id=103490")</f>
        <v>https://www.fabsurplus.com/sdi_catalog/salesItemDetails.do?id=103490</v>
      </c>
      <c r="B681" s="5" t="s">
        <v>1753</v>
      </c>
      <c r="C681" s="5" t="s">
        <v>1549</v>
      </c>
      <c r="D681" s="5" t="s">
        <v>1741</v>
      </c>
      <c r="E681" s="5" t="s">
        <v>1737</v>
      </c>
      <c r="F681" s="5" t="s">
        <v>16</v>
      </c>
      <c r="G681" s="5" t="s">
        <v>61</v>
      </c>
      <c r="H681" s="5"/>
      <c r="I681" s="5"/>
      <c r="J681" s="5" t="s">
        <v>19</v>
      </c>
      <c r="K681" s="5"/>
      <c r="L681" s="7" t="s">
        <v>1682</v>
      </c>
    </row>
    <row r="682" customFormat="false" ht="15.65" hidden="false" customHeight="true" outlineLevel="0" collapsed="false">
      <c r="A682" s="2" t="str">
        <f aca="false">HYPERLINK("https://www.fabsurplus.com/sdi_catalog/salesItemDetails.do?id=103491")</f>
        <v>https://www.fabsurplus.com/sdi_catalog/salesItemDetails.do?id=103491</v>
      </c>
      <c r="B682" s="2" t="s">
        <v>1754</v>
      </c>
      <c r="C682" s="2" t="s">
        <v>1549</v>
      </c>
      <c r="D682" s="2" t="s">
        <v>1741</v>
      </c>
      <c r="E682" s="2" t="s">
        <v>1755</v>
      </c>
      <c r="F682" s="2" t="s">
        <v>16</v>
      </c>
      <c r="G682" s="2" t="s">
        <v>61</v>
      </c>
      <c r="H682" s="2"/>
      <c r="I682" s="2"/>
      <c r="J682" s="2" t="s">
        <v>19</v>
      </c>
      <c r="K682" s="2"/>
      <c r="L682" s="4" t="s">
        <v>1682</v>
      </c>
    </row>
    <row r="683" customFormat="false" ht="15.65" hidden="false" customHeight="true" outlineLevel="0" collapsed="false">
      <c r="A683" s="5" t="str">
        <f aca="false">HYPERLINK("https://www.fabsurplus.com/sdi_catalog/salesItemDetails.do?id=91204")</f>
        <v>https://www.fabsurplus.com/sdi_catalog/salesItemDetails.do?id=91204</v>
      </c>
      <c r="B683" s="5" t="s">
        <v>1756</v>
      </c>
      <c r="C683" s="5" t="s">
        <v>1549</v>
      </c>
      <c r="D683" s="5" t="s">
        <v>1757</v>
      </c>
      <c r="E683" s="5" t="s">
        <v>1758</v>
      </c>
      <c r="F683" s="5" t="s">
        <v>16</v>
      </c>
      <c r="G683" s="5" t="s">
        <v>38</v>
      </c>
      <c r="H683" s="5"/>
      <c r="I683" s="5"/>
      <c r="J683" s="5" t="s">
        <v>19</v>
      </c>
      <c r="K683" s="5"/>
      <c r="L683" s="5" t="s">
        <v>142</v>
      </c>
    </row>
    <row r="684" customFormat="false" ht="15.65" hidden="false" customHeight="true" outlineLevel="0" collapsed="false">
      <c r="A684" s="2" t="str">
        <f aca="false">HYPERLINK("https://www.fabsurplus.com/sdi_catalog/salesItemDetails.do?id=103492")</f>
        <v>https://www.fabsurplus.com/sdi_catalog/salesItemDetails.do?id=103492</v>
      </c>
      <c r="B684" s="2" t="s">
        <v>1759</v>
      </c>
      <c r="C684" s="2" t="s">
        <v>1549</v>
      </c>
      <c r="D684" s="2" t="s">
        <v>1741</v>
      </c>
      <c r="E684" s="2" t="s">
        <v>1760</v>
      </c>
      <c r="F684" s="2" t="s">
        <v>16</v>
      </c>
      <c r="G684" s="2" t="s">
        <v>61</v>
      </c>
      <c r="H684" s="2"/>
      <c r="I684" s="3" t="n">
        <v>38503.9166666667</v>
      </c>
      <c r="J684" s="2" t="s">
        <v>19</v>
      </c>
      <c r="K684" s="2"/>
      <c r="L684" s="4" t="s">
        <v>1682</v>
      </c>
    </row>
    <row r="685" customFormat="false" ht="15.65" hidden="false" customHeight="true" outlineLevel="0" collapsed="false">
      <c r="A685" s="5" t="str">
        <f aca="false">HYPERLINK("https://www.fabsurplus.com/sdi_catalog/salesItemDetails.do?id=108356")</f>
        <v>https://www.fabsurplus.com/sdi_catalog/salesItemDetails.do?id=108356</v>
      </c>
      <c r="B685" s="5" t="s">
        <v>1761</v>
      </c>
      <c r="C685" s="5" t="s">
        <v>1549</v>
      </c>
      <c r="D685" s="5" t="s">
        <v>1762</v>
      </c>
      <c r="E685" s="5" t="s">
        <v>1763</v>
      </c>
      <c r="F685" s="5" t="s">
        <v>16</v>
      </c>
      <c r="G685" s="5" t="s">
        <v>61</v>
      </c>
      <c r="H685" s="5"/>
      <c r="I685" s="5"/>
      <c r="J685" s="5" t="s">
        <v>19</v>
      </c>
      <c r="K685" s="5"/>
      <c r="L685" s="5"/>
    </row>
    <row r="686" customFormat="false" ht="15.65" hidden="false" customHeight="true" outlineLevel="0" collapsed="false">
      <c r="A686" s="2" t="str">
        <f aca="false">HYPERLINK("https://www.fabsurplus.com/sdi_catalog/salesItemDetails.do?id=91205")</f>
        <v>https://www.fabsurplus.com/sdi_catalog/salesItemDetails.do?id=91205</v>
      </c>
      <c r="B686" s="2" t="s">
        <v>1764</v>
      </c>
      <c r="C686" s="2" t="s">
        <v>1549</v>
      </c>
      <c r="D686" s="2" t="s">
        <v>1757</v>
      </c>
      <c r="E686" s="2" t="s">
        <v>1758</v>
      </c>
      <c r="F686" s="2" t="s">
        <v>16</v>
      </c>
      <c r="G686" s="2" t="s">
        <v>38</v>
      </c>
      <c r="H686" s="2"/>
      <c r="I686" s="2"/>
      <c r="J686" s="2" t="s">
        <v>19</v>
      </c>
      <c r="K686" s="2"/>
      <c r="L686" s="2" t="s">
        <v>142</v>
      </c>
    </row>
    <row r="687" customFormat="false" ht="15.65" hidden="false" customHeight="true" outlineLevel="0" collapsed="false">
      <c r="A687" s="5" t="str">
        <f aca="false">HYPERLINK("https://www.fabsurplus.com/sdi_catalog/salesItemDetails.do?id=103493")</f>
        <v>https://www.fabsurplus.com/sdi_catalog/salesItemDetails.do?id=103493</v>
      </c>
      <c r="B687" s="5" t="s">
        <v>1765</v>
      </c>
      <c r="C687" s="5" t="s">
        <v>1549</v>
      </c>
      <c r="D687" s="5" t="s">
        <v>1741</v>
      </c>
      <c r="E687" s="5" t="s">
        <v>1760</v>
      </c>
      <c r="F687" s="5" t="s">
        <v>16</v>
      </c>
      <c r="G687" s="5" t="s">
        <v>61</v>
      </c>
      <c r="H687" s="5"/>
      <c r="I687" s="6" t="n">
        <v>38868.9166666667</v>
      </c>
      <c r="J687" s="5" t="s">
        <v>19</v>
      </c>
      <c r="K687" s="5"/>
      <c r="L687" s="7" t="s">
        <v>1682</v>
      </c>
    </row>
    <row r="688" customFormat="false" ht="15.65" hidden="false" customHeight="true" outlineLevel="0" collapsed="false">
      <c r="A688" s="2" t="str">
        <f aca="false">HYPERLINK("https://www.fabsurplus.com/sdi_catalog/salesItemDetails.do?id=108357")</f>
        <v>https://www.fabsurplus.com/sdi_catalog/salesItemDetails.do?id=108357</v>
      </c>
      <c r="B688" s="2" t="s">
        <v>1766</v>
      </c>
      <c r="C688" s="2" t="s">
        <v>1549</v>
      </c>
      <c r="D688" s="2" t="s">
        <v>1767</v>
      </c>
      <c r="E688" s="2" t="s">
        <v>1763</v>
      </c>
      <c r="F688" s="2" t="s">
        <v>86</v>
      </c>
      <c r="G688" s="2" t="s">
        <v>61</v>
      </c>
      <c r="H688" s="2"/>
      <c r="I688" s="2"/>
      <c r="J688" s="2" t="s">
        <v>19</v>
      </c>
      <c r="K688" s="2"/>
      <c r="L688" s="2"/>
    </row>
    <row r="689" customFormat="false" ht="15.65" hidden="false" customHeight="true" outlineLevel="0" collapsed="false">
      <c r="A689" s="5" t="str">
        <f aca="false">HYPERLINK("https://www.fabsurplus.com/sdi_catalog/salesItemDetails.do?id=110661")</f>
        <v>https://www.fabsurplus.com/sdi_catalog/salesItemDetails.do?id=110661</v>
      </c>
      <c r="B689" s="5" t="s">
        <v>1768</v>
      </c>
      <c r="C689" s="5" t="s">
        <v>1769</v>
      </c>
      <c r="D689" s="5" t="s">
        <v>1770</v>
      </c>
      <c r="E689" s="5" t="s">
        <v>1771</v>
      </c>
      <c r="F689" s="5" t="s">
        <v>16</v>
      </c>
      <c r="G689" s="5" t="s">
        <v>61</v>
      </c>
      <c r="H689" s="5" t="s">
        <v>1772</v>
      </c>
      <c r="I689" s="6" t="n">
        <v>40695</v>
      </c>
      <c r="J689" s="5" t="s">
        <v>19</v>
      </c>
      <c r="K689" s="5" t="s">
        <v>20</v>
      </c>
      <c r="L689" s="7" t="s">
        <v>1773</v>
      </c>
    </row>
    <row r="690" customFormat="false" ht="15.65" hidden="false" customHeight="true" outlineLevel="0" collapsed="false">
      <c r="A690" s="2" t="str">
        <f aca="false">HYPERLINK("https://www.fabsurplus.com/sdi_catalog/salesItemDetails.do?id=103494")</f>
        <v>https://www.fabsurplus.com/sdi_catalog/salesItemDetails.do?id=103494</v>
      </c>
      <c r="B690" s="2" t="s">
        <v>1774</v>
      </c>
      <c r="C690" s="2" t="s">
        <v>1549</v>
      </c>
      <c r="D690" s="2" t="s">
        <v>1741</v>
      </c>
      <c r="E690" s="2" t="s">
        <v>1755</v>
      </c>
      <c r="F690" s="2" t="s">
        <v>16</v>
      </c>
      <c r="G690" s="2" t="s">
        <v>61</v>
      </c>
      <c r="H690" s="2"/>
      <c r="I690" s="3" t="n">
        <v>43616.9166666667</v>
      </c>
      <c r="J690" s="2" t="s">
        <v>19</v>
      </c>
      <c r="K690" s="2"/>
      <c r="L690" s="4" t="s">
        <v>1682</v>
      </c>
    </row>
    <row r="691" customFormat="false" ht="15.65" hidden="false" customHeight="true" outlineLevel="0" collapsed="false">
      <c r="A691" s="5" t="str">
        <f aca="false">HYPERLINK("https://www.fabsurplus.com/sdi_catalog/salesItemDetails.do?id=103495")</f>
        <v>https://www.fabsurplus.com/sdi_catalog/salesItemDetails.do?id=103495</v>
      </c>
      <c r="B691" s="5" t="s">
        <v>1775</v>
      </c>
      <c r="C691" s="5" t="s">
        <v>1549</v>
      </c>
      <c r="D691" s="5" t="s">
        <v>1741</v>
      </c>
      <c r="E691" s="5" t="s">
        <v>1755</v>
      </c>
      <c r="F691" s="5" t="s">
        <v>16</v>
      </c>
      <c r="G691" s="5" t="s">
        <v>61</v>
      </c>
      <c r="H691" s="5"/>
      <c r="I691" s="6" t="n">
        <v>43616.9166666667</v>
      </c>
      <c r="J691" s="5" t="s">
        <v>19</v>
      </c>
      <c r="K691" s="5"/>
      <c r="L691" s="7" t="s">
        <v>1682</v>
      </c>
    </row>
    <row r="692" customFormat="false" ht="15.65" hidden="false" customHeight="true" outlineLevel="0" collapsed="false">
      <c r="A692" s="2" t="str">
        <f aca="false">HYPERLINK("https://www.fabsurplus.com/sdi_catalog/salesItemDetails.do?id=108359")</f>
        <v>https://www.fabsurplus.com/sdi_catalog/salesItemDetails.do?id=108359</v>
      </c>
      <c r="B692" s="2" t="s">
        <v>1776</v>
      </c>
      <c r="C692" s="2" t="s">
        <v>1549</v>
      </c>
      <c r="D692" s="2" t="s">
        <v>1777</v>
      </c>
      <c r="E692" s="2" t="s">
        <v>1778</v>
      </c>
      <c r="F692" s="2" t="s">
        <v>86</v>
      </c>
      <c r="G692" s="2" t="s">
        <v>61</v>
      </c>
      <c r="H692" s="2"/>
      <c r="I692" s="2"/>
      <c r="J692" s="2" t="s">
        <v>19</v>
      </c>
      <c r="K692" s="2"/>
      <c r="L692" s="2"/>
    </row>
    <row r="693" customFormat="false" ht="15.65" hidden="false" customHeight="true" outlineLevel="0" collapsed="false">
      <c r="A693" s="5" t="str">
        <f aca="false">HYPERLINK("https://www.fabsurplus.com/sdi_catalog/salesItemDetails.do?id=91208")</f>
        <v>https://www.fabsurplus.com/sdi_catalog/salesItemDetails.do?id=91208</v>
      </c>
      <c r="B693" s="5" t="s">
        <v>1779</v>
      </c>
      <c r="C693" s="5" t="s">
        <v>1549</v>
      </c>
      <c r="D693" s="5" t="s">
        <v>1780</v>
      </c>
      <c r="E693" s="5" t="s">
        <v>1781</v>
      </c>
      <c r="F693" s="5" t="s">
        <v>16</v>
      </c>
      <c r="G693" s="5" t="s">
        <v>61</v>
      </c>
      <c r="H693" s="5"/>
      <c r="I693" s="5"/>
      <c r="J693" s="5" t="s">
        <v>19</v>
      </c>
      <c r="K693" s="5"/>
      <c r="L693" s="5" t="s">
        <v>142</v>
      </c>
    </row>
    <row r="694" customFormat="false" ht="15.65" hidden="false" customHeight="true" outlineLevel="0" collapsed="false">
      <c r="A694" s="2" t="str">
        <f aca="false">HYPERLINK("https://www.fabsurplus.com/sdi_catalog/salesItemDetails.do?id=103496")</f>
        <v>https://www.fabsurplus.com/sdi_catalog/salesItemDetails.do?id=103496</v>
      </c>
      <c r="B694" s="2" t="s">
        <v>1782</v>
      </c>
      <c r="C694" s="2" t="s">
        <v>1549</v>
      </c>
      <c r="D694" s="2" t="s">
        <v>1741</v>
      </c>
      <c r="E694" s="2" t="s">
        <v>1755</v>
      </c>
      <c r="F694" s="2" t="s">
        <v>16</v>
      </c>
      <c r="G694" s="2" t="s">
        <v>61</v>
      </c>
      <c r="H694" s="2"/>
      <c r="I694" s="3" t="n">
        <v>43616.9166666667</v>
      </c>
      <c r="J694" s="2" t="s">
        <v>19</v>
      </c>
      <c r="K694" s="2"/>
      <c r="L694" s="4" t="s">
        <v>1682</v>
      </c>
    </row>
    <row r="695" customFormat="false" ht="15.65" hidden="false" customHeight="true" outlineLevel="0" collapsed="false">
      <c r="A695" s="5" t="str">
        <f aca="false">HYPERLINK("https://www.fabsurplus.com/sdi_catalog/salesItemDetails.do?id=108360")</f>
        <v>https://www.fabsurplus.com/sdi_catalog/salesItemDetails.do?id=108360</v>
      </c>
      <c r="B695" s="5" t="s">
        <v>1783</v>
      </c>
      <c r="C695" s="5" t="s">
        <v>1549</v>
      </c>
      <c r="D695" s="5" t="s">
        <v>1784</v>
      </c>
      <c r="E695" s="5" t="s">
        <v>1785</v>
      </c>
      <c r="F695" s="5" t="s">
        <v>86</v>
      </c>
      <c r="G695" s="5" t="s">
        <v>61</v>
      </c>
      <c r="H695" s="5"/>
      <c r="I695" s="5"/>
      <c r="J695" s="5" t="s">
        <v>19</v>
      </c>
      <c r="K695" s="5"/>
      <c r="L695" s="5"/>
    </row>
    <row r="696" customFormat="false" ht="15.65" hidden="false" customHeight="true" outlineLevel="0" collapsed="false">
      <c r="A696" s="2" t="str">
        <f aca="false">HYPERLINK("https://www.fabsurplus.com/sdi_catalog/salesItemDetails.do?id=91209")</f>
        <v>https://www.fabsurplus.com/sdi_catalog/salesItemDetails.do?id=91209</v>
      </c>
      <c r="B696" s="2" t="s">
        <v>1786</v>
      </c>
      <c r="C696" s="2" t="s">
        <v>1549</v>
      </c>
      <c r="D696" s="2" t="s">
        <v>1787</v>
      </c>
      <c r="E696" s="2" t="s">
        <v>1781</v>
      </c>
      <c r="F696" s="2" t="s">
        <v>16</v>
      </c>
      <c r="G696" s="2" t="s">
        <v>61</v>
      </c>
      <c r="H696" s="2"/>
      <c r="I696" s="2"/>
      <c r="J696" s="2" t="s">
        <v>19</v>
      </c>
      <c r="K696" s="2"/>
      <c r="L696" s="2" t="s">
        <v>142</v>
      </c>
    </row>
    <row r="697" customFormat="false" ht="15.65" hidden="false" customHeight="true" outlineLevel="0" collapsed="false">
      <c r="A697" s="5" t="str">
        <f aca="false">HYPERLINK("https://www.fabsurplus.com/sdi_catalog/salesItemDetails.do?id=103499")</f>
        <v>https://www.fabsurplus.com/sdi_catalog/salesItemDetails.do?id=103499</v>
      </c>
      <c r="B697" s="5" t="s">
        <v>1788</v>
      </c>
      <c r="C697" s="5" t="s">
        <v>1549</v>
      </c>
      <c r="D697" s="5" t="s">
        <v>1789</v>
      </c>
      <c r="E697" s="5" t="s">
        <v>1790</v>
      </c>
      <c r="F697" s="5" t="s">
        <v>16</v>
      </c>
      <c r="G697" s="5" t="s">
        <v>61</v>
      </c>
      <c r="H697" s="5"/>
      <c r="I697" s="6" t="n">
        <v>42886.9166666667</v>
      </c>
      <c r="J697" s="5" t="s">
        <v>19</v>
      </c>
      <c r="K697" s="5"/>
      <c r="L697" s="7" t="s">
        <v>1682</v>
      </c>
    </row>
    <row r="698" customFormat="false" ht="15.65" hidden="false" customHeight="true" outlineLevel="0" collapsed="false">
      <c r="A698" s="2" t="str">
        <f aca="false">HYPERLINK("https://www.fabsurplus.com/sdi_catalog/salesItemDetails.do?id=103500")</f>
        <v>https://www.fabsurplus.com/sdi_catalog/salesItemDetails.do?id=103500</v>
      </c>
      <c r="B698" s="2" t="s">
        <v>1791</v>
      </c>
      <c r="C698" s="2" t="s">
        <v>1549</v>
      </c>
      <c r="D698" s="2" t="s">
        <v>1792</v>
      </c>
      <c r="E698" s="2" t="s">
        <v>1793</v>
      </c>
      <c r="F698" s="2" t="s">
        <v>16</v>
      </c>
      <c r="G698" s="2" t="s">
        <v>61</v>
      </c>
      <c r="H698" s="2"/>
      <c r="I698" s="3" t="n">
        <v>37042.9166666667</v>
      </c>
      <c r="J698" s="2" t="s">
        <v>19</v>
      </c>
      <c r="K698" s="2"/>
      <c r="L698" s="4" t="s">
        <v>1682</v>
      </c>
    </row>
    <row r="699" customFormat="false" ht="15.65" hidden="false" customHeight="true" outlineLevel="0" collapsed="false">
      <c r="A699" s="5" t="str">
        <f aca="false">HYPERLINK("https://www.fabsurplus.com/sdi_catalog/salesItemDetails.do?id=103501")</f>
        <v>https://www.fabsurplus.com/sdi_catalog/salesItemDetails.do?id=103501</v>
      </c>
      <c r="B699" s="5" t="s">
        <v>1794</v>
      </c>
      <c r="C699" s="5" t="s">
        <v>1549</v>
      </c>
      <c r="D699" s="5" t="s">
        <v>1792</v>
      </c>
      <c r="E699" s="5" t="s">
        <v>1793</v>
      </c>
      <c r="F699" s="5" t="s">
        <v>16</v>
      </c>
      <c r="G699" s="5" t="s">
        <v>61</v>
      </c>
      <c r="H699" s="5"/>
      <c r="I699" s="6" t="n">
        <v>39599.9166666667</v>
      </c>
      <c r="J699" s="5" t="s">
        <v>19</v>
      </c>
      <c r="K699" s="5"/>
      <c r="L699" s="7" t="s">
        <v>1682</v>
      </c>
    </row>
    <row r="700" customFormat="false" ht="15.65" hidden="false" customHeight="true" outlineLevel="0" collapsed="false">
      <c r="A700" s="2" t="str">
        <f aca="false">HYPERLINK("https://www.fabsurplus.com/sdi_catalog/salesItemDetails.do?id=109133")</f>
        <v>https://www.fabsurplus.com/sdi_catalog/salesItemDetails.do?id=109133</v>
      </c>
      <c r="B700" s="2" t="s">
        <v>1795</v>
      </c>
      <c r="C700" s="2" t="s">
        <v>1549</v>
      </c>
      <c r="D700" s="2" t="s">
        <v>1796</v>
      </c>
      <c r="E700" s="2" t="s">
        <v>1797</v>
      </c>
      <c r="F700" s="2" t="s">
        <v>16</v>
      </c>
      <c r="G700" s="2" t="s">
        <v>1798</v>
      </c>
      <c r="H700" s="2"/>
      <c r="I700" s="2"/>
      <c r="J700" s="2" t="s">
        <v>19</v>
      </c>
      <c r="K700" s="2"/>
      <c r="L700" s="2"/>
    </row>
    <row r="701" customFormat="false" ht="15.65" hidden="false" customHeight="true" outlineLevel="0" collapsed="false">
      <c r="A701" s="5" t="str">
        <f aca="false">HYPERLINK("https://www.fabsurplus.com/sdi_catalog/salesItemDetails.do?id=103502")</f>
        <v>https://www.fabsurplus.com/sdi_catalog/salesItemDetails.do?id=103502</v>
      </c>
      <c r="B701" s="5" t="s">
        <v>1799</v>
      </c>
      <c r="C701" s="5" t="s">
        <v>1549</v>
      </c>
      <c r="D701" s="5" t="s">
        <v>1792</v>
      </c>
      <c r="E701" s="5" t="s">
        <v>1793</v>
      </c>
      <c r="F701" s="5" t="s">
        <v>16</v>
      </c>
      <c r="G701" s="5" t="s">
        <v>61</v>
      </c>
      <c r="H701" s="5"/>
      <c r="I701" s="5"/>
      <c r="J701" s="5" t="s">
        <v>19</v>
      </c>
      <c r="K701" s="5"/>
      <c r="L701" s="7" t="s">
        <v>1682</v>
      </c>
    </row>
    <row r="702" customFormat="false" ht="15.65" hidden="false" customHeight="true" outlineLevel="0" collapsed="false">
      <c r="A702" s="2" t="str">
        <f aca="false">HYPERLINK("https://www.fabsurplus.com/sdi_catalog/salesItemDetails.do?id=109134")</f>
        <v>https://www.fabsurplus.com/sdi_catalog/salesItemDetails.do?id=109134</v>
      </c>
      <c r="B702" s="2" t="s">
        <v>1800</v>
      </c>
      <c r="C702" s="2" t="s">
        <v>1549</v>
      </c>
      <c r="D702" s="2" t="s">
        <v>1801</v>
      </c>
      <c r="E702" s="2" t="s">
        <v>1802</v>
      </c>
      <c r="F702" s="2" t="s">
        <v>16</v>
      </c>
      <c r="G702" s="2" t="s">
        <v>1803</v>
      </c>
      <c r="H702" s="2"/>
      <c r="I702" s="2"/>
      <c r="J702" s="2" t="s">
        <v>19</v>
      </c>
      <c r="K702" s="2"/>
      <c r="L702" s="2"/>
    </row>
    <row r="703" customFormat="false" ht="15.65" hidden="false" customHeight="true" outlineLevel="0" collapsed="false">
      <c r="A703" s="5" t="str">
        <f aca="false">HYPERLINK("https://www.fabsurplus.com/sdi_catalog/salesItemDetails.do?id=103503")</f>
        <v>https://www.fabsurplus.com/sdi_catalog/salesItemDetails.do?id=103503</v>
      </c>
      <c r="B703" s="5" t="s">
        <v>1804</v>
      </c>
      <c r="C703" s="5" t="s">
        <v>1549</v>
      </c>
      <c r="D703" s="5" t="s">
        <v>1805</v>
      </c>
      <c r="E703" s="5" t="s">
        <v>1806</v>
      </c>
      <c r="F703" s="5" t="s">
        <v>16</v>
      </c>
      <c r="G703" s="5" t="s">
        <v>61</v>
      </c>
      <c r="H703" s="5"/>
      <c r="I703" s="6" t="n">
        <v>38138.9166666667</v>
      </c>
      <c r="J703" s="5" t="s">
        <v>19</v>
      </c>
      <c r="K703" s="5"/>
      <c r="L703" s="7" t="s">
        <v>1682</v>
      </c>
    </row>
    <row r="704" customFormat="false" ht="15.65" hidden="false" customHeight="true" outlineLevel="0" collapsed="false">
      <c r="A704" s="2" t="str">
        <f aca="false">HYPERLINK("https://www.fabsurplus.com/sdi_catalog/salesItemDetails.do?id=106575")</f>
        <v>https://www.fabsurplus.com/sdi_catalog/salesItemDetails.do?id=106575</v>
      </c>
      <c r="B704" s="2" t="s">
        <v>1807</v>
      </c>
      <c r="C704" s="2" t="s">
        <v>1549</v>
      </c>
      <c r="D704" s="2" t="s">
        <v>1808</v>
      </c>
      <c r="E704" s="2" t="s">
        <v>1809</v>
      </c>
      <c r="F704" s="2" t="s">
        <v>16</v>
      </c>
      <c r="G704" s="2" t="s">
        <v>61</v>
      </c>
      <c r="H704" s="2"/>
      <c r="I704" s="2"/>
      <c r="J704" s="2" t="s">
        <v>19</v>
      </c>
      <c r="K704" s="2"/>
      <c r="L704" s="2" t="s">
        <v>518</v>
      </c>
    </row>
    <row r="705" customFormat="false" ht="15.65" hidden="false" customHeight="true" outlineLevel="0" collapsed="false">
      <c r="A705" s="5" t="str">
        <f aca="false">HYPERLINK("https://www.fabsurplus.com/sdi_catalog/salesItemDetails.do?id=109135")</f>
        <v>https://www.fabsurplus.com/sdi_catalog/salesItemDetails.do?id=109135</v>
      </c>
      <c r="B705" s="5" t="s">
        <v>1810</v>
      </c>
      <c r="C705" s="5" t="s">
        <v>1549</v>
      </c>
      <c r="D705" s="5" t="s">
        <v>1801</v>
      </c>
      <c r="E705" s="5" t="s">
        <v>1802</v>
      </c>
      <c r="F705" s="5" t="s">
        <v>16</v>
      </c>
      <c r="G705" s="5" t="s">
        <v>1803</v>
      </c>
      <c r="H705" s="5"/>
      <c r="I705" s="5"/>
      <c r="J705" s="5" t="s">
        <v>19</v>
      </c>
      <c r="K705" s="5"/>
      <c r="L705" s="5"/>
    </row>
    <row r="706" customFormat="false" ht="15.65" hidden="false" customHeight="true" outlineLevel="0" collapsed="false">
      <c r="A706" s="2" t="str">
        <f aca="false">HYPERLINK("https://www.fabsurplus.com/sdi_catalog/salesItemDetails.do?id=103504")</f>
        <v>https://www.fabsurplus.com/sdi_catalog/salesItemDetails.do?id=103504</v>
      </c>
      <c r="B706" s="2" t="s">
        <v>1811</v>
      </c>
      <c r="C706" s="2" t="s">
        <v>1549</v>
      </c>
      <c r="D706" s="2" t="s">
        <v>1805</v>
      </c>
      <c r="E706" s="2" t="s">
        <v>1806</v>
      </c>
      <c r="F706" s="2" t="s">
        <v>16</v>
      </c>
      <c r="G706" s="2" t="s">
        <v>61</v>
      </c>
      <c r="H706" s="2"/>
      <c r="I706" s="3" t="n">
        <v>38868.9166666667</v>
      </c>
      <c r="J706" s="2" t="s">
        <v>19</v>
      </c>
      <c r="K706" s="2"/>
      <c r="L706" s="4" t="s">
        <v>1682</v>
      </c>
    </row>
    <row r="707" customFormat="false" ht="15.65" hidden="false" customHeight="true" outlineLevel="0" collapsed="false">
      <c r="A707" s="5" t="str">
        <f aca="false">HYPERLINK("https://www.fabsurplus.com/sdi_catalog/salesItemDetails.do?id=106576")</f>
        <v>https://www.fabsurplus.com/sdi_catalog/salesItemDetails.do?id=106576</v>
      </c>
      <c r="B707" s="5" t="s">
        <v>1812</v>
      </c>
      <c r="C707" s="5" t="s">
        <v>1549</v>
      </c>
      <c r="D707" s="5" t="s">
        <v>1680</v>
      </c>
      <c r="E707" s="5" t="s">
        <v>1813</v>
      </c>
      <c r="F707" s="5" t="s">
        <v>16</v>
      </c>
      <c r="G707" s="5" t="s">
        <v>61</v>
      </c>
      <c r="H707" s="5"/>
      <c r="I707" s="6" t="n">
        <v>37043</v>
      </c>
      <c r="J707" s="5" t="s">
        <v>19</v>
      </c>
      <c r="K707" s="5"/>
      <c r="L707" s="5" t="s">
        <v>518</v>
      </c>
    </row>
    <row r="708" customFormat="false" ht="15.65" hidden="false" customHeight="true" outlineLevel="0" collapsed="false">
      <c r="A708" s="2" t="str">
        <f aca="false">HYPERLINK("https://www.fabsurplus.com/sdi_catalog/salesItemDetails.do?id=109136")</f>
        <v>https://www.fabsurplus.com/sdi_catalog/salesItemDetails.do?id=109136</v>
      </c>
      <c r="B708" s="2" t="s">
        <v>1814</v>
      </c>
      <c r="C708" s="2" t="s">
        <v>1549</v>
      </c>
      <c r="D708" s="2" t="s">
        <v>1815</v>
      </c>
      <c r="E708" s="2" t="s">
        <v>1732</v>
      </c>
      <c r="F708" s="2" t="s">
        <v>16</v>
      </c>
      <c r="G708" s="2" t="s">
        <v>84</v>
      </c>
      <c r="H708" s="2"/>
      <c r="I708" s="2"/>
      <c r="J708" s="2" t="s">
        <v>19</v>
      </c>
      <c r="K708" s="2"/>
      <c r="L708" s="2"/>
    </row>
    <row r="709" customFormat="false" ht="15.65" hidden="false" customHeight="true" outlineLevel="0" collapsed="false">
      <c r="A709" s="5" t="str">
        <f aca="false">HYPERLINK("https://www.fabsurplus.com/sdi_catalog/salesItemDetails.do?id=103505")</f>
        <v>https://www.fabsurplus.com/sdi_catalog/salesItemDetails.do?id=103505</v>
      </c>
      <c r="B709" s="5" t="s">
        <v>1816</v>
      </c>
      <c r="C709" s="5" t="s">
        <v>1549</v>
      </c>
      <c r="D709" s="5" t="s">
        <v>1805</v>
      </c>
      <c r="E709" s="5" t="s">
        <v>1806</v>
      </c>
      <c r="F709" s="5" t="s">
        <v>16</v>
      </c>
      <c r="G709" s="5" t="s">
        <v>61</v>
      </c>
      <c r="H709" s="5"/>
      <c r="I709" s="6" t="n">
        <v>40329.9166666667</v>
      </c>
      <c r="J709" s="5" t="s">
        <v>19</v>
      </c>
      <c r="K709" s="5"/>
      <c r="L709" s="7" t="s">
        <v>1682</v>
      </c>
    </row>
    <row r="710" customFormat="false" ht="15.65" hidden="false" customHeight="true" outlineLevel="0" collapsed="false">
      <c r="A710" s="2" t="str">
        <f aca="false">HYPERLINK("https://www.fabsurplus.com/sdi_catalog/salesItemDetails.do?id=106065")</f>
        <v>https://www.fabsurplus.com/sdi_catalog/salesItemDetails.do?id=106065</v>
      </c>
      <c r="B710" s="2" t="s">
        <v>1817</v>
      </c>
      <c r="C710" s="2" t="s">
        <v>1549</v>
      </c>
      <c r="D710" s="2" t="s">
        <v>1818</v>
      </c>
      <c r="E710" s="2" t="s">
        <v>1819</v>
      </c>
      <c r="F710" s="2" t="s">
        <v>16</v>
      </c>
      <c r="G710" s="2" t="s">
        <v>38</v>
      </c>
      <c r="H710" s="2" t="s">
        <v>32</v>
      </c>
      <c r="I710" s="3" t="n">
        <v>37043</v>
      </c>
      <c r="J710" s="2" t="s">
        <v>286</v>
      </c>
      <c r="K710" s="2" t="s">
        <v>20</v>
      </c>
      <c r="L710" s="4" t="s">
        <v>1820</v>
      </c>
    </row>
    <row r="711" customFormat="false" ht="15.65" hidden="false" customHeight="true" outlineLevel="0" collapsed="false">
      <c r="A711" s="5" t="str">
        <f aca="false">HYPERLINK("https://www.fabsurplus.com/sdi_catalog/salesItemDetails.do?id=106577")</f>
        <v>https://www.fabsurplus.com/sdi_catalog/salesItemDetails.do?id=106577</v>
      </c>
      <c r="B711" s="5" t="s">
        <v>1821</v>
      </c>
      <c r="C711" s="5" t="s">
        <v>1549</v>
      </c>
      <c r="D711" s="5" t="s">
        <v>1680</v>
      </c>
      <c r="E711" s="5" t="s">
        <v>1822</v>
      </c>
      <c r="F711" s="5" t="s">
        <v>16</v>
      </c>
      <c r="G711" s="5" t="s">
        <v>61</v>
      </c>
      <c r="H711" s="5"/>
      <c r="I711" s="6" t="n">
        <v>38869</v>
      </c>
      <c r="J711" s="5" t="s">
        <v>19</v>
      </c>
      <c r="K711" s="5"/>
      <c r="L711" s="5" t="s">
        <v>518</v>
      </c>
    </row>
    <row r="712" customFormat="false" ht="15.65" hidden="false" customHeight="true" outlineLevel="0" collapsed="false">
      <c r="A712" s="2" t="str">
        <f aca="false">HYPERLINK("https://www.fabsurplus.com/sdi_catalog/salesItemDetails.do?id=109137")</f>
        <v>https://www.fabsurplus.com/sdi_catalog/salesItemDetails.do?id=109137</v>
      </c>
      <c r="B712" s="2" t="s">
        <v>1823</v>
      </c>
      <c r="C712" s="2" t="s">
        <v>1549</v>
      </c>
      <c r="D712" s="2" t="s">
        <v>1824</v>
      </c>
      <c r="E712" s="2" t="s">
        <v>1732</v>
      </c>
      <c r="F712" s="2" t="s">
        <v>16</v>
      </c>
      <c r="G712" s="2" t="s">
        <v>84</v>
      </c>
      <c r="H712" s="2"/>
      <c r="I712" s="2"/>
      <c r="J712" s="2" t="s">
        <v>19</v>
      </c>
      <c r="K712" s="2"/>
      <c r="L712" s="2"/>
    </row>
    <row r="713" customFormat="false" ht="15.65" hidden="false" customHeight="true" outlineLevel="0" collapsed="false">
      <c r="A713" s="5" t="str">
        <f aca="false">HYPERLINK("https://www.fabsurplus.com/sdi_catalog/salesItemDetails.do?id=103506")</f>
        <v>https://www.fabsurplus.com/sdi_catalog/salesItemDetails.do?id=103506</v>
      </c>
      <c r="B713" s="5" t="s">
        <v>1825</v>
      </c>
      <c r="C713" s="5" t="s">
        <v>1549</v>
      </c>
      <c r="D713" s="5" t="s">
        <v>1574</v>
      </c>
      <c r="E713" s="5" t="s">
        <v>1582</v>
      </c>
      <c r="F713" s="5" t="s">
        <v>16</v>
      </c>
      <c r="G713" s="5" t="s">
        <v>61</v>
      </c>
      <c r="H713" s="5"/>
      <c r="I713" s="6" t="n">
        <v>40329.9166666667</v>
      </c>
      <c r="J713" s="5" t="s">
        <v>19</v>
      </c>
      <c r="K713" s="5"/>
      <c r="L713" s="7" t="s">
        <v>1682</v>
      </c>
    </row>
    <row r="714" customFormat="false" ht="15.65" hidden="false" customHeight="true" outlineLevel="0" collapsed="false">
      <c r="A714" s="2" t="str">
        <f aca="false">HYPERLINK("https://www.fabsurplus.com/sdi_catalog/salesItemDetails.do?id=106578")</f>
        <v>https://www.fabsurplus.com/sdi_catalog/salesItemDetails.do?id=106578</v>
      </c>
      <c r="B714" s="2" t="s">
        <v>1826</v>
      </c>
      <c r="C714" s="2" t="s">
        <v>1549</v>
      </c>
      <c r="D714" s="2" t="s">
        <v>1680</v>
      </c>
      <c r="E714" s="2" t="s">
        <v>1822</v>
      </c>
      <c r="F714" s="2" t="s">
        <v>16</v>
      </c>
      <c r="G714" s="2" t="s">
        <v>61</v>
      </c>
      <c r="H714" s="2"/>
      <c r="I714" s="3" t="n">
        <v>38869</v>
      </c>
      <c r="J714" s="2" t="s">
        <v>19</v>
      </c>
      <c r="K714" s="2"/>
      <c r="L714" s="2" t="s">
        <v>518</v>
      </c>
    </row>
    <row r="715" customFormat="false" ht="15.65" hidden="false" customHeight="true" outlineLevel="0" collapsed="false">
      <c r="A715" s="5" t="str">
        <f aca="false">HYPERLINK("https://www.fabsurplus.com/sdi_catalog/salesItemDetails.do?id=109138")</f>
        <v>https://www.fabsurplus.com/sdi_catalog/salesItemDetails.do?id=109138</v>
      </c>
      <c r="B715" s="5" t="s">
        <v>1827</v>
      </c>
      <c r="C715" s="5" t="s">
        <v>1549</v>
      </c>
      <c r="D715" s="5" t="s">
        <v>1824</v>
      </c>
      <c r="E715" s="5" t="s">
        <v>1732</v>
      </c>
      <c r="F715" s="5" t="s">
        <v>16</v>
      </c>
      <c r="G715" s="5" t="s">
        <v>84</v>
      </c>
      <c r="H715" s="5"/>
      <c r="I715" s="5"/>
      <c r="J715" s="5" t="s">
        <v>19</v>
      </c>
      <c r="K715" s="5"/>
      <c r="L715" s="5"/>
    </row>
    <row r="716" customFormat="false" ht="15.65" hidden="false" customHeight="true" outlineLevel="0" collapsed="false">
      <c r="A716" s="2" t="str">
        <f aca="false">HYPERLINK("https://www.fabsurplus.com/sdi_catalog/salesItemDetails.do?id=106579")</f>
        <v>https://www.fabsurplus.com/sdi_catalog/salesItemDetails.do?id=106579</v>
      </c>
      <c r="B716" s="2" t="s">
        <v>1828</v>
      </c>
      <c r="C716" s="2" t="s">
        <v>1549</v>
      </c>
      <c r="D716" s="2" t="s">
        <v>1680</v>
      </c>
      <c r="E716" s="2" t="s">
        <v>1829</v>
      </c>
      <c r="F716" s="2" t="s">
        <v>16</v>
      </c>
      <c r="G716" s="2" t="s">
        <v>61</v>
      </c>
      <c r="H716" s="2"/>
      <c r="I716" s="3" t="n">
        <v>41426</v>
      </c>
      <c r="J716" s="2" t="s">
        <v>19</v>
      </c>
      <c r="K716" s="2"/>
      <c r="L716" s="2" t="s">
        <v>518</v>
      </c>
    </row>
    <row r="717" customFormat="false" ht="15.65" hidden="false" customHeight="true" outlineLevel="0" collapsed="false">
      <c r="A717" s="5" t="str">
        <f aca="false">HYPERLINK("https://www.fabsurplus.com/sdi_catalog/salesItemDetails.do?id=109139")</f>
        <v>https://www.fabsurplus.com/sdi_catalog/salesItemDetails.do?id=109139</v>
      </c>
      <c r="B717" s="5" t="s">
        <v>1830</v>
      </c>
      <c r="C717" s="5" t="s">
        <v>1549</v>
      </c>
      <c r="D717" s="5" t="s">
        <v>1712</v>
      </c>
      <c r="E717" s="5" t="s">
        <v>1713</v>
      </c>
      <c r="F717" s="5" t="s">
        <v>16</v>
      </c>
      <c r="G717" s="5" t="s">
        <v>84</v>
      </c>
      <c r="H717" s="5"/>
      <c r="I717" s="5"/>
      <c r="J717" s="5" t="s">
        <v>19</v>
      </c>
      <c r="K717" s="5"/>
      <c r="L717" s="5"/>
    </row>
    <row r="718" customFormat="false" ht="15.65" hidden="false" customHeight="true" outlineLevel="0" collapsed="false">
      <c r="A718" s="2" t="str">
        <f aca="false">HYPERLINK("https://www.fabsurplus.com/sdi_catalog/salesItemDetails.do?id=103508")</f>
        <v>https://www.fabsurplus.com/sdi_catalog/salesItemDetails.do?id=103508</v>
      </c>
      <c r="B718" s="2" t="s">
        <v>1831</v>
      </c>
      <c r="C718" s="2" t="s">
        <v>1549</v>
      </c>
      <c r="D718" s="2" t="s">
        <v>1832</v>
      </c>
      <c r="E718" s="2" t="s">
        <v>1833</v>
      </c>
      <c r="F718" s="2" t="s">
        <v>16</v>
      </c>
      <c r="G718" s="2" t="s">
        <v>61</v>
      </c>
      <c r="H718" s="2"/>
      <c r="I718" s="3" t="n">
        <v>41790.9166666667</v>
      </c>
      <c r="J718" s="2" t="s">
        <v>19</v>
      </c>
      <c r="K718" s="2"/>
      <c r="L718" s="4" t="s">
        <v>1682</v>
      </c>
    </row>
    <row r="719" customFormat="false" ht="15.65" hidden="false" customHeight="true" outlineLevel="0" collapsed="false">
      <c r="A719" s="5" t="str">
        <f aca="false">HYPERLINK("https://www.fabsurplus.com/sdi_catalog/salesItemDetails.do?id=106580")</f>
        <v>https://www.fabsurplus.com/sdi_catalog/salesItemDetails.do?id=106580</v>
      </c>
      <c r="B719" s="5" t="s">
        <v>1834</v>
      </c>
      <c r="C719" s="5" t="s">
        <v>1549</v>
      </c>
      <c r="D719" s="5" t="s">
        <v>1680</v>
      </c>
      <c r="E719" s="5" t="s">
        <v>1829</v>
      </c>
      <c r="F719" s="5" t="s">
        <v>16</v>
      </c>
      <c r="G719" s="5" t="s">
        <v>61</v>
      </c>
      <c r="H719" s="5"/>
      <c r="I719" s="6" t="n">
        <v>40330</v>
      </c>
      <c r="J719" s="5" t="s">
        <v>19</v>
      </c>
      <c r="K719" s="5"/>
      <c r="L719" s="5" t="s">
        <v>518</v>
      </c>
    </row>
    <row r="720" customFormat="false" ht="15.65" hidden="false" customHeight="true" outlineLevel="0" collapsed="false">
      <c r="A720" s="2" t="str">
        <f aca="false">HYPERLINK("https://www.fabsurplus.com/sdi_catalog/salesItemDetails.do?id=109140")</f>
        <v>https://www.fabsurplus.com/sdi_catalog/salesItemDetails.do?id=109140</v>
      </c>
      <c r="B720" s="2" t="s">
        <v>1835</v>
      </c>
      <c r="C720" s="2" t="s">
        <v>1549</v>
      </c>
      <c r="D720" s="2" t="s">
        <v>1712</v>
      </c>
      <c r="E720" s="2" t="s">
        <v>1713</v>
      </c>
      <c r="F720" s="2" t="s">
        <v>16</v>
      </c>
      <c r="G720" s="2" t="s">
        <v>84</v>
      </c>
      <c r="H720" s="2"/>
      <c r="I720" s="2"/>
      <c r="J720" s="2" t="s">
        <v>19</v>
      </c>
      <c r="K720" s="2"/>
      <c r="L720" s="2"/>
    </row>
    <row r="721" customFormat="false" ht="15.65" hidden="false" customHeight="true" outlineLevel="0" collapsed="false">
      <c r="A721" s="5" t="str">
        <f aca="false">HYPERLINK("https://www.fabsurplus.com/sdi_catalog/salesItemDetails.do?id=103509")</f>
        <v>https://www.fabsurplus.com/sdi_catalog/salesItemDetails.do?id=103509</v>
      </c>
      <c r="B721" s="5" t="s">
        <v>1836</v>
      </c>
      <c r="C721" s="5" t="s">
        <v>1549</v>
      </c>
      <c r="D721" s="5" t="s">
        <v>1832</v>
      </c>
      <c r="E721" s="5" t="s">
        <v>1837</v>
      </c>
      <c r="F721" s="5" t="s">
        <v>16</v>
      </c>
      <c r="G721" s="5" t="s">
        <v>61</v>
      </c>
      <c r="H721" s="5"/>
      <c r="I721" s="6" t="n">
        <v>37407.9166666667</v>
      </c>
      <c r="J721" s="5" t="s">
        <v>19</v>
      </c>
      <c r="K721" s="5"/>
      <c r="L721" s="7" t="s">
        <v>1682</v>
      </c>
    </row>
    <row r="722" customFormat="false" ht="15.65" hidden="false" customHeight="true" outlineLevel="0" collapsed="false">
      <c r="A722" s="2" t="str">
        <f aca="false">HYPERLINK("https://www.fabsurplus.com/sdi_catalog/salesItemDetails.do?id=106581")</f>
        <v>https://www.fabsurplus.com/sdi_catalog/salesItemDetails.do?id=106581</v>
      </c>
      <c r="B722" s="2" t="s">
        <v>1838</v>
      </c>
      <c r="C722" s="2" t="s">
        <v>1549</v>
      </c>
      <c r="D722" s="2" t="s">
        <v>1692</v>
      </c>
      <c r="E722" s="2" t="s">
        <v>1839</v>
      </c>
      <c r="F722" s="2" t="s">
        <v>16</v>
      </c>
      <c r="G722" s="2" t="s">
        <v>61</v>
      </c>
      <c r="H722" s="2"/>
      <c r="I722" s="3" t="n">
        <v>40695</v>
      </c>
      <c r="J722" s="2" t="s">
        <v>19</v>
      </c>
      <c r="K722" s="2"/>
      <c r="L722" s="2" t="s">
        <v>518</v>
      </c>
    </row>
    <row r="723" customFormat="false" ht="15.65" hidden="false" customHeight="true" outlineLevel="0" collapsed="false">
      <c r="A723" s="5" t="str">
        <f aca="false">HYPERLINK("https://www.fabsurplus.com/sdi_catalog/salesItemDetails.do?id=109141")</f>
        <v>https://www.fabsurplus.com/sdi_catalog/salesItemDetails.do?id=109141</v>
      </c>
      <c r="B723" s="5" t="s">
        <v>1840</v>
      </c>
      <c r="C723" s="5" t="s">
        <v>1549</v>
      </c>
      <c r="D723" s="5" t="s">
        <v>1712</v>
      </c>
      <c r="E723" s="5" t="s">
        <v>1713</v>
      </c>
      <c r="F723" s="5" t="s">
        <v>16</v>
      </c>
      <c r="G723" s="5" t="s">
        <v>84</v>
      </c>
      <c r="H723" s="5"/>
      <c r="I723" s="5"/>
      <c r="J723" s="5" t="s">
        <v>19</v>
      </c>
      <c r="K723" s="5"/>
      <c r="L723" s="5"/>
    </row>
    <row r="724" customFormat="false" ht="15.65" hidden="false" customHeight="true" outlineLevel="0" collapsed="false">
      <c r="A724" s="2" t="str">
        <f aca="false">HYPERLINK("https://www.fabsurplus.com/sdi_catalog/salesItemDetails.do?id=103510")</f>
        <v>https://www.fabsurplus.com/sdi_catalog/salesItemDetails.do?id=103510</v>
      </c>
      <c r="B724" s="2" t="s">
        <v>1841</v>
      </c>
      <c r="C724" s="2" t="s">
        <v>1549</v>
      </c>
      <c r="D724" s="2" t="s">
        <v>1842</v>
      </c>
      <c r="E724" s="2" t="s">
        <v>1843</v>
      </c>
      <c r="F724" s="2" t="s">
        <v>16</v>
      </c>
      <c r="G724" s="2" t="s">
        <v>61</v>
      </c>
      <c r="H724" s="2"/>
      <c r="I724" s="3" t="n">
        <v>37772.9166666667</v>
      </c>
      <c r="J724" s="2" t="s">
        <v>19</v>
      </c>
      <c r="K724" s="2"/>
      <c r="L724" s="4" t="s">
        <v>1682</v>
      </c>
    </row>
    <row r="725" customFormat="false" ht="15.65" hidden="false" customHeight="true" outlineLevel="0" collapsed="false">
      <c r="A725" s="5" t="str">
        <f aca="false">HYPERLINK("https://www.fabsurplus.com/sdi_catalog/salesItemDetails.do?id=106582")</f>
        <v>https://www.fabsurplus.com/sdi_catalog/salesItemDetails.do?id=106582</v>
      </c>
      <c r="B725" s="5" t="s">
        <v>1844</v>
      </c>
      <c r="C725" s="5" t="s">
        <v>1549</v>
      </c>
      <c r="D725" s="5" t="s">
        <v>1845</v>
      </c>
      <c r="E725" s="5" t="s">
        <v>1598</v>
      </c>
      <c r="F725" s="5" t="s">
        <v>16</v>
      </c>
      <c r="G725" s="5" t="s">
        <v>38</v>
      </c>
      <c r="H725" s="5"/>
      <c r="I725" s="6" t="n">
        <v>37043</v>
      </c>
      <c r="J725" s="5" t="s">
        <v>19</v>
      </c>
      <c r="K725" s="5"/>
      <c r="L725" s="5" t="s">
        <v>1846</v>
      </c>
    </row>
    <row r="726" customFormat="false" ht="15.65" hidden="false" customHeight="true" outlineLevel="0" collapsed="false">
      <c r="A726" s="2" t="str">
        <f aca="false">HYPERLINK("https://www.fabsurplus.com/sdi_catalog/salesItemDetails.do?id=109142")</f>
        <v>https://www.fabsurplus.com/sdi_catalog/salesItemDetails.do?id=109142</v>
      </c>
      <c r="B726" s="2" t="s">
        <v>1847</v>
      </c>
      <c r="C726" s="2" t="s">
        <v>1549</v>
      </c>
      <c r="D726" s="2" t="s">
        <v>1712</v>
      </c>
      <c r="E726" s="2" t="s">
        <v>1713</v>
      </c>
      <c r="F726" s="2" t="s">
        <v>16</v>
      </c>
      <c r="G726" s="2" t="s">
        <v>84</v>
      </c>
      <c r="H726" s="2"/>
      <c r="I726" s="2"/>
      <c r="J726" s="2" t="s">
        <v>19</v>
      </c>
      <c r="K726" s="2"/>
      <c r="L726" s="2"/>
    </row>
    <row r="727" customFormat="false" ht="15.65" hidden="false" customHeight="true" outlineLevel="0" collapsed="false">
      <c r="A727" s="5" t="str">
        <f aca="false">HYPERLINK("https://www.fabsurplus.com/sdi_catalog/salesItemDetails.do?id=103511")</f>
        <v>https://www.fabsurplus.com/sdi_catalog/salesItemDetails.do?id=103511</v>
      </c>
      <c r="B727" s="5" t="s">
        <v>1848</v>
      </c>
      <c r="C727" s="5" t="s">
        <v>1549</v>
      </c>
      <c r="D727" s="5" t="s">
        <v>1842</v>
      </c>
      <c r="E727" s="5" t="s">
        <v>1849</v>
      </c>
      <c r="F727" s="5" t="s">
        <v>16</v>
      </c>
      <c r="G727" s="5" t="s">
        <v>61</v>
      </c>
      <c r="H727" s="5"/>
      <c r="I727" s="5"/>
      <c r="J727" s="5" t="s">
        <v>19</v>
      </c>
      <c r="K727" s="5"/>
      <c r="L727" s="7" t="s">
        <v>1682</v>
      </c>
    </row>
    <row r="728" customFormat="false" ht="15.65" hidden="false" customHeight="true" outlineLevel="0" collapsed="false">
      <c r="A728" s="2" t="str">
        <f aca="false">HYPERLINK("https://www.fabsurplus.com/sdi_catalog/salesItemDetails.do?id=106583")</f>
        <v>https://www.fabsurplus.com/sdi_catalog/salesItemDetails.do?id=106583</v>
      </c>
      <c r="B728" s="2" t="s">
        <v>1850</v>
      </c>
      <c r="C728" s="2" t="s">
        <v>1549</v>
      </c>
      <c r="D728" s="2" t="s">
        <v>1851</v>
      </c>
      <c r="E728" s="2" t="s">
        <v>1657</v>
      </c>
      <c r="F728" s="2" t="s">
        <v>16</v>
      </c>
      <c r="G728" s="2" t="s">
        <v>38</v>
      </c>
      <c r="H728" s="2"/>
      <c r="I728" s="3" t="n">
        <v>36312</v>
      </c>
      <c r="J728" s="2" t="s">
        <v>19</v>
      </c>
      <c r="K728" s="2"/>
      <c r="L728" s="2" t="s">
        <v>518</v>
      </c>
    </row>
    <row r="729" customFormat="false" ht="15.65" hidden="false" customHeight="true" outlineLevel="0" collapsed="false">
      <c r="A729" s="5" t="str">
        <f aca="false">HYPERLINK("https://www.fabsurplus.com/sdi_catalog/salesItemDetails.do?id=109143")</f>
        <v>https://www.fabsurplus.com/sdi_catalog/salesItemDetails.do?id=109143</v>
      </c>
      <c r="B729" s="5" t="s">
        <v>1852</v>
      </c>
      <c r="C729" s="5" t="s">
        <v>1549</v>
      </c>
      <c r="D729" s="5" t="s">
        <v>1731</v>
      </c>
      <c r="E729" s="5" t="s">
        <v>1732</v>
      </c>
      <c r="F729" s="5" t="s">
        <v>16</v>
      </c>
      <c r="G729" s="5" t="s">
        <v>84</v>
      </c>
      <c r="H729" s="5"/>
      <c r="I729" s="5"/>
      <c r="J729" s="5" t="s">
        <v>19</v>
      </c>
      <c r="K729" s="5"/>
      <c r="L729" s="5"/>
    </row>
    <row r="730" customFormat="false" ht="15.65" hidden="false" customHeight="true" outlineLevel="0" collapsed="false">
      <c r="A730" s="2" t="str">
        <f aca="false">HYPERLINK("https://www.fabsurplus.com/sdi_catalog/salesItemDetails.do?id=103512")</f>
        <v>https://www.fabsurplus.com/sdi_catalog/salesItemDetails.do?id=103512</v>
      </c>
      <c r="B730" s="2" t="s">
        <v>1853</v>
      </c>
      <c r="C730" s="2" t="s">
        <v>1549</v>
      </c>
      <c r="D730" s="2" t="s">
        <v>1854</v>
      </c>
      <c r="E730" s="2" t="s">
        <v>1855</v>
      </c>
      <c r="F730" s="2" t="s">
        <v>16</v>
      </c>
      <c r="G730" s="2" t="s">
        <v>61</v>
      </c>
      <c r="H730" s="2"/>
      <c r="I730" s="3" t="n">
        <v>38503.9166666667</v>
      </c>
      <c r="J730" s="2" t="s">
        <v>19</v>
      </c>
      <c r="K730" s="2"/>
      <c r="L730" s="4" t="s">
        <v>1682</v>
      </c>
    </row>
    <row r="731" customFormat="false" ht="15.65" hidden="false" customHeight="true" outlineLevel="0" collapsed="false">
      <c r="A731" s="5" t="str">
        <f aca="false">HYPERLINK("https://www.fabsurplus.com/sdi_catalog/salesItemDetails.do?id=106584")</f>
        <v>https://www.fabsurplus.com/sdi_catalog/salesItemDetails.do?id=106584</v>
      </c>
      <c r="B731" s="5" t="s">
        <v>1856</v>
      </c>
      <c r="C731" s="5" t="s">
        <v>1549</v>
      </c>
      <c r="D731" s="5" t="s">
        <v>1857</v>
      </c>
      <c r="E731" s="5" t="s">
        <v>1858</v>
      </c>
      <c r="F731" s="5" t="s">
        <v>16</v>
      </c>
      <c r="G731" s="5" t="s">
        <v>61</v>
      </c>
      <c r="H731" s="5"/>
      <c r="I731" s="6" t="n">
        <v>39234</v>
      </c>
      <c r="J731" s="5" t="s">
        <v>19</v>
      </c>
      <c r="K731" s="5"/>
      <c r="L731" s="5" t="s">
        <v>518</v>
      </c>
    </row>
    <row r="732" customFormat="false" ht="15.65" hidden="false" customHeight="true" outlineLevel="0" collapsed="false">
      <c r="A732" s="2" t="str">
        <f aca="false">HYPERLINK("https://www.fabsurplus.com/sdi_catalog/salesItemDetails.do?id=109144")</f>
        <v>https://www.fabsurplus.com/sdi_catalog/salesItemDetails.do?id=109144</v>
      </c>
      <c r="B732" s="2" t="s">
        <v>1859</v>
      </c>
      <c r="C732" s="2" t="s">
        <v>1549</v>
      </c>
      <c r="D732" s="2" t="s">
        <v>1743</v>
      </c>
      <c r="E732" s="2" t="s">
        <v>1713</v>
      </c>
      <c r="F732" s="2" t="s">
        <v>16</v>
      </c>
      <c r="G732" s="2" t="s">
        <v>84</v>
      </c>
      <c r="H732" s="2"/>
      <c r="I732" s="2"/>
      <c r="J732" s="2" t="s">
        <v>19</v>
      </c>
      <c r="K732" s="2"/>
      <c r="L732" s="2"/>
    </row>
    <row r="733" customFormat="false" ht="15.65" hidden="false" customHeight="true" outlineLevel="0" collapsed="false">
      <c r="A733" s="5" t="str">
        <f aca="false">HYPERLINK("https://www.fabsurplus.com/sdi_catalog/salesItemDetails.do?id=103513")</f>
        <v>https://www.fabsurplus.com/sdi_catalog/salesItemDetails.do?id=103513</v>
      </c>
      <c r="B733" s="5" t="s">
        <v>1860</v>
      </c>
      <c r="C733" s="5" t="s">
        <v>1549</v>
      </c>
      <c r="D733" s="5" t="s">
        <v>1854</v>
      </c>
      <c r="E733" s="5" t="s">
        <v>1855</v>
      </c>
      <c r="F733" s="5" t="s">
        <v>16</v>
      </c>
      <c r="G733" s="5" t="s">
        <v>61</v>
      </c>
      <c r="H733" s="5" t="s">
        <v>32</v>
      </c>
      <c r="I733" s="6" t="n">
        <v>38838</v>
      </c>
      <c r="J733" s="5" t="s">
        <v>19</v>
      </c>
      <c r="K733" s="5"/>
      <c r="L733" s="7" t="s">
        <v>1682</v>
      </c>
    </row>
    <row r="734" customFormat="false" ht="15.65" hidden="false" customHeight="true" outlineLevel="0" collapsed="false">
      <c r="A734" s="2" t="str">
        <f aca="false">HYPERLINK("https://www.fabsurplus.com/sdi_catalog/salesItemDetails.do?id=106585")</f>
        <v>https://www.fabsurplus.com/sdi_catalog/salesItemDetails.do?id=106585</v>
      </c>
      <c r="B734" s="2" t="s">
        <v>1861</v>
      </c>
      <c r="C734" s="2" t="s">
        <v>1549</v>
      </c>
      <c r="D734" s="2" t="s">
        <v>1862</v>
      </c>
      <c r="E734" s="2" t="s">
        <v>1863</v>
      </c>
      <c r="F734" s="2" t="s">
        <v>16</v>
      </c>
      <c r="G734" s="2" t="s">
        <v>61</v>
      </c>
      <c r="H734" s="2"/>
      <c r="I734" s="2"/>
      <c r="J734" s="2" t="s">
        <v>19</v>
      </c>
      <c r="K734" s="2"/>
      <c r="L734" s="2" t="s">
        <v>518</v>
      </c>
    </row>
    <row r="735" customFormat="false" ht="15.65" hidden="false" customHeight="true" outlineLevel="0" collapsed="false">
      <c r="A735" s="5" t="str">
        <f aca="false">HYPERLINK("https://www.fabsurplus.com/sdi_catalog/salesItemDetails.do?id=109145")</f>
        <v>https://www.fabsurplus.com/sdi_catalog/salesItemDetails.do?id=109145</v>
      </c>
      <c r="B735" s="5" t="s">
        <v>1864</v>
      </c>
      <c r="C735" s="5" t="s">
        <v>1549</v>
      </c>
      <c r="D735" s="5" t="s">
        <v>1743</v>
      </c>
      <c r="E735" s="5" t="s">
        <v>1713</v>
      </c>
      <c r="F735" s="5" t="s">
        <v>16</v>
      </c>
      <c r="G735" s="5" t="s">
        <v>84</v>
      </c>
      <c r="H735" s="5"/>
      <c r="I735" s="5"/>
      <c r="J735" s="5" t="s">
        <v>19</v>
      </c>
      <c r="K735" s="5"/>
      <c r="L735" s="5"/>
    </row>
    <row r="736" customFormat="false" ht="15.65" hidden="false" customHeight="true" outlineLevel="0" collapsed="false">
      <c r="A736" s="2" t="str">
        <f aca="false">HYPERLINK("https://www.fabsurplus.com/sdi_catalog/salesItemDetails.do?id=106586")</f>
        <v>https://www.fabsurplus.com/sdi_catalog/salesItemDetails.do?id=106586</v>
      </c>
      <c r="B736" s="2" t="s">
        <v>1865</v>
      </c>
      <c r="C736" s="2" t="s">
        <v>1549</v>
      </c>
      <c r="D736" s="2" t="s">
        <v>1862</v>
      </c>
      <c r="E736" s="2" t="s">
        <v>1866</v>
      </c>
      <c r="F736" s="2" t="s">
        <v>16</v>
      </c>
      <c r="G736" s="2" t="s">
        <v>61</v>
      </c>
      <c r="H736" s="2"/>
      <c r="I736" s="2"/>
      <c r="J736" s="2" t="s">
        <v>19</v>
      </c>
      <c r="K736" s="2"/>
      <c r="L736" s="2" t="s">
        <v>518</v>
      </c>
    </row>
    <row r="737" customFormat="false" ht="15.65" hidden="false" customHeight="true" outlineLevel="0" collapsed="false">
      <c r="A737" s="5" t="str">
        <f aca="false">HYPERLINK("https://www.fabsurplus.com/sdi_catalog/salesItemDetails.do?id=109146")</f>
        <v>https://www.fabsurplus.com/sdi_catalog/salesItemDetails.do?id=109146</v>
      </c>
      <c r="B737" s="5" t="s">
        <v>1867</v>
      </c>
      <c r="C737" s="5" t="s">
        <v>1549</v>
      </c>
      <c r="D737" s="5" t="s">
        <v>1868</v>
      </c>
      <c r="E737" s="5" t="s">
        <v>1732</v>
      </c>
      <c r="F737" s="5" t="s">
        <v>16</v>
      </c>
      <c r="G737" s="5" t="s">
        <v>84</v>
      </c>
      <c r="H737" s="5"/>
      <c r="I737" s="5"/>
      <c r="J737" s="5" t="s">
        <v>19</v>
      </c>
      <c r="K737" s="5"/>
      <c r="L737" s="5"/>
    </row>
    <row r="738" customFormat="false" ht="15.65" hidden="false" customHeight="true" outlineLevel="0" collapsed="false">
      <c r="A738" s="2" t="str">
        <f aca="false">HYPERLINK("https://www.fabsurplus.com/sdi_catalog/salesItemDetails.do?id=103515")</f>
        <v>https://www.fabsurplus.com/sdi_catalog/salesItemDetails.do?id=103515</v>
      </c>
      <c r="B738" s="2" t="s">
        <v>1869</v>
      </c>
      <c r="C738" s="2" t="s">
        <v>1549</v>
      </c>
      <c r="D738" s="2" t="s">
        <v>1870</v>
      </c>
      <c r="E738" s="2" t="s">
        <v>1871</v>
      </c>
      <c r="F738" s="2" t="s">
        <v>16</v>
      </c>
      <c r="G738" s="2" t="s">
        <v>61</v>
      </c>
      <c r="H738" s="2"/>
      <c r="I738" s="3" t="n">
        <v>38868.9166666667</v>
      </c>
      <c r="J738" s="2" t="s">
        <v>19</v>
      </c>
      <c r="K738" s="2"/>
      <c r="L738" s="4" t="s">
        <v>1682</v>
      </c>
    </row>
    <row r="739" customFormat="false" ht="15.65" hidden="false" customHeight="true" outlineLevel="0" collapsed="false">
      <c r="A739" s="5" t="str">
        <f aca="false">HYPERLINK("https://www.fabsurplus.com/sdi_catalog/salesItemDetails.do?id=106587")</f>
        <v>https://www.fabsurplus.com/sdi_catalog/salesItemDetails.do?id=106587</v>
      </c>
      <c r="B739" s="5" t="s">
        <v>1872</v>
      </c>
      <c r="C739" s="5" t="s">
        <v>1549</v>
      </c>
      <c r="D739" s="5" t="s">
        <v>1805</v>
      </c>
      <c r="E739" s="5" t="s">
        <v>1873</v>
      </c>
      <c r="F739" s="5" t="s">
        <v>16</v>
      </c>
      <c r="G739" s="5" t="s">
        <v>61</v>
      </c>
      <c r="H739" s="5"/>
      <c r="I739" s="6" t="n">
        <v>43617</v>
      </c>
      <c r="J739" s="5" t="s">
        <v>19</v>
      </c>
      <c r="K739" s="5"/>
      <c r="L739" s="5" t="s">
        <v>518</v>
      </c>
    </row>
    <row r="740" customFormat="false" ht="15.65" hidden="false" customHeight="true" outlineLevel="0" collapsed="false">
      <c r="A740" s="2" t="str">
        <f aca="false">HYPERLINK("https://www.fabsurplus.com/sdi_catalog/salesItemDetails.do?id=109147")</f>
        <v>https://www.fabsurplus.com/sdi_catalog/salesItemDetails.do?id=109147</v>
      </c>
      <c r="B740" s="2" t="s">
        <v>1874</v>
      </c>
      <c r="C740" s="2" t="s">
        <v>1549</v>
      </c>
      <c r="D740" s="2" t="s">
        <v>1868</v>
      </c>
      <c r="E740" s="2" t="s">
        <v>1732</v>
      </c>
      <c r="F740" s="2" t="s">
        <v>16</v>
      </c>
      <c r="G740" s="2" t="s">
        <v>84</v>
      </c>
      <c r="H740" s="2"/>
      <c r="I740" s="2"/>
      <c r="J740" s="2" t="s">
        <v>19</v>
      </c>
      <c r="K740" s="2"/>
      <c r="L740" s="2"/>
    </row>
    <row r="741" customFormat="false" ht="15.65" hidden="false" customHeight="true" outlineLevel="0" collapsed="false">
      <c r="A741" s="5" t="str">
        <f aca="false">HYPERLINK("https://www.fabsurplus.com/sdi_catalog/salesItemDetails.do?id=103516")</f>
        <v>https://www.fabsurplus.com/sdi_catalog/salesItemDetails.do?id=103516</v>
      </c>
      <c r="B741" s="5" t="s">
        <v>1875</v>
      </c>
      <c r="C741" s="5" t="s">
        <v>1549</v>
      </c>
      <c r="D741" s="5" t="s">
        <v>1876</v>
      </c>
      <c r="E741" s="5" t="s">
        <v>1877</v>
      </c>
      <c r="F741" s="5" t="s">
        <v>16</v>
      </c>
      <c r="G741" s="5" t="s">
        <v>61</v>
      </c>
      <c r="H741" s="5"/>
      <c r="I741" s="6" t="n">
        <v>38503.9166666667</v>
      </c>
      <c r="J741" s="5" t="s">
        <v>19</v>
      </c>
      <c r="K741" s="5"/>
      <c r="L741" s="7" t="s">
        <v>1682</v>
      </c>
    </row>
    <row r="742" customFormat="false" ht="15.65" hidden="false" customHeight="true" outlineLevel="0" collapsed="false">
      <c r="A742" s="2" t="str">
        <f aca="false">HYPERLINK("https://www.fabsurplus.com/sdi_catalog/salesItemDetails.do?id=106588")</f>
        <v>https://www.fabsurplus.com/sdi_catalog/salesItemDetails.do?id=106588</v>
      </c>
      <c r="B742" s="2" t="s">
        <v>1878</v>
      </c>
      <c r="C742" s="2" t="s">
        <v>1549</v>
      </c>
      <c r="D742" s="2" t="s">
        <v>1862</v>
      </c>
      <c r="E742" s="2" t="s">
        <v>1873</v>
      </c>
      <c r="F742" s="2" t="s">
        <v>16</v>
      </c>
      <c r="G742" s="2" t="s">
        <v>61</v>
      </c>
      <c r="H742" s="2"/>
      <c r="I742" s="3" t="n">
        <v>43617</v>
      </c>
      <c r="J742" s="2" t="s">
        <v>19</v>
      </c>
      <c r="K742" s="2"/>
      <c r="L742" s="2" t="s">
        <v>518</v>
      </c>
    </row>
    <row r="743" customFormat="false" ht="15.65" hidden="false" customHeight="true" outlineLevel="0" collapsed="false">
      <c r="A743" s="5" t="str">
        <f aca="false">HYPERLINK("https://www.fabsurplus.com/sdi_catalog/salesItemDetails.do?id=109148")</f>
        <v>https://www.fabsurplus.com/sdi_catalog/salesItemDetails.do?id=109148</v>
      </c>
      <c r="B743" s="5" t="s">
        <v>1879</v>
      </c>
      <c r="C743" s="5" t="s">
        <v>1549</v>
      </c>
      <c r="D743" s="5" t="s">
        <v>1868</v>
      </c>
      <c r="E743" s="5" t="s">
        <v>1732</v>
      </c>
      <c r="F743" s="5" t="s">
        <v>16</v>
      </c>
      <c r="G743" s="5" t="s">
        <v>84</v>
      </c>
      <c r="H743" s="5"/>
      <c r="I743" s="5"/>
      <c r="J743" s="5" t="s">
        <v>19</v>
      </c>
      <c r="K743" s="5"/>
      <c r="L743" s="5"/>
    </row>
    <row r="744" customFormat="false" ht="15.65" hidden="false" customHeight="true" outlineLevel="0" collapsed="false">
      <c r="A744" s="2" t="str">
        <f aca="false">HYPERLINK("https://www.fabsurplus.com/sdi_catalog/salesItemDetails.do?id=106589")</f>
        <v>https://www.fabsurplus.com/sdi_catalog/salesItemDetails.do?id=106589</v>
      </c>
      <c r="B744" s="2" t="s">
        <v>1880</v>
      </c>
      <c r="C744" s="2" t="s">
        <v>1549</v>
      </c>
      <c r="D744" s="2" t="s">
        <v>1862</v>
      </c>
      <c r="E744" s="2" t="s">
        <v>1873</v>
      </c>
      <c r="F744" s="2" t="s">
        <v>16</v>
      </c>
      <c r="G744" s="2" t="s">
        <v>61</v>
      </c>
      <c r="H744" s="2"/>
      <c r="I744" s="3" t="n">
        <v>43252</v>
      </c>
      <c r="J744" s="2" t="s">
        <v>19</v>
      </c>
      <c r="K744" s="2"/>
      <c r="L744" s="2" t="s">
        <v>518</v>
      </c>
    </row>
    <row r="745" customFormat="false" ht="15.65" hidden="false" customHeight="true" outlineLevel="0" collapsed="false">
      <c r="A745" s="5" t="str">
        <f aca="false">HYPERLINK("https://www.fabsurplus.com/sdi_catalog/salesItemDetails.do?id=109149")</f>
        <v>https://www.fabsurplus.com/sdi_catalog/salesItemDetails.do?id=109149</v>
      </c>
      <c r="B745" s="5" t="s">
        <v>1881</v>
      </c>
      <c r="C745" s="5" t="s">
        <v>1549</v>
      </c>
      <c r="D745" s="5" t="s">
        <v>1882</v>
      </c>
      <c r="E745" s="5" t="s">
        <v>1883</v>
      </c>
      <c r="F745" s="5" t="s">
        <v>16</v>
      </c>
      <c r="G745" s="5" t="s">
        <v>1803</v>
      </c>
      <c r="H745" s="5"/>
      <c r="I745" s="5"/>
      <c r="J745" s="5" t="s">
        <v>19</v>
      </c>
      <c r="K745" s="5"/>
      <c r="L745" s="5"/>
    </row>
    <row r="746" customFormat="false" ht="15.65" hidden="false" customHeight="true" outlineLevel="0" collapsed="false">
      <c r="A746" s="2" t="str">
        <f aca="false">HYPERLINK("https://www.fabsurplus.com/sdi_catalog/salesItemDetails.do?id=106590")</f>
        <v>https://www.fabsurplus.com/sdi_catalog/salesItemDetails.do?id=106590</v>
      </c>
      <c r="B746" s="2" t="s">
        <v>1884</v>
      </c>
      <c r="C746" s="2" t="s">
        <v>1549</v>
      </c>
      <c r="D746" s="2" t="s">
        <v>1862</v>
      </c>
      <c r="E746" s="2" t="s">
        <v>1873</v>
      </c>
      <c r="F746" s="2" t="s">
        <v>16</v>
      </c>
      <c r="G746" s="2" t="s">
        <v>61</v>
      </c>
      <c r="H746" s="2"/>
      <c r="I746" s="3" t="n">
        <v>43252</v>
      </c>
      <c r="J746" s="2" t="s">
        <v>19</v>
      </c>
      <c r="K746" s="2"/>
      <c r="L746" s="2" t="s">
        <v>518</v>
      </c>
    </row>
    <row r="747" customFormat="false" ht="15.65" hidden="false" customHeight="true" outlineLevel="0" collapsed="false">
      <c r="A747" s="5" t="str">
        <f aca="false">HYPERLINK("https://www.fabsurplus.com/sdi_catalog/salesItemDetails.do?id=109150")</f>
        <v>https://www.fabsurplus.com/sdi_catalog/salesItemDetails.do?id=109150</v>
      </c>
      <c r="B747" s="5" t="s">
        <v>1885</v>
      </c>
      <c r="C747" s="5" t="s">
        <v>1549</v>
      </c>
      <c r="D747" s="5" t="s">
        <v>1882</v>
      </c>
      <c r="E747" s="5" t="s">
        <v>1883</v>
      </c>
      <c r="F747" s="5" t="s">
        <v>16</v>
      </c>
      <c r="G747" s="5" t="s">
        <v>1803</v>
      </c>
      <c r="H747" s="5"/>
      <c r="I747" s="5"/>
      <c r="J747" s="5" t="s">
        <v>19</v>
      </c>
      <c r="K747" s="5"/>
      <c r="L747" s="5"/>
    </row>
    <row r="748" customFormat="false" ht="15.65" hidden="false" customHeight="true" outlineLevel="0" collapsed="false">
      <c r="A748" s="2" t="str">
        <f aca="false">HYPERLINK("https://www.fabsurplus.com/sdi_catalog/salesItemDetails.do?id=106591")</f>
        <v>https://www.fabsurplus.com/sdi_catalog/salesItemDetails.do?id=106591</v>
      </c>
      <c r="B748" s="2" t="s">
        <v>1886</v>
      </c>
      <c r="C748" s="2" t="s">
        <v>1549</v>
      </c>
      <c r="D748" s="2" t="s">
        <v>1862</v>
      </c>
      <c r="E748" s="2" t="s">
        <v>1873</v>
      </c>
      <c r="F748" s="2" t="s">
        <v>16</v>
      </c>
      <c r="G748" s="2" t="s">
        <v>61</v>
      </c>
      <c r="H748" s="2"/>
      <c r="I748" s="3" t="n">
        <v>43617</v>
      </c>
      <c r="J748" s="2" t="s">
        <v>19</v>
      </c>
      <c r="K748" s="2"/>
      <c r="L748" s="2" t="s">
        <v>518</v>
      </c>
    </row>
    <row r="749" customFormat="false" ht="15.65" hidden="false" customHeight="true" outlineLevel="0" collapsed="false">
      <c r="A749" s="5" t="str">
        <f aca="false">HYPERLINK("https://www.fabsurplus.com/sdi_catalog/salesItemDetails.do?id=109151")</f>
        <v>https://www.fabsurplus.com/sdi_catalog/salesItemDetails.do?id=109151</v>
      </c>
      <c r="B749" s="5" t="s">
        <v>1887</v>
      </c>
      <c r="C749" s="5" t="s">
        <v>1549</v>
      </c>
      <c r="D749" s="5" t="s">
        <v>1888</v>
      </c>
      <c r="E749" s="5" t="s">
        <v>1763</v>
      </c>
      <c r="F749" s="5" t="s">
        <v>16</v>
      </c>
      <c r="G749" s="5" t="s">
        <v>84</v>
      </c>
      <c r="H749" s="5"/>
      <c r="I749" s="5"/>
      <c r="J749" s="5" t="s">
        <v>19</v>
      </c>
      <c r="K749" s="5"/>
      <c r="L749" s="5"/>
    </row>
    <row r="750" customFormat="false" ht="15.65" hidden="false" customHeight="true" outlineLevel="0" collapsed="false">
      <c r="A750" s="2" t="str">
        <f aca="false">HYPERLINK("https://www.fabsurplus.com/sdi_catalog/salesItemDetails.do?id=106592")</f>
        <v>https://www.fabsurplus.com/sdi_catalog/salesItemDetails.do?id=106592</v>
      </c>
      <c r="B750" s="2" t="s">
        <v>1889</v>
      </c>
      <c r="C750" s="2" t="s">
        <v>1549</v>
      </c>
      <c r="D750" s="2" t="s">
        <v>1805</v>
      </c>
      <c r="E750" s="2" t="s">
        <v>1890</v>
      </c>
      <c r="F750" s="2" t="s">
        <v>16</v>
      </c>
      <c r="G750" s="2" t="s">
        <v>61</v>
      </c>
      <c r="H750" s="2"/>
      <c r="I750" s="3" t="n">
        <v>39234</v>
      </c>
      <c r="J750" s="2" t="s">
        <v>19</v>
      </c>
      <c r="K750" s="2"/>
      <c r="L750" s="2" t="s">
        <v>518</v>
      </c>
    </row>
    <row r="751" customFormat="false" ht="15.65" hidden="false" customHeight="true" outlineLevel="0" collapsed="false">
      <c r="A751" s="5" t="str">
        <f aca="false">HYPERLINK("https://www.fabsurplus.com/sdi_catalog/salesItemDetails.do?id=109152")</f>
        <v>https://www.fabsurplus.com/sdi_catalog/salesItemDetails.do?id=109152</v>
      </c>
      <c r="B751" s="5" t="s">
        <v>1891</v>
      </c>
      <c r="C751" s="5" t="s">
        <v>1549</v>
      </c>
      <c r="D751" s="5" t="s">
        <v>1892</v>
      </c>
      <c r="E751" s="5" t="s">
        <v>1893</v>
      </c>
      <c r="F751" s="5" t="s">
        <v>16</v>
      </c>
      <c r="G751" s="5" t="s">
        <v>84</v>
      </c>
      <c r="H751" s="5"/>
      <c r="I751" s="5"/>
      <c r="J751" s="5" t="s">
        <v>19</v>
      </c>
      <c r="K751" s="5"/>
      <c r="L751" s="5"/>
    </row>
    <row r="752" customFormat="false" ht="15.65" hidden="false" customHeight="true" outlineLevel="0" collapsed="false">
      <c r="A752" s="2" t="str">
        <f aca="false">HYPERLINK("https://www.fabsurplus.com/sdi_catalog/salesItemDetails.do?id=106593")</f>
        <v>https://www.fabsurplus.com/sdi_catalog/salesItemDetails.do?id=106593</v>
      </c>
      <c r="B752" s="2" t="s">
        <v>1894</v>
      </c>
      <c r="C752" s="2" t="s">
        <v>1549</v>
      </c>
      <c r="D752" s="2" t="s">
        <v>1805</v>
      </c>
      <c r="E752" s="2" t="s">
        <v>1895</v>
      </c>
      <c r="F752" s="2" t="s">
        <v>16</v>
      </c>
      <c r="G752" s="2" t="s">
        <v>61</v>
      </c>
      <c r="H752" s="2"/>
      <c r="I752" s="2"/>
      <c r="J752" s="2" t="s">
        <v>19</v>
      </c>
      <c r="K752" s="2"/>
      <c r="L752" s="2" t="s">
        <v>518</v>
      </c>
    </row>
    <row r="753" customFormat="false" ht="15.65" hidden="false" customHeight="true" outlineLevel="0" collapsed="false">
      <c r="A753" s="5" t="str">
        <f aca="false">HYPERLINK("https://www.fabsurplus.com/sdi_catalog/salesItemDetails.do?id=109153")</f>
        <v>https://www.fabsurplus.com/sdi_catalog/salesItemDetails.do?id=109153</v>
      </c>
      <c r="B753" s="5" t="s">
        <v>1896</v>
      </c>
      <c r="C753" s="5" t="s">
        <v>1549</v>
      </c>
      <c r="D753" s="5" t="s">
        <v>1897</v>
      </c>
      <c r="E753" s="5" t="s">
        <v>1898</v>
      </c>
      <c r="F753" s="5" t="s">
        <v>16</v>
      </c>
      <c r="G753" s="5" t="s">
        <v>84</v>
      </c>
      <c r="H753" s="5"/>
      <c r="I753" s="5"/>
      <c r="J753" s="5" t="s">
        <v>19</v>
      </c>
      <c r="K753" s="5"/>
      <c r="L753" s="5"/>
    </row>
    <row r="754" customFormat="false" ht="15.65" hidden="false" customHeight="true" outlineLevel="0" collapsed="false">
      <c r="A754" s="2" t="str">
        <f aca="false">HYPERLINK("https://www.fabsurplus.com/sdi_catalog/salesItemDetails.do?id=106594")</f>
        <v>https://www.fabsurplus.com/sdi_catalog/salesItemDetails.do?id=106594</v>
      </c>
      <c r="B754" s="2" t="s">
        <v>1899</v>
      </c>
      <c r="C754" s="2" t="s">
        <v>1549</v>
      </c>
      <c r="D754" s="2" t="s">
        <v>1805</v>
      </c>
      <c r="E754" s="2" t="s">
        <v>1895</v>
      </c>
      <c r="F754" s="2" t="s">
        <v>16</v>
      </c>
      <c r="G754" s="2" t="s">
        <v>61</v>
      </c>
      <c r="H754" s="2"/>
      <c r="I754" s="2"/>
      <c r="J754" s="2" t="s">
        <v>19</v>
      </c>
      <c r="K754" s="2"/>
      <c r="L754" s="2" t="s">
        <v>518</v>
      </c>
    </row>
    <row r="755" customFormat="false" ht="15.65" hidden="false" customHeight="true" outlineLevel="0" collapsed="false">
      <c r="A755" s="5" t="str">
        <f aca="false">HYPERLINK("https://www.fabsurplus.com/sdi_catalog/salesItemDetails.do?id=109154")</f>
        <v>https://www.fabsurplus.com/sdi_catalog/salesItemDetails.do?id=109154</v>
      </c>
      <c r="B755" s="5" t="s">
        <v>1900</v>
      </c>
      <c r="C755" s="5" t="s">
        <v>1549</v>
      </c>
      <c r="D755" s="5" t="s">
        <v>1901</v>
      </c>
      <c r="E755" s="5" t="s">
        <v>1898</v>
      </c>
      <c r="F755" s="5" t="s">
        <v>16</v>
      </c>
      <c r="G755" s="5" t="s">
        <v>84</v>
      </c>
      <c r="H755" s="5"/>
      <c r="I755" s="5"/>
      <c r="J755" s="5" t="s">
        <v>19</v>
      </c>
      <c r="K755" s="5"/>
      <c r="L755" s="5"/>
    </row>
    <row r="756" customFormat="false" ht="15.65" hidden="false" customHeight="true" outlineLevel="0" collapsed="false">
      <c r="A756" s="2" t="str">
        <f aca="false">HYPERLINK("https://www.fabsurplus.com/sdi_catalog/salesItemDetails.do?id=106595")</f>
        <v>https://www.fabsurplus.com/sdi_catalog/salesItemDetails.do?id=106595</v>
      </c>
      <c r="B756" s="2" t="s">
        <v>1902</v>
      </c>
      <c r="C756" s="2" t="s">
        <v>1549</v>
      </c>
      <c r="D756" s="2" t="s">
        <v>1862</v>
      </c>
      <c r="E756" s="2" t="s">
        <v>1895</v>
      </c>
      <c r="F756" s="2" t="s">
        <v>16</v>
      </c>
      <c r="G756" s="2" t="s">
        <v>61</v>
      </c>
      <c r="H756" s="2"/>
      <c r="I756" s="2"/>
      <c r="J756" s="2" t="s">
        <v>19</v>
      </c>
      <c r="K756" s="2"/>
      <c r="L756" s="2" t="s">
        <v>518</v>
      </c>
    </row>
    <row r="757" customFormat="false" ht="15.65" hidden="false" customHeight="true" outlineLevel="0" collapsed="false">
      <c r="A757" s="5" t="str">
        <f aca="false">HYPERLINK("https://www.fabsurplus.com/sdi_catalog/salesItemDetails.do?id=106596")</f>
        <v>https://www.fabsurplus.com/sdi_catalog/salesItemDetails.do?id=106596</v>
      </c>
      <c r="B757" s="5" t="s">
        <v>1903</v>
      </c>
      <c r="C757" s="5" t="s">
        <v>1549</v>
      </c>
      <c r="D757" s="5" t="s">
        <v>1862</v>
      </c>
      <c r="E757" s="5" t="s">
        <v>1895</v>
      </c>
      <c r="F757" s="5" t="s">
        <v>16</v>
      </c>
      <c r="G757" s="5" t="s">
        <v>61</v>
      </c>
      <c r="H757" s="5"/>
      <c r="I757" s="5"/>
      <c r="J757" s="5" t="s">
        <v>19</v>
      </c>
      <c r="K757" s="5"/>
      <c r="L757" s="5" t="s">
        <v>518</v>
      </c>
    </row>
    <row r="758" customFormat="false" ht="15.65" hidden="false" customHeight="true" outlineLevel="0" collapsed="false">
      <c r="A758" s="2" t="str">
        <f aca="false">HYPERLINK("https://www.fabsurplus.com/sdi_catalog/salesItemDetails.do?id=106597")</f>
        <v>https://www.fabsurplus.com/sdi_catalog/salesItemDetails.do?id=106597</v>
      </c>
      <c r="B758" s="2" t="s">
        <v>1904</v>
      </c>
      <c r="C758" s="2" t="s">
        <v>1549</v>
      </c>
      <c r="D758" s="2" t="s">
        <v>1862</v>
      </c>
      <c r="E758" s="2" t="s">
        <v>1895</v>
      </c>
      <c r="F758" s="2" t="s">
        <v>16</v>
      </c>
      <c r="G758" s="2" t="s">
        <v>61</v>
      </c>
      <c r="H758" s="2"/>
      <c r="I758" s="2"/>
      <c r="J758" s="2" t="s">
        <v>19</v>
      </c>
      <c r="K758" s="2"/>
      <c r="L758" s="2" t="s">
        <v>518</v>
      </c>
    </row>
    <row r="759" customFormat="false" ht="15.65" hidden="false" customHeight="true" outlineLevel="0" collapsed="false">
      <c r="A759" s="5" t="str">
        <f aca="false">HYPERLINK("https://www.fabsurplus.com/sdi_catalog/salesItemDetails.do?id=108133")</f>
        <v>https://www.fabsurplus.com/sdi_catalog/salesItemDetails.do?id=108133</v>
      </c>
      <c r="B759" s="5" t="s">
        <v>1905</v>
      </c>
      <c r="C759" s="5" t="s">
        <v>1549</v>
      </c>
      <c r="D759" s="5" t="s">
        <v>1845</v>
      </c>
      <c r="E759" s="5" t="s">
        <v>1598</v>
      </c>
      <c r="F759" s="5" t="s">
        <v>16</v>
      </c>
      <c r="G759" s="5" t="s">
        <v>38</v>
      </c>
      <c r="H759" s="5"/>
      <c r="I759" s="6" t="n">
        <v>36678</v>
      </c>
      <c r="J759" s="5" t="s">
        <v>19</v>
      </c>
      <c r="K759" s="5"/>
      <c r="L759" s="5" t="s">
        <v>1480</v>
      </c>
    </row>
    <row r="760" customFormat="false" ht="15.65" hidden="false" customHeight="true" outlineLevel="0" collapsed="false">
      <c r="A760" s="2" t="str">
        <f aca="false">HYPERLINK("https://www.fabsurplus.com/sdi_catalog/salesItemDetails.do?id=106598")</f>
        <v>https://www.fabsurplus.com/sdi_catalog/salesItemDetails.do?id=106598</v>
      </c>
      <c r="B760" s="2" t="s">
        <v>1906</v>
      </c>
      <c r="C760" s="2" t="s">
        <v>1549</v>
      </c>
      <c r="D760" s="2" t="s">
        <v>1862</v>
      </c>
      <c r="E760" s="2" t="s">
        <v>1895</v>
      </c>
      <c r="F760" s="2" t="s">
        <v>16</v>
      </c>
      <c r="G760" s="2" t="s">
        <v>61</v>
      </c>
      <c r="H760" s="2"/>
      <c r="I760" s="2"/>
      <c r="J760" s="2" t="s">
        <v>19</v>
      </c>
      <c r="K760" s="2"/>
      <c r="L760" s="2" t="s">
        <v>518</v>
      </c>
    </row>
    <row r="761" customFormat="false" ht="15.65" hidden="false" customHeight="true" outlineLevel="0" collapsed="false">
      <c r="A761" s="5" t="str">
        <f aca="false">HYPERLINK("https://www.fabsurplus.com/sdi_catalog/salesItemDetails.do?id=108134")</f>
        <v>https://www.fabsurplus.com/sdi_catalog/salesItemDetails.do?id=108134</v>
      </c>
      <c r="B761" s="5" t="s">
        <v>1907</v>
      </c>
      <c r="C761" s="5" t="s">
        <v>1549</v>
      </c>
      <c r="D761" s="5" t="s">
        <v>1908</v>
      </c>
      <c r="E761" s="5" t="s">
        <v>1909</v>
      </c>
      <c r="F761" s="5" t="s">
        <v>16</v>
      </c>
      <c r="G761" s="5" t="s">
        <v>61</v>
      </c>
      <c r="H761" s="5"/>
      <c r="I761" s="5"/>
      <c r="J761" s="5" t="s">
        <v>19</v>
      </c>
      <c r="K761" s="5"/>
      <c r="L761" s="5" t="s">
        <v>1480</v>
      </c>
    </row>
    <row r="762" customFormat="false" ht="15.65" hidden="false" customHeight="true" outlineLevel="0" collapsed="false">
      <c r="A762" s="2" t="str">
        <f aca="false">HYPERLINK("https://www.fabsurplus.com/sdi_catalog/salesItemDetails.do?id=106599")</f>
        <v>https://www.fabsurplus.com/sdi_catalog/salesItemDetails.do?id=106599</v>
      </c>
      <c r="B762" s="2" t="s">
        <v>1910</v>
      </c>
      <c r="C762" s="2" t="s">
        <v>1549</v>
      </c>
      <c r="D762" s="2" t="s">
        <v>1805</v>
      </c>
      <c r="E762" s="2" t="s">
        <v>1911</v>
      </c>
      <c r="F762" s="2" t="s">
        <v>16</v>
      </c>
      <c r="G762" s="2" t="s">
        <v>61</v>
      </c>
      <c r="H762" s="2" t="s">
        <v>18</v>
      </c>
      <c r="I762" s="2"/>
      <c r="J762" s="2" t="s">
        <v>19</v>
      </c>
      <c r="K762" s="2" t="s">
        <v>20</v>
      </c>
      <c r="L762" s="4" t="s">
        <v>1912</v>
      </c>
    </row>
    <row r="763" customFormat="false" ht="15.65" hidden="false" customHeight="true" outlineLevel="0" collapsed="false">
      <c r="A763" s="5" t="str">
        <f aca="false">HYPERLINK("https://www.fabsurplus.com/sdi_catalog/salesItemDetails.do?id=108135")</f>
        <v>https://www.fabsurplus.com/sdi_catalog/salesItemDetails.do?id=108135</v>
      </c>
      <c r="B763" s="5" t="s">
        <v>1913</v>
      </c>
      <c r="C763" s="5" t="s">
        <v>1549</v>
      </c>
      <c r="D763" s="5" t="s">
        <v>1908</v>
      </c>
      <c r="E763" s="5" t="s">
        <v>1909</v>
      </c>
      <c r="F763" s="5" t="s">
        <v>16</v>
      </c>
      <c r="G763" s="5" t="s">
        <v>61</v>
      </c>
      <c r="H763" s="5"/>
      <c r="I763" s="5"/>
      <c r="J763" s="5" t="s">
        <v>19</v>
      </c>
      <c r="K763" s="5"/>
      <c r="L763" s="5" t="s">
        <v>1480</v>
      </c>
    </row>
    <row r="764" customFormat="false" ht="15.65" hidden="false" customHeight="true" outlineLevel="0" collapsed="false">
      <c r="A764" s="2" t="str">
        <f aca="false">HYPERLINK("https://www.fabsurplus.com/sdi_catalog/salesItemDetails.do?id=93032")</f>
        <v>https://www.fabsurplus.com/sdi_catalog/salesItemDetails.do?id=93032</v>
      </c>
      <c r="B764" s="2" t="s">
        <v>1914</v>
      </c>
      <c r="C764" s="2" t="s">
        <v>1549</v>
      </c>
      <c r="D764" s="2" t="s">
        <v>1915</v>
      </c>
      <c r="E764" s="2" t="s">
        <v>1916</v>
      </c>
      <c r="F764" s="2" t="s">
        <v>16</v>
      </c>
      <c r="G764" s="2" t="s">
        <v>1287</v>
      </c>
      <c r="H764" s="2" t="s">
        <v>32</v>
      </c>
      <c r="I764" s="3" t="n">
        <v>40299</v>
      </c>
      <c r="J764" s="2" t="s">
        <v>19</v>
      </c>
      <c r="K764" s="2" t="s">
        <v>20</v>
      </c>
      <c r="L764" s="2" t="s">
        <v>142</v>
      </c>
    </row>
    <row r="765" customFormat="false" ht="15.65" hidden="false" customHeight="true" outlineLevel="0" collapsed="false">
      <c r="A765" s="5" t="str">
        <f aca="false">HYPERLINK("https://www.fabsurplus.com/sdi_catalog/salesItemDetails.do?id=106600")</f>
        <v>https://www.fabsurplus.com/sdi_catalog/salesItemDetails.do?id=106600</v>
      </c>
      <c r="B765" s="5" t="s">
        <v>1917</v>
      </c>
      <c r="C765" s="5" t="s">
        <v>1549</v>
      </c>
      <c r="D765" s="5" t="s">
        <v>1918</v>
      </c>
      <c r="E765" s="5" t="s">
        <v>1919</v>
      </c>
      <c r="F765" s="5" t="s">
        <v>16</v>
      </c>
      <c r="G765" s="5" t="s">
        <v>61</v>
      </c>
      <c r="H765" s="5"/>
      <c r="I765" s="6" t="n">
        <v>37408</v>
      </c>
      <c r="J765" s="5" t="s">
        <v>19</v>
      </c>
      <c r="K765" s="5"/>
      <c r="L765" s="5" t="s">
        <v>518</v>
      </c>
    </row>
    <row r="766" customFormat="false" ht="15.65" hidden="false" customHeight="true" outlineLevel="0" collapsed="false">
      <c r="A766" s="2" t="str">
        <f aca="false">HYPERLINK("https://www.fabsurplus.com/sdi_catalog/salesItemDetails.do?id=108136")</f>
        <v>https://www.fabsurplus.com/sdi_catalog/salesItemDetails.do?id=108136</v>
      </c>
      <c r="B766" s="2" t="s">
        <v>1920</v>
      </c>
      <c r="C766" s="2" t="s">
        <v>1549</v>
      </c>
      <c r="D766" s="2" t="s">
        <v>1908</v>
      </c>
      <c r="E766" s="2" t="s">
        <v>1921</v>
      </c>
      <c r="F766" s="2" t="s">
        <v>16</v>
      </c>
      <c r="G766" s="2" t="s">
        <v>61</v>
      </c>
      <c r="H766" s="2"/>
      <c r="I766" s="2"/>
      <c r="J766" s="2" t="s">
        <v>19</v>
      </c>
      <c r="K766" s="2"/>
      <c r="L766" s="2" t="s">
        <v>1480</v>
      </c>
    </row>
    <row r="767" customFormat="false" ht="15.65" hidden="false" customHeight="true" outlineLevel="0" collapsed="false">
      <c r="A767" s="5" t="str">
        <f aca="false">HYPERLINK("https://www.fabsurplus.com/sdi_catalog/salesItemDetails.do?id=106601")</f>
        <v>https://www.fabsurplus.com/sdi_catalog/salesItemDetails.do?id=106601</v>
      </c>
      <c r="B767" s="5" t="s">
        <v>1922</v>
      </c>
      <c r="C767" s="5" t="s">
        <v>1549</v>
      </c>
      <c r="D767" s="5" t="s">
        <v>1918</v>
      </c>
      <c r="E767" s="5" t="s">
        <v>1919</v>
      </c>
      <c r="F767" s="5" t="s">
        <v>16</v>
      </c>
      <c r="G767" s="5" t="s">
        <v>61</v>
      </c>
      <c r="H767" s="5"/>
      <c r="I767" s="6" t="n">
        <v>37408</v>
      </c>
      <c r="J767" s="5" t="s">
        <v>19</v>
      </c>
      <c r="K767" s="5"/>
      <c r="L767" s="5" t="s">
        <v>518</v>
      </c>
    </row>
    <row r="768" customFormat="false" ht="15.65" hidden="false" customHeight="true" outlineLevel="0" collapsed="false">
      <c r="A768" s="2" t="str">
        <f aca="false">HYPERLINK("https://www.fabsurplus.com/sdi_catalog/salesItemDetails.do?id=108137")</f>
        <v>https://www.fabsurplus.com/sdi_catalog/salesItemDetails.do?id=108137</v>
      </c>
      <c r="B768" s="2" t="s">
        <v>1923</v>
      </c>
      <c r="C768" s="2" t="s">
        <v>1549</v>
      </c>
      <c r="D768" s="2" t="s">
        <v>1908</v>
      </c>
      <c r="E768" s="2" t="s">
        <v>1921</v>
      </c>
      <c r="F768" s="2" t="s">
        <v>16</v>
      </c>
      <c r="G768" s="2" t="s">
        <v>61</v>
      </c>
      <c r="H768" s="2"/>
      <c r="I768" s="2"/>
      <c r="J768" s="2" t="s">
        <v>19</v>
      </c>
      <c r="K768" s="2"/>
      <c r="L768" s="2" t="s">
        <v>1480</v>
      </c>
    </row>
    <row r="769" customFormat="false" ht="15.65" hidden="false" customHeight="true" outlineLevel="0" collapsed="false">
      <c r="A769" s="5" t="str">
        <f aca="false">HYPERLINK("https://www.fabsurplus.com/sdi_catalog/salesItemDetails.do?id=93034")</f>
        <v>https://www.fabsurplus.com/sdi_catalog/salesItemDetails.do?id=93034</v>
      </c>
      <c r="B769" s="5" t="s">
        <v>1924</v>
      </c>
      <c r="C769" s="5" t="s">
        <v>1549</v>
      </c>
      <c r="D769" s="5" t="s">
        <v>1925</v>
      </c>
      <c r="E769" s="5" t="s">
        <v>1926</v>
      </c>
      <c r="F769" s="5" t="s">
        <v>16</v>
      </c>
      <c r="G769" s="5" t="s">
        <v>1287</v>
      </c>
      <c r="H769" s="5"/>
      <c r="I769" s="6" t="n">
        <v>39233.9166666667</v>
      </c>
      <c r="J769" s="5" t="s">
        <v>19</v>
      </c>
      <c r="K769" s="5"/>
      <c r="L769" s="5" t="s">
        <v>142</v>
      </c>
    </row>
    <row r="770" customFormat="false" ht="15.65" hidden="false" customHeight="true" outlineLevel="0" collapsed="false">
      <c r="A770" s="2" t="str">
        <f aca="false">HYPERLINK("https://www.fabsurplus.com/sdi_catalog/salesItemDetails.do?id=106602")</f>
        <v>https://www.fabsurplus.com/sdi_catalog/salesItemDetails.do?id=106602</v>
      </c>
      <c r="B770" s="2" t="s">
        <v>1927</v>
      </c>
      <c r="C770" s="2" t="s">
        <v>1549</v>
      </c>
      <c r="D770" s="2" t="s">
        <v>1918</v>
      </c>
      <c r="E770" s="2" t="s">
        <v>1928</v>
      </c>
      <c r="F770" s="2" t="s">
        <v>16</v>
      </c>
      <c r="G770" s="2" t="s">
        <v>61</v>
      </c>
      <c r="H770" s="2"/>
      <c r="I770" s="2"/>
      <c r="J770" s="2" t="s">
        <v>19</v>
      </c>
      <c r="K770" s="2"/>
      <c r="L770" s="2" t="s">
        <v>518</v>
      </c>
    </row>
    <row r="771" customFormat="false" ht="15.65" hidden="false" customHeight="true" outlineLevel="0" collapsed="false">
      <c r="A771" s="5" t="str">
        <f aca="false">HYPERLINK("https://www.fabsurplus.com/sdi_catalog/salesItemDetails.do?id=108138")</f>
        <v>https://www.fabsurplus.com/sdi_catalog/salesItemDetails.do?id=108138</v>
      </c>
      <c r="B771" s="5" t="s">
        <v>1929</v>
      </c>
      <c r="C771" s="5" t="s">
        <v>1549</v>
      </c>
      <c r="D771" s="5" t="s">
        <v>1908</v>
      </c>
      <c r="E771" s="5" t="s">
        <v>1930</v>
      </c>
      <c r="F771" s="5" t="s">
        <v>16</v>
      </c>
      <c r="G771" s="5" t="s">
        <v>61</v>
      </c>
      <c r="H771" s="5"/>
      <c r="I771" s="6" t="n">
        <v>43617</v>
      </c>
      <c r="J771" s="5" t="s">
        <v>19</v>
      </c>
      <c r="K771" s="5"/>
      <c r="L771" s="5" t="s">
        <v>1480</v>
      </c>
    </row>
    <row r="772" customFormat="false" ht="15.65" hidden="false" customHeight="true" outlineLevel="0" collapsed="false">
      <c r="A772" s="2" t="str">
        <f aca="false">HYPERLINK("https://www.fabsurplus.com/sdi_catalog/salesItemDetails.do?id=93035")</f>
        <v>https://www.fabsurplus.com/sdi_catalog/salesItemDetails.do?id=93035</v>
      </c>
      <c r="B772" s="2" t="s">
        <v>1931</v>
      </c>
      <c r="C772" s="2" t="s">
        <v>1549</v>
      </c>
      <c r="D772" s="2" t="s">
        <v>1932</v>
      </c>
      <c r="E772" s="2" t="s">
        <v>1926</v>
      </c>
      <c r="F772" s="2" t="s">
        <v>16</v>
      </c>
      <c r="G772" s="2" t="s">
        <v>1287</v>
      </c>
      <c r="H772" s="2"/>
      <c r="I772" s="3" t="n">
        <v>40329.9166666667</v>
      </c>
      <c r="J772" s="2" t="s">
        <v>19</v>
      </c>
      <c r="K772" s="2"/>
      <c r="L772" s="2" t="s">
        <v>142</v>
      </c>
    </row>
    <row r="773" customFormat="false" ht="15.65" hidden="false" customHeight="true" outlineLevel="0" collapsed="false">
      <c r="A773" s="5" t="str">
        <f aca="false">HYPERLINK("https://www.fabsurplus.com/sdi_catalog/salesItemDetails.do?id=106603")</f>
        <v>https://www.fabsurplus.com/sdi_catalog/salesItemDetails.do?id=106603</v>
      </c>
      <c r="B773" s="5" t="s">
        <v>1933</v>
      </c>
      <c r="C773" s="5" t="s">
        <v>1549</v>
      </c>
      <c r="D773" s="5" t="s">
        <v>1918</v>
      </c>
      <c r="E773" s="5" t="s">
        <v>1928</v>
      </c>
      <c r="F773" s="5" t="s">
        <v>16</v>
      </c>
      <c r="G773" s="5" t="s">
        <v>61</v>
      </c>
      <c r="H773" s="5"/>
      <c r="I773" s="5"/>
      <c r="J773" s="5" t="s">
        <v>19</v>
      </c>
      <c r="K773" s="5"/>
      <c r="L773" s="5" t="s">
        <v>518</v>
      </c>
    </row>
    <row r="774" customFormat="false" ht="15.65" hidden="false" customHeight="true" outlineLevel="0" collapsed="false">
      <c r="A774" s="2" t="str">
        <f aca="false">HYPERLINK("https://www.fabsurplus.com/sdi_catalog/salesItemDetails.do?id=108139")</f>
        <v>https://www.fabsurplus.com/sdi_catalog/salesItemDetails.do?id=108139</v>
      </c>
      <c r="B774" s="2" t="s">
        <v>1934</v>
      </c>
      <c r="C774" s="2" t="s">
        <v>1549</v>
      </c>
      <c r="D774" s="2" t="s">
        <v>1574</v>
      </c>
      <c r="E774" s="2" t="s">
        <v>1935</v>
      </c>
      <c r="F774" s="2" t="s">
        <v>16</v>
      </c>
      <c r="G774" s="2" t="s">
        <v>61</v>
      </c>
      <c r="H774" s="2"/>
      <c r="I774" s="3" t="n">
        <v>37408</v>
      </c>
      <c r="J774" s="2" t="s">
        <v>19</v>
      </c>
      <c r="K774" s="2"/>
      <c r="L774" s="2" t="s">
        <v>1936</v>
      </c>
    </row>
    <row r="775" customFormat="false" ht="15.65" hidden="false" customHeight="true" outlineLevel="0" collapsed="false">
      <c r="A775" s="5" t="str">
        <f aca="false">HYPERLINK("https://www.fabsurplus.com/sdi_catalog/salesItemDetails.do?id=93036")</f>
        <v>https://www.fabsurplus.com/sdi_catalog/salesItemDetails.do?id=93036</v>
      </c>
      <c r="B775" s="5" t="s">
        <v>1937</v>
      </c>
      <c r="C775" s="5" t="s">
        <v>1549</v>
      </c>
      <c r="D775" s="5" t="s">
        <v>1938</v>
      </c>
      <c r="E775" s="5" t="s">
        <v>1939</v>
      </c>
      <c r="F775" s="5" t="s">
        <v>16</v>
      </c>
      <c r="G775" s="5" t="s">
        <v>38</v>
      </c>
      <c r="H775" s="5"/>
      <c r="I775" s="5"/>
      <c r="J775" s="5" t="s">
        <v>19</v>
      </c>
      <c r="K775" s="5"/>
      <c r="L775" s="5" t="s">
        <v>1940</v>
      </c>
    </row>
    <row r="776" customFormat="false" ht="15.65" hidden="false" customHeight="true" outlineLevel="0" collapsed="false">
      <c r="A776" s="2" t="str">
        <f aca="false">HYPERLINK("https://www.fabsurplus.com/sdi_catalog/salesItemDetails.do?id=106604")</f>
        <v>https://www.fabsurplus.com/sdi_catalog/salesItemDetails.do?id=106604</v>
      </c>
      <c r="B776" s="2" t="s">
        <v>1941</v>
      </c>
      <c r="C776" s="2" t="s">
        <v>1549</v>
      </c>
      <c r="D776" s="2" t="s">
        <v>1918</v>
      </c>
      <c r="E776" s="2" t="s">
        <v>1928</v>
      </c>
      <c r="F776" s="2" t="s">
        <v>16</v>
      </c>
      <c r="G776" s="2" t="s">
        <v>61</v>
      </c>
      <c r="H776" s="2"/>
      <c r="I776" s="2"/>
      <c r="J776" s="2" t="s">
        <v>19</v>
      </c>
      <c r="K776" s="2"/>
      <c r="L776" s="2" t="s">
        <v>518</v>
      </c>
    </row>
    <row r="777" customFormat="false" ht="15.65" hidden="false" customHeight="true" outlineLevel="0" collapsed="false">
      <c r="A777" s="5" t="str">
        <f aca="false">HYPERLINK("https://www.fabsurplus.com/sdi_catalog/salesItemDetails.do?id=108140")</f>
        <v>https://www.fabsurplus.com/sdi_catalog/salesItemDetails.do?id=108140</v>
      </c>
      <c r="B777" s="5" t="s">
        <v>1942</v>
      </c>
      <c r="C777" s="5" t="s">
        <v>1549</v>
      </c>
      <c r="D777" s="5" t="s">
        <v>1574</v>
      </c>
      <c r="E777" s="5"/>
      <c r="F777" s="5" t="s">
        <v>16</v>
      </c>
      <c r="G777" s="5" t="s">
        <v>61</v>
      </c>
      <c r="H777" s="5"/>
      <c r="I777" s="5"/>
      <c r="J777" s="5" t="s">
        <v>19</v>
      </c>
      <c r="K777" s="5"/>
      <c r="L777" s="5" t="s">
        <v>1936</v>
      </c>
    </row>
    <row r="778" customFormat="false" ht="15.65" hidden="false" customHeight="true" outlineLevel="0" collapsed="false">
      <c r="A778" s="2" t="str">
        <f aca="false">HYPERLINK("https://www.fabsurplus.com/sdi_catalog/salesItemDetails.do?id=106605")</f>
        <v>https://www.fabsurplus.com/sdi_catalog/salesItemDetails.do?id=106605</v>
      </c>
      <c r="B778" s="2" t="s">
        <v>1943</v>
      </c>
      <c r="C778" s="2" t="s">
        <v>1549</v>
      </c>
      <c r="D778" s="2" t="s">
        <v>1918</v>
      </c>
      <c r="E778" s="2" t="s">
        <v>1928</v>
      </c>
      <c r="F778" s="2" t="s">
        <v>16</v>
      </c>
      <c r="G778" s="2" t="s">
        <v>61</v>
      </c>
      <c r="H778" s="2"/>
      <c r="I778" s="2"/>
      <c r="J778" s="2" t="s">
        <v>19</v>
      </c>
      <c r="K778" s="2"/>
      <c r="L778" s="2" t="s">
        <v>518</v>
      </c>
    </row>
    <row r="779" customFormat="false" ht="15.65" hidden="false" customHeight="true" outlineLevel="0" collapsed="false">
      <c r="A779" s="5" t="str">
        <f aca="false">HYPERLINK("https://www.fabsurplus.com/sdi_catalog/salesItemDetails.do?id=108141")</f>
        <v>https://www.fabsurplus.com/sdi_catalog/salesItemDetails.do?id=108141</v>
      </c>
      <c r="B779" s="5" t="s">
        <v>1944</v>
      </c>
      <c r="C779" s="5" t="s">
        <v>1549</v>
      </c>
      <c r="D779" s="5" t="s">
        <v>1918</v>
      </c>
      <c r="E779" s="5" t="s">
        <v>1945</v>
      </c>
      <c r="F779" s="5" t="s">
        <v>16</v>
      </c>
      <c r="G779" s="5" t="s">
        <v>61</v>
      </c>
      <c r="H779" s="5"/>
      <c r="I779" s="5"/>
      <c r="J779" s="5" t="s">
        <v>19</v>
      </c>
      <c r="K779" s="5"/>
      <c r="L779" s="5" t="s">
        <v>1480</v>
      </c>
    </row>
    <row r="780" customFormat="false" ht="15.65" hidden="false" customHeight="true" outlineLevel="0" collapsed="false">
      <c r="A780" s="2" t="str">
        <f aca="false">HYPERLINK("https://www.fabsurplus.com/sdi_catalog/salesItemDetails.do?id=106606")</f>
        <v>https://www.fabsurplus.com/sdi_catalog/salesItemDetails.do?id=106606</v>
      </c>
      <c r="B780" s="2" t="s">
        <v>1946</v>
      </c>
      <c r="C780" s="2" t="s">
        <v>1549</v>
      </c>
      <c r="D780" s="2" t="s">
        <v>1918</v>
      </c>
      <c r="E780" s="2" t="s">
        <v>1928</v>
      </c>
      <c r="F780" s="2" t="s">
        <v>16</v>
      </c>
      <c r="G780" s="2" t="s">
        <v>61</v>
      </c>
      <c r="H780" s="2"/>
      <c r="I780" s="2"/>
      <c r="J780" s="2" t="s">
        <v>19</v>
      </c>
      <c r="K780" s="2"/>
      <c r="L780" s="2" t="s">
        <v>518</v>
      </c>
    </row>
    <row r="781" customFormat="false" ht="15.65" hidden="false" customHeight="true" outlineLevel="0" collapsed="false">
      <c r="A781" s="5" t="str">
        <f aca="false">HYPERLINK("https://www.fabsurplus.com/sdi_catalog/salesItemDetails.do?id=108142")</f>
        <v>https://www.fabsurplus.com/sdi_catalog/salesItemDetails.do?id=108142</v>
      </c>
      <c r="B781" s="5" t="s">
        <v>1947</v>
      </c>
      <c r="C781" s="5" t="s">
        <v>1549</v>
      </c>
      <c r="D781" s="5" t="s">
        <v>1948</v>
      </c>
      <c r="E781" s="5" t="s">
        <v>1949</v>
      </c>
      <c r="F781" s="5" t="s">
        <v>16</v>
      </c>
      <c r="G781" s="5" t="s">
        <v>61</v>
      </c>
      <c r="H781" s="5"/>
      <c r="I781" s="5"/>
      <c r="J781" s="5" t="s">
        <v>19</v>
      </c>
      <c r="K781" s="5"/>
      <c r="L781" s="5" t="s">
        <v>1950</v>
      </c>
    </row>
    <row r="782" customFormat="false" ht="15.65" hidden="false" customHeight="true" outlineLevel="0" collapsed="false">
      <c r="A782" s="2" t="str">
        <f aca="false">HYPERLINK("https://www.fabsurplus.com/sdi_catalog/salesItemDetails.do?id=106607")</f>
        <v>https://www.fabsurplus.com/sdi_catalog/salesItemDetails.do?id=106607</v>
      </c>
      <c r="B782" s="2" t="s">
        <v>1951</v>
      </c>
      <c r="C782" s="2" t="s">
        <v>1549</v>
      </c>
      <c r="D782" s="2" t="s">
        <v>1918</v>
      </c>
      <c r="E782" s="2" t="s">
        <v>1952</v>
      </c>
      <c r="F782" s="2" t="s">
        <v>16</v>
      </c>
      <c r="G782" s="2" t="s">
        <v>61</v>
      </c>
      <c r="H782" s="2"/>
      <c r="I782" s="2"/>
      <c r="J782" s="2" t="s">
        <v>19</v>
      </c>
      <c r="K782" s="2"/>
      <c r="L782" s="2" t="s">
        <v>518</v>
      </c>
    </row>
    <row r="783" customFormat="false" ht="15.65" hidden="false" customHeight="true" outlineLevel="0" collapsed="false">
      <c r="A783" s="5" t="str">
        <f aca="false">HYPERLINK("https://www.fabsurplus.com/sdi_catalog/salesItemDetails.do?id=108143")</f>
        <v>https://www.fabsurplus.com/sdi_catalog/salesItemDetails.do?id=108143</v>
      </c>
      <c r="B783" s="5" t="s">
        <v>1953</v>
      </c>
      <c r="C783" s="5" t="s">
        <v>1549</v>
      </c>
      <c r="D783" s="5" t="s">
        <v>1419</v>
      </c>
      <c r="E783" s="5" t="s">
        <v>1954</v>
      </c>
      <c r="F783" s="5" t="s">
        <v>16</v>
      </c>
      <c r="G783" s="5" t="s">
        <v>1293</v>
      </c>
      <c r="H783" s="5"/>
      <c r="I783" s="5"/>
      <c r="J783" s="5" t="s">
        <v>19</v>
      </c>
      <c r="K783" s="5"/>
      <c r="L783" s="5" t="s">
        <v>1480</v>
      </c>
    </row>
    <row r="784" customFormat="false" ht="15.65" hidden="false" customHeight="true" outlineLevel="0" collapsed="false">
      <c r="A784" s="2" t="str">
        <f aca="false">HYPERLINK("https://www.fabsurplus.com/sdi_catalog/salesItemDetails.do?id=106608")</f>
        <v>https://www.fabsurplus.com/sdi_catalog/salesItemDetails.do?id=106608</v>
      </c>
      <c r="B784" s="2" t="s">
        <v>1955</v>
      </c>
      <c r="C784" s="2" t="s">
        <v>1549</v>
      </c>
      <c r="D784" s="2" t="s">
        <v>1918</v>
      </c>
      <c r="E784" s="2" t="s">
        <v>1952</v>
      </c>
      <c r="F784" s="2" t="s">
        <v>16</v>
      </c>
      <c r="G784" s="2" t="s">
        <v>61</v>
      </c>
      <c r="H784" s="2"/>
      <c r="I784" s="2"/>
      <c r="J784" s="2" t="s">
        <v>19</v>
      </c>
      <c r="K784" s="2"/>
      <c r="L784" s="2" t="s">
        <v>518</v>
      </c>
    </row>
    <row r="785" customFormat="false" ht="15.65" hidden="false" customHeight="true" outlineLevel="0" collapsed="false">
      <c r="A785" s="5" t="str">
        <f aca="false">HYPERLINK("https://www.fabsurplus.com/sdi_catalog/salesItemDetails.do?id=108144")</f>
        <v>https://www.fabsurplus.com/sdi_catalog/salesItemDetails.do?id=108144</v>
      </c>
      <c r="B785" s="5" t="s">
        <v>1956</v>
      </c>
      <c r="C785" s="5" t="s">
        <v>1549</v>
      </c>
      <c r="D785" s="5" t="s">
        <v>1419</v>
      </c>
      <c r="E785" s="5" t="s">
        <v>1957</v>
      </c>
      <c r="F785" s="5" t="s">
        <v>16</v>
      </c>
      <c r="G785" s="5" t="s">
        <v>1293</v>
      </c>
      <c r="H785" s="5"/>
      <c r="I785" s="5"/>
      <c r="J785" s="5" t="s">
        <v>19</v>
      </c>
      <c r="K785" s="5"/>
      <c r="L785" s="5" t="s">
        <v>1480</v>
      </c>
    </row>
    <row r="786" customFormat="false" ht="15.65" hidden="false" customHeight="true" outlineLevel="0" collapsed="false">
      <c r="A786" s="2" t="str">
        <f aca="false">HYPERLINK("https://www.fabsurplus.com/sdi_catalog/salesItemDetails.do?id=106609")</f>
        <v>https://www.fabsurplus.com/sdi_catalog/salesItemDetails.do?id=106609</v>
      </c>
      <c r="B786" s="2" t="s">
        <v>1958</v>
      </c>
      <c r="C786" s="2" t="s">
        <v>1549</v>
      </c>
      <c r="D786" s="2" t="s">
        <v>1918</v>
      </c>
      <c r="E786" s="2" t="s">
        <v>1952</v>
      </c>
      <c r="F786" s="2" t="s">
        <v>16</v>
      </c>
      <c r="G786" s="2" t="s">
        <v>61</v>
      </c>
      <c r="H786" s="2"/>
      <c r="I786" s="2"/>
      <c r="J786" s="2" t="s">
        <v>19</v>
      </c>
      <c r="K786" s="2"/>
      <c r="L786" s="2" t="s">
        <v>518</v>
      </c>
    </row>
    <row r="787" customFormat="false" ht="15.65" hidden="false" customHeight="true" outlineLevel="0" collapsed="false">
      <c r="A787" s="5" t="str">
        <f aca="false">HYPERLINK("https://www.fabsurplus.com/sdi_catalog/salesItemDetails.do?id=108145")</f>
        <v>https://www.fabsurplus.com/sdi_catalog/salesItemDetails.do?id=108145</v>
      </c>
      <c r="B787" s="5" t="s">
        <v>1959</v>
      </c>
      <c r="C787" s="5" t="s">
        <v>1549</v>
      </c>
      <c r="D787" s="5" t="s">
        <v>1419</v>
      </c>
      <c r="E787" s="5" t="s">
        <v>1960</v>
      </c>
      <c r="F787" s="5" t="s">
        <v>16</v>
      </c>
      <c r="G787" s="5" t="s">
        <v>1293</v>
      </c>
      <c r="H787" s="5"/>
      <c r="I787" s="5"/>
      <c r="J787" s="5" t="s">
        <v>19</v>
      </c>
      <c r="K787" s="5"/>
      <c r="L787" s="5" t="s">
        <v>1480</v>
      </c>
    </row>
    <row r="788" customFormat="false" ht="15.65" hidden="false" customHeight="true" outlineLevel="0" collapsed="false">
      <c r="A788" s="2" t="str">
        <f aca="false">HYPERLINK("https://www.fabsurplus.com/sdi_catalog/salesItemDetails.do?id=106610")</f>
        <v>https://www.fabsurplus.com/sdi_catalog/salesItemDetails.do?id=106610</v>
      </c>
      <c r="B788" s="2" t="s">
        <v>1961</v>
      </c>
      <c r="C788" s="2" t="s">
        <v>1549</v>
      </c>
      <c r="D788" s="2" t="s">
        <v>1918</v>
      </c>
      <c r="E788" s="2" t="s">
        <v>1890</v>
      </c>
      <c r="F788" s="2" t="s">
        <v>16</v>
      </c>
      <c r="G788" s="2" t="s">
        <v>61</v>
      </c>
      <c r="H788" s="2"/>
      <c r="I788" s="3" t="n">
        <v>37408</v>
      </c>
      <c r="J788" s="2" t="s">
        <v>19</v>
      </c>
      <c r="K788" s="2"/>
      <c r="L788" s="2" t="s">
        <v>518</v>
      </c>
    </row>
    <row r="789" customFormat="false" ht="15.65" hidden="false" customHeight="true" outlineLevel="0" collapsed="false">
      <c r="A789" s="5" t="str">
        <f aca="false">HYPERLINK("https://www.fabsurplus.com/sdi_catalog/salesItemDetails.do?id=108146")</f>
        <v>https://www.fabsurplus.com/sdi_catalog/salesItemDetails.do?id=108146</v>
      </c>
      <c r="B789" s="5" t="s">
        <v>1962</v>
      </c>
      <c r="C789" s="5" t="s">
        <v>1549</v>
      </c>
      <c r="D789" s="5" t="s">
        <v>1963</v>
      </c>
      <c r="E789" s="5" t="s">
        <v>1964</v>
      </c>
      <c r="F789" s="5" t="s">
        <v>16</v>
      </c>
      <c r="G789" s="5" t="s">
        <v>61</v>
      </c>
      <c r="H789" s="5"/>
      <c r="I789" s="6" t="n">
        <v>42887</v>
      </c>
      <c r="J789" s="5" t="s">
        <v>19</v>
      </c>
      <c r="K789" s="5"/>
      <c r="L789" s="5" t="s">
        <v>1480</v>
      </c>
    </row>
    <row r="790" customFormat="false" ht="15.65" hidden="false" customHeight="true" outlineLevel="0" collapsed="false">
      <c r="A790" s="2" t="str">
        <f aca="false">HYPERLINK("https://www.fabsurplus.com/sdi_catalog/salesItemDetails.do?id=106611")</f>
        <v>https://www.fabsurplus.com/sdi_catalog/salesItemDetails.do?id=106611</v>
      </c>
      <c r="B790" s="2" t="s">
        <v>1965</v>
      </c>
      <c r="C790" s="2" t="s">
        <v>1549</v>
      </c>
      <c r="D790" s="2" t="s">
        <v>1918</v>
      </c>
      <c r="E790" s="2" t="s">
        <v>1890</v>
      </c>
      <c r="F790" s="2" t="s">
        <v>16</v>
      </c>
      <c r="G790" s="2" t="s">
        <v>61</v>
      </c>
      <c r="H790" s="2"/>
      <c r="I790" s="3" t="n">
        <v>37408</v>
      </c>
      <c r="J790" s="2" t="s">
        <v>19</v>
      </c>
      <c r="K790" s="2"/>
      <c r="L790" s="2" t="s">
        <v>518</v>
      </c>
    </row>
    <row r="791" customFormat="false" ht="15.65" hidden="false" customHeight="true" outlineLevel="0" collapsed="false">
      <c r="A791" s="5" t="str">
        <f aca="false">HYPERLINK("https://www.fabsurplus.com/sdi_catalog/salesItemDetails.do?id=108147")</f>
        <v>https://www.fabsurplus.com/sdi_catalog/salesItemDetails.do?id=108147</v>
      </c>
      <c r="B791" s="5" t="s">
        <v>1966</v>
      </c>
      <c r="C791" s="5" t="s">
        <v>1549</v>
      </c>
      <c r="D791" s="5" t="s">
        <v>1842</v>
      </c>
      <c r="E791" s="5" t="s">
        <v>1849</v>
      </c>
      <c r="F791" s="5" t="s">
        <v>16</v>
      </c>
      <c r="G791" s="5" t="s">
        <v>61</v>
      </c>
      <c r="H791" s="5"/>
      <c r="I791" s="6" t="n">
        <v>38869</v>
      </c>
      <c r="J791" s="5" t="s">
        <v>19</v>
      </c>
      <c r="K791" s="5"/>
      <c r="L791" s="5" t="s">
        <v>1480</v>
      </c>
    </row>
    <row r="792" customFormat="false" ht="15.65" hidden="false" customHeight="true" outlineLevel="0" collapsed="false">
      <c r="A792" s="2" t="str">
        <f aca="false">HYPERLINK("https://www.fabsurplus.com/sdi_catalog/salesItemDetails.do?id=70004")</f>
        <v>https://www.fabsurplus.com/sdi_catalog/salesItemDetails.do?id=70004</v>
      </c>
      <c r="B792" s="2" t="s">
        <v>1967</v>
      </c>
      <c r="C792" s="2" t="s">
        <v>1549</v>
      </c>
      <c r="D792" s="2" t="s">
        <v>14</v>
      </c>
      <c r="E792" s="2" t="s">
        <v>1968</v>
      </c>
      <c r="F792" s="2" t="s">
        <v>16</v>
      </c>
      <c r="G792" s="2" t="s">
        <v>104</v>
      </c>
      <c r="H792" s="2" t="s">
        <v>1969</v>
      </c>
      <c r="I792" s="2"/>
      <c r="J792" s="2" t="s">
        <v>19</v>
      </c>
      <c r="K792" s="2" t="s">
        <v>20</v>
      </c>
      <c r="L792" s="4" t="s">
        <v>1970</v>
      </c>
    </row>
    <row r="793" customFormat="false" ht="15.65" hidden="false" customHeight="true" outlineLevel="0" collapsed="false">
      <c r="A793" s="5" t="str">
        <f aca="false">HYPERLINK("https://www.fabsurplus.com/sdi_catalog/salesItemDetails.do?id=108148")</f>
        <v>https://www.fabsurplus.com/sdi_catalog/salesItemDetails.do?id=108148</v>
      </c>
      <c r="B793" s="5" t="s">
        <v>1971</v>
      </c>
      <c r="C793" s="5" t="s">
        <v>1549</v>
      </c>
      <c r="D793" s="5" t="s">
        <v>1972</v>
      </c>
      <c r="E793" s="5" t="s">
        <v>1973</v>
      </c>
      <c r="F793" s="5" t="s">
        <v>16</v>
      </c>
      <c r="G793" s="5" t="s">
        <v>61</v>
      </c>
      <c r="H793" s="5"/>
      <c r="I793" s="6" t="n">
        <v>41791</v>
      </c>
      <c r="J793" s="5" t="s">
        <v>19</v>
      </c>
      <c r="K793" s="5"/>
      <c r="L793" s="5" t="s">
        <v>1480</v>
      </c>
    </row>
    <row r="794" customFormat="false" ht="15.65" hidden="false" customHeight="true" outlineLevel="0" collapsed="false">
      <c r="A794" s="2" t="str">
        <f aca="false">HYPERLINK("https://www.fabsurplus.com/sdi_catalog/salesItemDetails.do?id=106613")</f>
        <v>https://www.fabsurplus.com/sdi_catalog/salesItemDetails.do?id=106613</v>
      </c>
      <c r="B794" s="2" t="s">
        <v>1974</v>
      </c>
      <c r="C794" s="2" t="s">
        <v>1549</v>
      </c>
      <c r="D794" s="2" t="s">
        <v>1975</v>
      </c>
      <c r="E794" s="2" t="s">
        <v>1976</v>
      </c>
      <c r="F794" s="2" t="s">
        <v>16</v>
      </c>
      <c r="G794" s="2" t="s">
        <v>61</v>
      </c>
      <c r="H794" s="2"/>
      <c r="I794" s="2"/>
      <c r="J794" s="2" t="s">
        <v>19</v>
      </c>
      <c r="K794" s="2"/>
      <c r="L794" s="2" t="s">
        <v>518</v>
      </c>
    </row>
    <row r="795" customFormat="false" ht="15.65" hidden="false" customHeight="true" outlineLevel="0" collapsed="false">
      <c r="A795" s="5" t="str">
        <f aca="false">HYPERLINK("https://www.fabsurplus.com/sdi_catalog/salesItemDetails.do?id=108149")</f>
        <v>https://www.fabsurplus.com/sdi_catalog/salesItemDetails.do?id=108149</v>
      </c>
      <c r="B795" s="5" t="s">
        <v>1977</v>
      </c>
      <c r="C795" s="5" t="s">
        <v>1549</v>
      </c>
      <c r="D795" s="5" t="s">
        <v>1978</v>
      </c>
      <c r="E795" s="5" t="s">
        <v>1979</v>
      </c>
      <c r="F795" s="5" t="s">
        <v>16</v>
      </c>
      <c r="G795" s="5" t="s">
        <v>61</v>
      </c>
      <c r="H795" s="5"/>
      <c r="I795" s="5"/>
      <c r="J795" s="5" t="s">
        <v>19</v>
      </c>
      <c r="K795" s="5"/>
      <c r="L795" s="5" t="s">
        <v>1480</v>
      </c>
    </row>
    <row r="796" customFormat="false" ht="15.65" hidden="false" customHeight="true" outlineLevel="0" collapsed="false">
      <c r="A796" s="2" t="str">
        <f aca="false">HYPERLINK("https://www.fabsurplus.com/sdi_catalog/salesItemDetails.do?id=106614")</f>
        <v>https://www.fabsurplus.com/sdi_catalog/salesItemDetails.do?id=106614</v>
      </c>
      <c r="B796" s="2" t="s">
        <v>1980</v>
      </c>
      <c r="C796" s="2" t="s">
        <v>1549</v>
      </c>
      <c r="D796" s="2" t="s">
        <v>1981</v>
      </c>
      <c r="E796" s="2" t="s">
        <v>1982</v>
      </c>
      <c r="F796" s="2" t="s">
        <v>16</v>
      </c>
      <c r="G796" s="2" t="s">
        <v>61</v>
      </c>
      <c r="H796" s="2"/>
      <c r="I796" s="2"/>
      <c r="J796" s="2" t="s">
        <v>19</v>
      </c>
      <c r="K796" s="2"/>
      <c r="L796" s="2" t="s">
        <v>518</v>
      </c>
    </row>
    <row r="797" customFormat="false" ht="15.65" hidden="false" customHeight="true" outlineLevel="0" collapsed="false">
      <c r="A797" s="5" t="str">
        <f aca="false">HYPERLINK("https://www.fabsurplus.com/sdi_catalog/salesItemDetails.do?id=108150")</f>
        <v>https://www.fabsurplus.com/sdi_catalog/salesItemDetails.do?id=108150</v>
      </c>
      <c r="B797" s="5" t="s">
        <v>1983</v>
      </c>
      <c r="C797" s="5" t="s">
        <v>1549</v>
      </c>
      <c r="D797" s="5" t="s">
        <v>1978</v>
      </c>
      <c r="E797" s="5" t="s">
        <v>1984</v>
      </c>
      <c r="F797" s="5" t="s">
        <v>16</v>
      </c>
      <c r="G797" s="5" t="s">
        <v>61</v>
      </c>
      <c r="H797" s="5"/>
      <c r="I797" s="5"/>
      <c r="J797" s="5" t="s">
        <v>19</v>
      </c>
      <c r="K797" s="5"/>
      <c r="L797" s="5" t="s">
        <v>1480</v>
      </c>
    </row>
    <row r="798" customFormat="false" ht="15.65" hidden="false" customHeight="true" outlineLevel="0" collapsed="false">
      <c r="A798" s="2" t="str">
        <f aca="false">HYPERLINK("https://www.fabsurplus.com/sdi_catalog/salesItemDetails.do?id=106615")</f>
        <v>https://www.fabsurplus.com/sdi_catalog/salesItemDetails.do?id=106615</v>
      </c>
      <c r="B798" s="2" t="s">
        <v>1985</v>
      </c>
      <c r="C798" s="2" t="s">
        <v>1549</v>
      </c>
      <c r="D798" s="2" t="s">
        <v>1986</v>
      </c>
      <c r="E798" s="2" t="s">
        <v>1987</v>
      </c>
      <c r="F798" s="2" t="s">
        <v>16</v>
      </c>
      <c r="G798" s="2" t="s">
        <v>1287</v>
      </c>
      <c r="H798" s="2"/>
      <c r="I798" s="2"/>
      <c r="J798" s="2" t="s">
        <v>19</v>
      </c>
      <c r="K798" s="2"/>
      <c r="L798" s="2" t="s">
        <v>518</v>
      </c>
    </row>
    <row r="799" customFormat="false" ht="15.65" hidden="false" customHeight="true" outlineLevel="0" collapsed="false">
      <c r="A799" s="5" t="str">
        <f aca="false">HYPERLINK("https://www.fabsurplus.com/sdi_catalog/salesItemDetails.do?id=106616")</f>
        <v>https://www.fabsurplus.com/sdi_catalog/salesItemDetails.do?id=106616</v>
      </c>
      <c r="B799" s="5" t="s">
        <v>1988</v>
      </c>
      <c r="C799" s="5" t="s">
        <v>1549</v>
      </c>
      <c r="D799" s="5" t="s">
        <v>1989</v>
      </c>
      <c r="E799" s="5" t="s">
        <v>1990</v>
      </c>
      <c r="F799" s="5" t="s">
        <v>16</v>
      </c>
      <c r="G799" s="5" t="s">
        <v>61</v>
      </c>
      <c r="H799" s="5"/>
      <c r="I799" s="5"/>
      <c r="J799" s="5" t="s">
        <v>19</v>
      </c>
      <c r="K799" s="5"/>
      <c r="L799" s="5" t="s">
        <v>518</v>
      </c>
    </row>
    <row r="800" customFormat="false" ht="15.65" hidden="false" customHeight="true" outlineLevel="0" collapsed="false">
      <c r="A800" s="2" t="str">
        <f aca="false">HYPERLINK("https://www.fabsurplus.com/sdi_catalog/salesItemDetails.do?id=106617")</f>
        <v>https://www.fabsurplus.com/sdi_catalog/salesItemDetails.do?id=106617</v>
      </c>
      <c r="B800" s="2" t="s">
        <v>1991</v>
      </c>
      <c r="C800" s="2" t="s">
        <v>1549</v>
      </c>
      <c r="D800" s="2" t="s">
        <v>1989</v>
      </c>
      <c r="E800" s="2" t="s">
        <v>1990</v>
      </c>
      <c r="F800" s="2" t="s">
        <v>16</v>
      </c>
      <c r="G800" s="2" t="s">
        <v>61</v>
      </c>
      <c r="H800" s="2"/>
      <c r="I800" s="2"/>
      <c r="J800" s="2" t="s">
        <v>19</v>
      </c>
      <c r="K800" s="2"/>
      <c r="L800" s="2" t="s">
        <v>518</v>
      </c>
    </row>
    <row r="801" customFormat="false" ht="15.65" hidden="false" customHeight="true" outlineLevel="0" collapsed="false">
      <c r="A801" s="5" t="str">
        <f aca="false">HYPERLINK("https://www.fabsurplus.com/sdi_catalog/salesItemDetails.do?id=106618")</f>
        <v>https://www.fabsurplus.com/sdi_catalog/salesItemDetails.do?id=106618</v>
      </c>
      <c r="B801" s="5" t="s">
        <v>1992</v>
      </c>
      <c r="C801" s="5" t="s">
        <v>1549</v>
      </c>
      <c r="D801" s="5" t="s">
        <v>1989</v>
      </c>
      <c r="E801" s="5" t="s">
        <v>1990</v>
      </c>
      <c r="F801" s="5" t="s">
        <v>16</v>
      </c>
      <c r="G801" s="5" t="s">
        <v>61</v>
      </c>
      <c r="H801" s="5"/>
      <c r="I801" s="5"/>
      <c r="J801" s="5" t="s">
        <v>19</v>
      </c>
      <c r="K801" s="5"/>
      <c r="L801" s="5" t="s">
        <v>518</v>
      </c>
    </row>
    <row r="802" customFormat="false" ht="15.65" hidden="false" customHeight="true" outlineLevel="0" collapsed="false">
      <c r="A802" s="2" t="str">
        <f aca="false">HYPERLINK("https://www.fabsurplus.com/sdi_catalog/salesItemDetails.do?id=93051")</f>
        <v>https://www.fabsurplus.com/sdi_catalog/salesItemDetails.do?id=93051</v>
      </c>
      <c r="B802" s="2" t="s">
        <v>1993</v>
      </c>
      <c r="C802" s="2" t="s">
        <v>1549</v>
      </c>
      <c r="D802" s="2" t="s">
        <v>1419</v>
      </c>
      <c r="E802" s="2" t="s">
        <v>1994</v>
      </c>
      <c r="F802" s="2" t="s">
        <v>16</v>
      </c>
      <c r="G802" s="2" t="s">
        <v>1293</v>
      </c>
      <c r="H802" s="2"/>
      <c r="I802" s="3" t="n">
        <v>34485.9166666667</v>
      </c>
      <c r="J802" s="2" t="s">
        <v>19</v>
      </c>
      <c r="K802" s="2"/>
      <c r="L802" s="2" t="s">
        <v>1995</v>
      </c>
    </row>
    <row r="803" customFormat="false" ht="15.65" hidden="false" customHeight="true" outlineLevel="0" collapsed="false">
      <c r="A803" s="5" t="str">
        <f aca="false">HYPERLINK("https://www.fabsurplus.com/sdi_catalog/salesItemDetails.do?id=106619")</f>
        <v>https://www.fabsurplus.com/sdi_catalog/salesItemDetails.do?id=106619</v>
      </c>
      <c r="B803" s="5" t="s">
        <v>1996</v>
      </c>
      <c r="C803" s="5" t="s">
        <v>1549</v>
      </c>
      <c r="D803" s="5" t="s">
        <v>1989</v>
      </c>
      <c r="E803" s="5" t="s">
        <v>1990</v>
      </c>
      <c r="F803" s="5" t="s">
        <v>16</v>
      </c>
      <c r="G803" s="5" t="s">
        <v>61</v>
      </c>
      <c r="H803" s="5"/>
      <c r="I803" s="5"/>
      <c r="J803" s="5" t="s">
        <v>19</v>
      </c>
      <c r="K803" s="5"/>
      <c r="L803" s="5" t="s">
        <v>518</v>
      </c>
    </row>
    <row r="804" customFormat="false" ht="15.65" hidden="false" customHeight="true" outlineLevel="0" collapsed="false">
      <c r="A804" s="2" t="str">
        <f aca="false">HYPERLINK("https://www.fabsurplus.com/sdi_catalog/salesItemDetails.do?id=106620")</f>
        <v>https://www.fabsurplus.com/sdi_catalog/salesItemDetails.do?id=106620</v>
      </c>
      <c r="B804" s="2" t="s">
        <v>1997</v>
      </c>
      <c r="C804" s="2" t="s">
        <v>1549</v>
      </c>
      <c r="D804" s="2" t="s">
        <v>1989</v>
      </c>
      <c r="E804" s="2" t="s">
        <v>1990</v>
      </c>
      <c r="F804" s="2" t="s">
        <v>16</v>
      </c>
      <c r="G804" s="2" t="s">
        <v>61</v>
      </c>
      <c r="H804" s="2"/>
      <c r="I804" s="2"/>
      <c r="J804" s="2" t="s">
        <v>19</v>
      </c>
      <c r="K804" s="2"/>
      <c r="L804" s="2" t="s">
        <v>518</v>
      </c>
    </row>
    <row r="805" customFormat="false" ht="15.65" hidden="false" customHeight="true" outlineLevel="0" collapsed="false">
      <c r="A805" s="5" t="str">
        <f aca="false">HYPERLINK("https://www.fabsurplus.com/sdi_catalog/salesItemDetails.do?id=93053")</f>
        <v>https://www.fabsurplus.com/sdi_catalog/salesItemDetails.do?id=93053</v>
      </c>
      <c r="B805" s="5" t="s">
        <v>1998</v>
      </c>
      <c r="C805" s="5" t="s">
        <v>1549</v>
      </c>
      <c r="D805" s="5" t="s">
        <v>1832</v>
      </c>
      <c r="E805" s="5" t="s">
        <v>1999</v>
      </c>
      <c r="F805" s="5" t="s">
        <v>16</v>
      </c>
      <c r="G805" s="5" t="s">
        <v>61</v>
      </c>
      <c r="H805" s="5"/>
      <c r="I805" s="6" t="n">
        <v>41790.9166666667</v>
      </c>
      <c r="J805" s="5" t="s">
        <v>19</v>
      </c>
      <c r="K805" s="5"/>
      <c r="L805" s="5" t="s">
        <v>142</v>
      </c>
    </row>
    <row r="806" customFormat="false" ht="15.65" hidden="false" customHeight="true" outlineLevel="0" collapsed="false">
      <c r="A806" s="2" t="str">
        <f aca="false">HYPERLINK("https://www.fabsurplus.com/sdi_catalog/salesItemDetails.do?id=106621")</f>
        <v>https://www.fabsurplus.com/sdi_catalog/salesItemDetails.do?id=106621</v>
      </c>
      <c r="B806" s="2" t="s">
        <v>2000</v>
      </c>
      <c r="C806" s="2" t="s">
        <v>1549</v>
      </c>
      <c r="D806" s="2" t="s">
        <v>1419</v>
      </c>
      <c r="E806" s="2" t="s">
        <v>2001</v>
      </c>
      <c r="F806" s="2" t="s">
        <v>16</v>
      </c>
      <c r="G806" s="2" t="s">
        <v>1293</v>
      </c>
      <c r="H806" s="2"/>
      <c r="I806" s="3" t="n">
        <v>35217</v>
      </c>
      <c r="J806" s="2" t="s">
        <v>19</v>
      </c>
      <c r="K806" s="2"/>
      <c r="L806" s="2" t="s">
        <v>1846</v>
      </c>
    </row>
    <row r="807" customFormat="false" ht="15.65" hidden="false" customHeight="true" outlineLevel="0" collapsed="false">
      <c r="A807" s="5" t="str">
        <f aca="false">HYPERLINK("https://www.fabsurplus.com/sdi_catalog/salesItemDetails.do?id=106622")</f>
        <v>https://www.fabsurplus.com/sdi_catalog/salesItemDetails.do?id=106622</v>
      </c>
      <c r="B807" s="5" t="s">
        <v>2002</v>
      </c>
      <c r="C807" s="5" t="s">
        <v>1549</v>
      </c>
      <c r="D807" s="5" t="s">
        <v>1419</v>
      </c>
      <c r="E807" s="5" t="s">
        <v>2001</v>
      </c>
      <c r="F807" s="5" t="s">
        <v>16</v>
      </c>
      <c r="G807" s="5" t="s">
        <v>38</v>
      </c>
      <c r="H807" s="5"/>
      <c r="I807" s="6" t="n">
        <v>35947</v>
      </c>
      <c r="J807" s="5" t="s">
        <v>19</v>
      </c>
      <c r="K807" s="5"/>
      <c r="L807" s="5" t="s">
        <v>1846</v>
      </c>
    </row>
    <row r="808" customFormat="false" ht="15.65" hidden="false" customHeight="true" outlineLevel="0" collapsed="false">
      <c r="A808" s="2" t="str">
        <f aca="false">HYPERLINK("https://www.fabsurplus.com/sdi_catalog/salesItemDetails.do?id=105855")</f>
        <v>https://www.fabsurplus.com/sdi_catalog/salesItemDetails.do?id=105855</v>
      </c>
      <c r="B808" s="2" t="s">
        <v>2003</v>
      </c>
      <c r="C808" s="2" t="s">
        <v>1549</v>
      </c>
      <c r="D808" s="2" t="s">
        <v>2004</v>
      </c>
      <c r="E808" s="2" t="s">
        <v>2005</v>
      </c>
      <c r="F808" s="2" t="s">
        <v>16</v>
      </c>
      <c r="G808" s="2" t="s">
        <v>38</v>
      </c>
      <c r="H808" s="2" t="s">
        <v>32</v>
      </c>
      <c r="I808" s="3" t="n">
        <v>35551</v>
      </c>
      <c r="J808" s="2" t="s">
        <v>19</v>
      </c>
      <c r="K808" s="2" t="s">
        <v>20</v>
      </c>
      <c r="L808" s="4" t="s">
        <v>2006</v>
      </c>
    </row>
    <row r="809" customFormat="false" ht="15.65" hidden="false" customHeight="true" outlineLevel="0" collapsed="false">
      <c r="A809" s="5" t="str">
        <f aca="false">HYPERLINK("https://www.fabsurplus.com/sdi_catalog/salesItemDetails.do?id=106623")</f>
        <v>https://www.fabsurplus.com/sdi_catalog/salesItemDetails.do?id=106623</v>
      </c>
      <c r="B809" s="5" t="s">
        <v>2007</v>
      </c>
      <c r="C809" s="5" t="s">
        <v>1549</v>
      </c>
      <c r="D809" s="5" t="s">
        <v>1419</v>
      </c>
      <c r="E809" s="5" t="s">
        <v>2008</v>
      </c>
      <c r="F809" s="5" t="s">
        <v>16</v>
      </c>
      <c r="G809" s="5" t="s">
        <v>38</v>
      </c>
      <c r="H809" s="5"/>
      <c r="I809" s="6" t="n">
        <v>35217</v>
      </c>
      <c r="J809" s="5" t="s">
        <v>19</v>
      </c>
      <c r="K809" s="5"/>
      <c r="L809" s="5" t="s">
        <v>2009</v>
      </c>
    </row>
    <row r="810" customFormat="false" ht="15.65" hidden="false" customHeight="true" outlineLevel="0" collapsed="false">
      <c r="A810" s="2" t="str">
        <f aca="false">HYPERLINK("https://www.fabsurplus.com/sdi_catalog/salesItemDetails.do?id=106624")</f>
        <v>https://www.fabsurplus.com/sdi_catalog/salesItemDetails.do?id=106624</v>
      </c>
      <c r="B810" s="2" t="s">
        <v>2010</v>
      </c>
      <c r="C810" s="2" t="s">
        <v>1549</v>
      </c>
      <c r="D810" s="2" t="s">
        <v>1832</v>
      </c>
      <c r="E810" s="2" t="s">
        <v>2011</v>
      </c>
      <c r="F810" s="2" t="s">
        <v>16</v>
      </c>
      <c r="G810" s="2" t="s">
        <v>61</v>
      </c>
      <c r="H810" s="2"/>
      <c r="I810" s="2"/>
      <c r="J810" s="2" t="s">
        <v>19</v>
      </c>
      <c r="K810" s="2"/>
      <c r="L810" s="2" t="s">
        <v>518</v>
      </c>
    </row>
    <row r="811" customFormat="false" ht="15.65" hidden="false" customHeight="true" outlineLevel="0" collapsed="false">
      <c r="A811" s="5" t="str">
        <f aca="false">HYPERLINK("https://www.fabsurplus.com/sdi_catalog/salesItemDetails.do?id=106625")</f>
        <v>https://www.fabsurplus.com/sdi_catalog/salesItemDetails.do?id=106625</v>
      </c>
      <c r="B811" s="5" t="s">
        <v>2012</v>
      </c>
      <c r="C811" s="5" t="s">
        <v>1549</v>
      </c>
      <c r="D811" s="5" t="s">
        <v>1832</v>
      </c>
      <c r="E811" s="5" t="s">
        <v>2013</v>
      </c>
      <c r="F811" s="5" t="s">
        <v>16</v>
      </c>
      <c r="G811" s="5" t="s">
        <v>61</v>
      </c>
      <c r="H811" s="5"/>
      <c r="I811" s="6" t="n">
        <v>39965</v>
      </c>
      <c r="J811" s="5" t="s">
        <v>19</v>
      </c>
      <c r="K811" s="5"/>
      <c r="L811" s="5" t="s">
        <v>518</v>
      </c>
    </row>
    <row r="812" customFormat="false" ht="15.65" hidden="false" customHeight="true" outlineLevel="0" collapsed="false">
      <c r="A812" s="2" t="str">
        <f aca="false">HYPERLINK("https://www.fabsurplus.com/sdi_catalog/salesItemDetails.do?id=106626")</f>
        <v>https://www.fabsurplus.com/sdi_catalog/salesItemDetails.do?id=106626</v>
      </c>
      <c r="B812" s="2" t="s">
        <v>2014</v>
      </c>
      <c r="C812" s="2" t="s">
        <v>1549</v>
      </c>
      <c r="D812" s="2" t="s">
        <v>1832</v>
      </c>
      <c r="E812" s="2" t="s">
        <v>2015</v>
      </c>
      <c r="F812" s="2" t="s">
        <v>16</v>
      </c>
      <c r="G812" s="2" t="s">
        <v>61</v>
      </c>
      <c r="H812" s="2"/>
      <c r="I812" s="3" t="n">
        <v>38869</v>
      </c>
      <c r="J812" s="2" t="s">
        <v>19</v>
      </c>
      <c r="K812" s="2"/>
      <c r="L812" s="2" t="s">
        <v>518</v>
      </c>
    </row>
    <row r="813" customFormat="false" ht="15.65" hidden="false" customHeight="true" outlineLevel="0" collapsed="false">
      <c r="A813" s="5" t="str">
        <f aca="false">HYPERLINK("https://www.fabsurplus.com/sdi_catalog/salesItemDetails.do?id=106627")</f>
        <v>https://www.fabsurplus.com/sdi_catalog/salesItemDetails.do?id=106627</v>
      </c>
      <c r="B813" s="5" t="s">
        <v>2016</v>
      </c>
      <c r="C813" s="5" t="s">
        <v>1549</v>
      </c>
      <c r="D813" s="5" t="s">
        <v>1832</v>
      </c>
      <c r="E813" s="5" t="s">
        <v>2017</v>
      </c>
      <c r="F813" s="5" t="s">
        <v>16</v>
      </c>
      <c r="G813" s="5" t="s">
        <v>61</v>
      </c>
      <c r="H813" s="5"/>
      <c r="I813" s="6" t="n">
        <v>39965</v>
      </c>
      <c r="J813" s="5" t="s">
        <v>19</v>
      </c>
      <c r="K813" s="5"/>
      <c r="L813" s="5" t="s">
        <v>518</v>
      </c>
    </row>
    <row r="814" customFormat="false" ht="15.65" hidden="false" customHeight="true" outlineLevel="0" collapsed="false">
      <c r="A814" s="2" t="str">
        <f aca="false">HYPERLINK("https://www.fabsurplus.com/sdi_catalog/salesItemDetails.do?id=108931")</f>
        <v>https://www.fabsurplus.com/sdi_catalog/salesItemDetails.do?id=108931</v>
      </c>
      <c r="B814" s="2" t="s">
        <v>2018</v>
      </c>
      <c r="C814" s="2" t="s">
        <v>1549</v>
      </c>
      <c r="D814" s="2" t="s">
        <v>2019</v>
      </c>
      <c r="E814" s="2" t="s">
        <v>1628</v>
      </c>
      <c r="F814" s="2" t="s">
        <v>16</v>
      </c>
      <c r="G814" s="2" t="s">
        <v>61</v>
      </c>
      <c r="H814" s="2" t="s">
        <v>18</v>
      </c>
      <c r="I814" s="3" t="n">
        <v>40695</v>
      </c>
      <c r="J814" s="2" t="s">
        <v>19</v>
      </c>
      <c r="K814" s="2" t="s">
        <v>20</v>
      </c>
      <c r="L814" s="4" t="s">
        <v>2020</v>
      </c>
    </row>
    <row r="815" customFormat="false" ht="15.65" hidden="false" customHeight="true" outlineLevel="0" collapsed="false">
      <c r="A815" s="5" t="str">
        <f aca="false">HYPERLINK("https://www.fabsurplus.com/sdi_catalog/salesItemDetails.do?id=106628")</f>
        <v>https://www.fabsurplus.com/sdi_catalog/salesItemDetails.do?id=106628</v>
      </c>
      <c r="B815" s="5" t="s">
        <v>2021</v>
      </c>
      <c r="C815" s="5" t="s">
        <v>1549</v>
      </c>
      <c r="D815" s="5" t="s">
        <v>1963</v>
      </c>
      <c r="E815" s="5" t="s">
        <v>2022</v>
      </c>
      <c r="F815" s="5" t="s">
        <v>16</v>
      </c>
      <c r="G815" s="5" t="s">
        <v>61</v>
      </c>
      <c r="H815" s="5"/>
      <c r="I815" s="5"/>
      <c r="J815" s="5" t="s">
        <v>19</v>
      </c>
      <c r="K815" s="5"/>
      <c r="L815" s="5" t="s">
        <v>518</v>
      </c>
    </row>
    <row r="816" customFormat="false" ht="15.65" hidden="false" customHeight="true" outlineLevel="0" collapsed="false">
      <c r="A816" s="2" t="str">
        <f aca="false">HYPERLINK("https://www.fabsurplus.com/sdi_catalog/salesItemDetails.do?id=91269")</f>
        <v>https://www.fabsurplus.com/sdi_catalog/salesItemDetails.do?id=91269</v>
      </c>
      <c r="B816" s="2" t="s">
        <v>2023</v>
      </c>
      <c r="C816" s="2" t="s">
        <v>1549</v>
      </c>
      <c r="D816" s="2" t="s">
        <v>2024</v>
      </c>
      <c r="E816" s="2" t="s">
        <v>2025</v>
      </c>
      <c r="F816" s="2" t="s">
        <v>16</v>
      </c>
      <c r="G816" s="2" t="s">
        <v>38</v>
      </c>
      <c r="H816" s="2"/>
      <c r="I816" s="2"/>
      <c r="J816" s="2" t="s">
        <v>19</v>
      </c>
      <c r="K816" s="2"/>
      <c r="L816" s="2" t="s">
        <v>142</v>
      </c>
    </row>
    <row r="817" customFormat="false" ht="15.65" hidden="false" customHeight="true" outlineLevel="0" collapsed="false">
      <c r="A817" s="5" t="str">
        <f aca="false">HYPERLINK("https://www.fabsurplus.com/sdi_catalog/salesItemDetails.do?id=106629")</f>
        <v>https://www.fabsurplus.com/sdi_catalog/salesItemDetails.do?id=106629</v>
      </c>
      <c r="B817" s="5" t="s">
        <v>2026</v>
      </c>
      <c r="C817" s="5" t="s">
        <v>1549</v>
      </c>
      <c r="D817" s="5" t="s">
        <v>1963</v>
      </c>
      <c r="E817" s="5" t="s">
        <v>2022</v>
      </c>
      <c r="F817" s="5" t="s">
        <v>16</v>
      </c>
      <c r="G817" s="5" t="s">
        <v>61</v>
      </c>
      <c r="H817" s="5"/>
      <c r="I817" s="5"/>
      <c r="J817" s="5" t="s">
        <v>19</v>
      </c>
      <c r="K817" s="5"/>
      <c r="L817" s="5" t="s">
        <v>518</v>
      </c>
    </row>
    <row r="818" customFormat="false" ht="15.65" hidden="false" customHeight="true" outlineLevel="0" collapsed="false">
      <c r="A818" s="2" t="str">
        <f aca="false">HYPERLINK("https://www.fabsurplus.com/sdi_catalog/salesItemDetails.do?id=106630")</f>
        <v>https://www.fabsurplus.com/sdi_catalog/salesItemDetails.do?id=106630</v>
      </c>
      <c r="B818" s="2" t="s">
        <v>2027</v>
      </c>
      <c r="C818" s="2" t="s">
        <v>1549</v>
      </c>
      <c r="D818" s="2" t="s">
        <v>1963</v>
      </c>
      <c r="E818" s="2" t="s">
        <v>1781</v>
      </c>
      <c r="F818" s="2" t="s">
        <v>16</v>
      </c>
      <c r="G818" s="2" t="s">
        <v>61</v>
      </c>
      <c r="H818" s="2"/>
      <c r="I818" s="3" t="n">
        <v>42887</v>
      </c>
      <c r="J818" s="2" t="s">
        <v>19</v>
      </c>
      <c r="K818" s="2"/>
      <c r="L818" s="2" t="s">
        <v>518</v>
      </c>
    </row>
    <row r="819" customFormat="false" ht="15.65" hidden="false" customHeight="true" outlineLevel="0" collapsed="false">
      <c r="A819" s="5" t="str">
        <f aca="false">HYPERLINK("https://www.fabsurplus.com/sdi_catalog/salesItemDetails.do?id=36487")</f>
        <v>https://www.fabsurplus.com/sdi_catalog/salesItemDetails.do?id=36487</v>
      </c>
      <c r="B819" s="5" t="s">
        <v>2028</v>
      </c>
      <c r="C819" s="5" t="s">
        <v>1769</v>
      </c>
      <c r="D819" s="5" t="s">
        <v>2029</v>
      </c>
      <c r="E819" s="5" t="s">
        <v>2030</v>
      </c>
      <c r="F819" s="5" t="s">
        <v>16</v>
      </c>
      <c r="G819" s="5" t="s">
        <v>2031</v>
      </c>
      <c r="H819" s="5"/>
      <c r="I819" s="5"/>
      <c r="J819" s="5" t="s">
        <v>42</v>
      </c>
      <c r="K819" s="5"/>
      <c r="L819" s="5" t="s">
        <v>2032</v>
      </c>
    </row>
    <row r="820" customFormat="false" ht="15.65" hidden="false" customHeight="true" outlineLevel="0" collapsed="false">
      <c r="A820" s="2" t="str">
        <f aca="false">HYPERLINK("https://www.fabsurplus.com/sdi_catalog/salesItemDetails.do?id=106631")</f>
        <v>https://www.fabsurplus.com/sdi_catalog/salesItemDetails.do?id=106631</v>
      </c>
      <c r="B820" s="2" t="s">
        <v>2033</v>
      </c>
      <c r="C820" s="2" t="s">
        <v>1549</v>
      </c>
      <c r="D820" s="2" t="s">
        <v>1963</v>
      </c>
      <c r="E820" s="2" t="s">
        <v>2034</v>
      </c>
      <c r="F820" s="2" t="s">
        <v>16</v>
      </c>
      <c r="G820" s="2" t="s">
        <v>61</v>
      </c>
      <c r="H820" s="2"/>
      <c r="I820" s="2"/>
      <c r="J820" s="2" t="s">
        <v>19</v>
      </c>
      <c r="K820" s="2"/>
      <c r="L820" s="2" t="s">
        <v>518</v>
      </c>
    </row>
    <row r="821" customFormat="false" ht="15.65" hidden="false" customHeight="true" outlineLevel="0" collapsed="false">
      <c r="A821" s="5" t="str">
        <f aca="false">HYPERLINK("https://www.fabsurplus.com/sdi_catalog/salesItemDetails.do?id=101768")</f>
        <v>https://www.fabsurplus.com/sdi_catalog/salesItemDetails.do?id=101768</v>
      </c>
      <c r="B821" s="5" t="s">
        <v>2035</v>
      </c>
      <c r="C821" s="5" t="s">
        <v>1549</v>
      </c>
      <c r="D821" s="5" t="s">
        <v>2036</v>
      </c>
      <c r="E821" s="5" t="s">
        <v>2037</v>
      </c>
      <c r="F821" s="5" t="s">
        <v>16</v>
      </c>
      <c r="G821" s="5" t="s">
        <v>1272</v>
      </c>
      <c r="H821" s="5" t="s">
        <v>18</v>
      </c>
      <c r="I821" s="6" t="n">
        <v>32386.9166666667</v>
      </c>
      <c r="J821" s="5" t="s">
        <v>19</v>
      </c>
      <c r="K821" s="5" t="s">
        <v>20</v>
      </c>
      <c r="L821" s="7" t="s">
        <v>2038</v>
      </c>
    </row>
    <row r="822" customFormat="false" ht="15.65" hidden="false" customHeight="true" outlineLevel="0" collapsed="false">
      <c r="A822" s="2" t="str">
        <f aca="false">HYPERLINK("https://www.fabsurplus.com/sdi_catalog/salesItemDetails.do?id=106632")</f>
        <v>https://www.fabsurplus.com/sdi_catalog/salesItemDetails.do?id=106632</v>
      </c>
      <c r="B822" s="2" t="s">
        <v>2039</v>
      </c>
      <c r="C822" s="2" t="s">
        <v>1549</v>
      </c>
      <c r="D822" s="2" t="s">
        <v>2040</v>
      </c>
      <c r="E822" s="2" t="s">
        <v>1781</v>
      </c>
      <c r="F822" s="2" t="s">
        <v>16</v>
      </c>
      <c r="G822" s="2" t="s">
        <v>61</v>
      </c>
      <c r="H822" s="2"/>
      <c r="I822" s="3" t="n">
        <v>42887</v>
      </c>
      <c r="J822" s="2" t="s">
        <v>19</v>
      </c>
      <c r="K822" s="2"/>
      <c r="L822" s="2" t="s">
        <v>518</v>
      </c>
    </row>
    <row r="823" customFormat="false" ht="15.65" hidden="false" customHeight="true" outlineLevel="0" collapsed="false">
      <c r="A823" s="5" t="str">
        <f aca="false">HYPERLINK("https://www.fabsurplus.com/sdi_catalog/salesItemDetails.do?id=106633")</f>
        <v>https://www.fabsurplus.com/sdi_catalog/salesItemDetails.do?id=106633</v>
      </c>
      <c r="B823" s="5" t="s">
        <v>2041</v>
      </c>
      <c r="C823" s="5" t="s">
        <v>1549</v>
      </c>
      <c r="D823" s="5" t="s">
        <v>1842</v>
      </c>
      <c r="E823" s="5" t="s">
        <v>1843</v>
      </c>
      <c r="F823" s="5" t="s">
        <v>16</v>
      </c>
      <c r="G823" s="5" t="s">
        <v>61</v>
      </c>
      <c r="H823" s="5"/>
      <c r="I823" s="6" t="n">
        <v>38139</v>
      </c>
      <c r="J823" s="5" t="s">
        <v>19</v>
      </c>
      <c r="K823" s="5"/>
      <c r="L823" s="5" t="s">
        <v>518</v>
      </c>
    </row>
    <row r="824" customFormat="false" ht="15.65" hidden="false" customHeight="true" outlineLevel="0" collapsed="false">
      <c r="A824" s="2" t="str">
        <f aca="false">HYPERLINK("https://www.fabsurplus.com/sdi_catalog/salesItemDetails.do?id=106634")</f>
        <v>https://www.fabsurplus.com/sdi_catalog/salesItemDetails.do?id=106634</v>
      </c>
      <c r="B824" s="2" t="s">
        <v>2042</v>
      </c>
      <c r="C824" s="2" t="s">
        <v>1549</v>
      </c>
      <c r="D824" s="2" t="s">
        <v>1842</v>
      </c>
      <c r="E824" s="2" t="s">
        <v>1849</v>
      </c>
      <c r="F824" s="2" t="s">
        <v>16</v>
      </c>
      <c r="G824" s="2" t="s">
        <v>61</v>
      </c>
      <c r="H824" s="2"/>
      <c r="I824" s="3" t="n">
        <v>38869</v>
      </c>
      <c r="J824" s="2" t="s">
        <v>19</v>
      </c>
      <c r="K824" s="2"/>
      <c r="L824" s="2" t="s">
        <v>518</v>
      </c>
    </row>
    <row r="825" customFormat="false" ht="15.65" hidden="false" customHeight="true" outlineLevel="0" collapsed="false">
      <c r="A825" s="5" t="str">
        <f aca="false">HYPERLINK("https://www.fabsurplus.com/sdi_catalog/salesItemDetails.do?id=106635")</f>
        <v>https://www.fabsurplus.com/sdi_catalog/salesItemDetails.do?id=106635</v>
      </c>
      <c r="B825" s="5" t="s">
        <v>2043</v>
      </c>
      <c r="C825" s="5" t="s">
        <v>1549</v>
      </c>
      <c r="D825" s="5" t="s">
        <v>1842</v>
      </c>
      <c r="E825" s="5" t="s">
        <v>2044</v>
      </c>
      <c r="F825" s="5" t="s">
        <v>16</v>
      </c>
      <c r="G825" s="5" t="s">
        <v>61</v>
      </c>
      <c r="H825" s="5"/>
      <c r="I825" s="6" t="n">
        <v>40695</v>
      </c>
      <c r="J825" s="5" t="s">
        <v>19</v>
      </c>
      <c r="K825" s="5"/>
      <c r="L825" s="5" t="s">
        <v>518</v>
      </c>
    </row>
    <row r="826" customFormat="false" ht="15.65" hidden="false" customHeight="true" outlineLevel="0" collapsed="false">
      <c r="A826" s="2" t="str">
        <f aca="false">HYPERLINK("https://www.fabsurplus.com/sdi_catalog/salesItemDetails.do?id=106636")</f>
        <v>https://www.fabsurplus.com/sdi_catalog/salesItemDetails.do?id=106636</v>
      </c>
      <c r="B826" s="2" t="s">
        <v>2045</v>
      </c>
      <c r="C826" s="2" t="s">
        <v>1549</v>
      </c>
      <c r="D826" s="2" t="s">
        <v>1842</v>
      </c>
      <c r="E826" s="2" t="s">
        <v>2046</v>
      </c>
      <c r="F826" s="2" t="s">
        <v>16</v>
      </c>
      <c r="G826" s="2" t="s">
        <v>61</v>
      </c>
      <c r="H826" s="2"/>
      <c r="I826" s="3" t="n">
        <v>38869</v>
      </c>
      <c r="J826" s="2" t="s">
        <v>19</v>
      </c>
      <c r="K826" s="2"/>
      <c r="L826" s="2" t="s">
        <v>518</v>
      </c>
    </row>
    <row r="827" customFormat="false" ht="15.65" hidden="false" customHeight="true" outlineLevel="0" collapsed="false">
      <c r="A827" s="5" t="str">
        <f aca="false">HYPERLINK("https://www.fabsurplus.com/sdi_catalog/salesItemDetails.do?id=91277")</f>
        <v>https://www.fabsurplus.com/sdi_catalog/salesItemDetails.do?id=91277</v>
      </c>
      <c r="B827" s="5" t="s">
        <v>2047</v>
      </c>
      <c r="C827" s="5" t="s">
        <v>1549</v>
      </c>
      <c r="D827" s="5" t="s">
        <v>2048</v>
      </c>
      <c r="E827" s="5" t="s">
        <v>2049</v>
      </c>
      <c r="F827" s="5" t="s">
        <v>16</v>
      </c>
      <c r="G827" s="5" t="s">
        <v>61</v>
      </c>
      <c r="H827" s="5"/>
      <c r="I827" s="5"/>
      <c r="J827" s="5" t="s">
        <v>19</v>
      </c>
      <c r="K827" s="5"/>
      <c r="L827" s="5" t="s">
        <v>142</v>
      </c>
    </row>
    <row r="828" customFormat="false" ht="15.65" hidden="false" customHeight="true" outlineLevel="0" collapsed="false">
      <c r="A828" s="2" t="str">
        <f aca="false">HYPERLINK("https://www.fabsurplus.com/sdi_catalog/salesItemDetails.do?id=106637")</f>
        <v>https://www.fabsurplus.com/sdi_catalog/salesItemDetails.do?id=106637</v>
      </c>
      <c r="B828" s="2" t="s">
        <v>2050</v>
      </c>
      <c r="C828" s="2" t="s">
        <v>2051</v>
      </c>
      <c r="D828" s="2" t="s">
        <v>1862</v>
      </c>
      <c r="E828" s="2" t="s">
        <v>2052</v>
      </c>
      <c r="F828" s="2" t="s">
        <v>16</v>
      </c>
      <c r="G828" s="2" t="s">
        <v>61</v>
      </c>
      <c r="H828" s="2"/>
      <c r="I828" s="2"/>
      <c r="J828" s="2" t="s">
        <v>19</v>
      </c>
      <c r="K828" s="2"/>
      <c r="L828" s="2" t="s">
        <v>518</v>
      </c>
    </row>
    <row r="829" customFormat="false" ht="15.65" hidden="false" customHeight="true" outlineLevel="0" collapsed="false">
      <c r="A829" s="5" t="str">
        <f aca="false">HYPERLINK("https://www.fabsurplus.com/sdi_catalog/salesItemDetails.do?id=106638")</f>
        <v>https://www.fabsurplus.com/sdi_catalog/salesItemDetails.do?id=106638</v>
      </c>
      <c r="B829" s="5" t="s">
        <v>2053</v>
      </c>
      <c r="C829" s="5" t="s">
        <v>2051</v>
      </c>
      <c r="D829" s="5" t="s">
        <v>1862</v>
      </c>
      <c r="E829" s="5" t="s">
        <v>2054</v>
      </c>
      <c r="F829" s="5" t="s">
        <v>16</v>
      </c>
      <c r="G829" s="5" t="s">
        <v>61</v>
      </c>
      <c r="H829" s="5"/>
      <c r="I829" s="6" t="n">
        <v>39600</v>
      </c>
      <c r="J829" s="5" t="s">
        <v>19</v>
      </c>
      <c r="K829" s="5"/>
      <c r="L829" s="5" t="s">
        <v>518</v>
      </c>
    </row>
    <row r="830" customFormat="false" ht="15.65" hidden="false" customHeight="true" outlineLevel="0" collapsed="false">
      <c r="A830" s="2" t="str">
        <f aca="false">HYPERLINK("https://www.fabsurplus.com/sdi_catalog/salesItemDetails.do?id=91279")</f>
        <v>https://www.fabsurplus.com/sdi_catalog/salesItemDetails.do?id=91279</v>
      </c>
      <c r="B830" s="2" t="s">
        <v>2055</v>
      </c>
      <c r="C830" s="2" t="s">
        <v>1549</v>
      </c>
      <c r="D830" s="2" t="s">
        <v>2056</v>
      </c>
      <c r="E830" s="2" t="s">
        <v>1926</v>
      </c>
      <c r="F830" s="2" t="s">
        <v>16</v>
      </c>
      <c r="G830" s="2" t="s">
        <v>61</v>
      </c>
      <c r="H830" s="2"/>
      <c r="I830" s="3" t="n">
        <v>39599.9166666667</v>
      </c>
      <c r="J830" s="2" t="s">
        <v>19</v>
      </c>
      <c r="K830" s="2"/>
      <c r="L830" s="2" t="s">
        <v>142</v>
      </c>
    </row>
    <row r="831" customFormat="false" ht="15.65" hidden="false" customHeight="true" outlineLevel="0" collapsed="false">
      <c r="A831" s="5" t="str">
        <f aca="false">HYPERLINK("https://www.fabsurplus.com/sdi_catalog/salesItemDetails.do?id=91280")</f>
        <v>https://www.fabsurplus.com/sdi_catalog/salesItemDetails.do?id=91280</v>
      </c>
      <c r="B831" s="5" t="s">
        <v>2057</v>
      </c>
      <c r="C831" s="5" t="s">
        <v>1549</v>
      </c>
      <c r="D831" s="5" t="s">
        <v>2056</v>
      </c>
      <c r="E831" s="5" t="s">
        <v>1926</v>
      </c>
      <c r="F831" s="5" t="s">
        <v>16</v>
      </c>
      <c r="G831" s="5" t="s">
        <v>61</v>
      </c>
      <c r="H831" s="5"/>
      <c r="I831" s="6" t="n">
        <v>39599.9166666667</v>
      </c>
      <c r="J831" s="5" t="s">
        <v>19</v>
      </c>
      <c r="K831" s="5"/>
      <c r="L831" s="5" t="s">
        <v>142</v>
      </c>
    </row>
    <row r="832" customFormat="false" ht="15.65" hidden="false" customHeight="true" outlineLevel="0" collapsed="false">
      <c r="A832" s="2" t="str">
        <f aca="false">HYPERLINK("https://www.fabsurplus.com/sdi_catalog/salesItemDetails.do?id=91281")</f>
        <v>https://www.fabsurplus.com/sdi_catalog/salesItemDetails.do?id=91281</v>
      </c>
      <c r="B832" s="2" t="s">
        <v>2058</v>
      </c>
      <c r="C832" s="2" t="s">
        <v>1549</v>
      </c>
      <c r="D832" s="2" t="s">
        <v>2056</v>
      </c>
      <c r="E832" s="2" t="s">
        <v>1926</v>
      </c>
      <c r="F832" s="2" t="s">
        <v>16</v>
      </c>
      <c r="G832" s="2" t="s">
        <v>61</v>
      </c>
      <c r="H832" s="2"/>
      <c r="I832" s="3" t="n">
        <v>39599.9166666667</v>
      </c>
      <c r="J832" s="2" t="s">
        <v>19</v>
      </c>
      <c r="K832" s="2"/>
      <c r="L832" s="2" t="s">
        <v>142</v>
      </c>
    </row>
    <row r="833" customFormat="false" ht="15.65" hidden="false" customHeight="true" outlineLevel="0" collapsed="false">
      <c r="A833" s="5" t="str">
        <f aca="false">HYPERLINK("https://www.fabsurplus.com/sdi_catalog/salesItemDetails.do?id=91282")</f>
        <v>https://www.fabsurplus.com/sdi_catalog/salesItemDetails.do?id=91282</v>
      </c>
      <c r="B833" s="5" t="s">
        <v>2059</v>
      </c>
      <c r="C833" s="5" t="s">
        <v>1549</v>
      </c>
      <c r="D833" s="5" t="s">
        <v>2056</v>
      </c>
      <c r="E833" s="5" t="s">
        <v>1926</v>
      </c>
      <c r="F833" s="5" t="s">
        <v>16</v>
      </c>
      <c r="G833" s="5" t="s">
        <v>61</v>
      </c>
      <c r="H833" s="5"/>
      <c r="I833" s="6" t="n">
        <v>39599.9166666667</v>
      </c>
      <c r="J833" s="5" t="s">
        <v>19</v>
      </c>
      <c r="K833" s="5"/>
      <c r="L833" s="5" t="s">
        <v>142</v>
      </c>
    </row>
    <row r="834" customFormat="false" ht="15.65" hidden="false" customHeight="true" outlineLevel="0" collapsed="false">
      <c r="A834" s="2" t="str">
        <f aca="false">HYPERLINK("https://www.fabsurplus.com/sdi_catalog/salesItemDetails.do?id=91283")</f>
        <v>https://www.fabsurplus.com/sdi_catalog/salesItemDetails.do?id=91283</v>
      </c>
      <c r="B834" s="2" t="s">
        <v>2060</v>
      </c>
      <c r="C834" s="2" t="s">
        <v>1549</v>
      </c>
      <c r="D834" s="2" t="s">
        <v>2056</v>
      </c>
      <c r="E834" s="2" t="s">
        <v>1926</v>
      </c>
      <c r="F834" s="2" t="s">
        <v>16</v>
      </c>
      <c r="G834" s="2" t="s">
        <v>61</v>
      </c>
      <c r="H834" s="2"/>
      <c r="I834" s="3" t="n">
        <v>39599.9166666667</v>
      </c>
      <c r="J834" s="2" t="s">
        <v>19</v>
      </c>
      <c r="K834" s="2"/>
      <c r="L834" s="2" t="s">
        <v>142</v>
      </c>
    </row>
    <row r="835" customFormat="false" ht="15.65" hidden="false" customHeight="true" outlineLevel="0" collapsed="false">
      <c r="A835" s="5" t="str">
        <f aca="false">HYPERLINK("https://www.fabsurplus.com/sdi_catalog/salesItemDetails.do?id=91284")</f>
        <v>https://www.fabsurplus.com/sdi_catalog/salesItemDetails.do?id=91284</v>
      </c>
      <c r="B835" s="5" t="s">
        <v>2061</v>
      </c>
      <c r="C835" s="5" t="s">
        <v>1549</v>
      </c>
      <c r="D835" s="5" t="s">
        <v>2062</v>
      </c>
      <c r="E835" s="5" t="s">
        <v>2063</v>
      </c>
      <c r="F835" s="5" t="s">
        <v>16</v>
      </c>
      <c r="G835" s="5" t="s">
        <v>61</v>
      </c>
      <c r="H835" s="5"/>
      <c r="I835" s="5"/>
      <c r="J835" s="5" t="s">
        <v>19</v>
      </c>
      <c r="K835" s="5"/>
      <c r="L835" s="5" t="s">
        <v>142</v>
      </c>
    </row>
    <row r="836" customFormat="false" ht="15.65" hidden="false" customHeight="true" outlineLevel="0" collapsed="false">
      <c r="A836" s="2" t="str">
        <f aca="false">HYPERLINK("https://www.fabsurplus.com/sdi_catalog/salesItemDetails.do?id=91285")</f>
        <v>https://www.fabsurplus.com/sdi_catalog/salesItemDetails.do?id=91285</v>
      </c>
      <c r="B836" s="2" t="s">
        <v>2064</v>
      </c>
      <c r="C836" s="2" t="s">
        <v>1549</v>
      </c>
      <c r="D836" s="2" t="s">
        <v>2062</v>
      </c>
      <c r="E836" s="2" t="s">
        <v>2063</v>
      </c>
      <c r="F836" s="2" t="s">
        <v>16</v>
      </c>
      <c r="G836" s="2" t="s">
        <v>61</v>
      </c>
      <c r="H836" s="2"/>
      <c r="I836" s="2"/>
      <c r="J836" s="2" t="s">
        <v>19</v>
      </c>
      <c r="K836" s="2"/>
      <c r="L836" s="2" t="s">
        <v>142</v>
      </c>
    </row>
    <row r="837" customFormat="false" ht="15.65" hidden="false" customHeight="true" outlineLevel="0" collapsed="false">
      <c r="A837" s="5" t="str">
        <f aca="false">HYPERLINK("https://www.fabsurplus.com/sdi_catalog/salesItemDetails.do?id=91286")</f>
        <v>https://www.fabsurplus.com/sdi_catalog/salesItemDetails.do?id=91286</v>
      </c>
      <c r="B837" s="5" t="s">
        <v>2065</v>
      </c>
      <c r="C837" s="5" t="s">
        <v>1549</v>
      </c>
      <c r="D837" s="5" t="s">
        <v>1419</v>
      </c>
      <c r="E837" s="5" t="s">
        <v>2066</v>
      </c>
      <c r="F837" s="5" t="s">
        <v>16</v>
      </c>
      <c r="G837" s="5" t="s">
        <v>1293</v>
      </c>
      <c r="H837" s="5"/>
      <c r="I837" s="5"/>
      <c r="J837" s="5" t="s">
        <v>19</v>
      </c>
      <c r="K837" s="5"/>
      <c r="L837" s="5" t="s">
        <v>142</v>
      </c>
    </row>
    <row r="838" customFormat="false" ht="15.65" hidden="false" customHeight="true" outlineLevel="0" collapsed="false">
      <c r="A838" s="2" t="str">
        <f aca="false">HYPERLINK("https://www.fabsurplus.com/sdi_catalog/salesItemDetails.do?id=91287")</f>
        <v>https://www.fabsurplus.com/sdi_catalog/salesItemDetails.do?id=91287</v>
      </c>
      <c r="B838" s="2" t="s">
        <v>2067</v>
      </c>
      <c r="C838" s="2" t="s">
        <v>1549</v>
      </c>
      <c r="D838" s="2" t="s">
        <v>1419</v>
      </c>
      <c r="E838" s="2" t="s">
        <v>2066</v>
      </c>
      <c r="F838" s="2" t="s">
        <v>16</v>
      </c>
      <c r="G838" s="2" t="s">
        <v>1293</v>
      </c>
      <c r="H838" s="2"/>
      <c r="I838" s="3" t="n">
        <v>34120.9166666667</v>
      </c>
      <c r="J838" s="2" t="s">
        <v>19</v>
      </c>
      <c r="K838" s="2"/>
      <c r="L838" s="2" t="s">
        <v>142</v>
      </c>
    </row>
    <row r="839" customFormat="false" ht="15.65" hidden="false" customHeight="true" outlineLevel="0" collapsed="false">
      <c r="A839" s="5" t="str">
        <f aca="false">HYPERLINK("https://www.fabsurplus.com/sdi_catalog/salesItemDetails.do?id=18840")</f>
        <v>https://www.fabsurplus.com/sdi_catalog/salesItemDetails.do?id=18840</v>
      </c>
      <c r="B839" s="5" t="s">
        <v>2068</v>
      </c>
      <c r="C839" s="5" t="s">
        <v>1769</v>
      </c>
      <c r="D839" s="5" t="s">
        <v>2069</v>
      </c>
      <c r="E839" s="5" t="s">
        <v>2070</v>
      </c>
      <c r="F839" s="5" t="s">
        <v>16</v>
      </c>
      <c r="G839" s="5"/>
      <c r="H839" s="5"/>
      <c r="I839" s="5"/>
      <c r="J839" s="5" t="s">
        <v>19</v>
      </c>
      <c r="K839" s="5"/>
      <c r="L839" s="5"/>
    </row>
    <row r="840" customFormat="false" ht="15.65" hidden="false" customHeight="true" outlineLevel="0" collapsed="false">
      <c r="A840" s="2" t="str">
        <f aca="false">HYPERLINK("https://www.fabsurplus.com/sdi_catalog/salesItemDetails.do?id=18841")</f>
        <v>https://www.fabsurplus.com/sdi_catalog/salesItemDetails.do?id=18841</v>
      </c>
      <c r="B840" s="2" t="s">
        <v>2071</v>
      </c>
      <c r="C840" s="2" t="s">
        <v>1769</v>
      </c>
      <c r="D840" s="2" t="s">
        <v>2072</v>
      </c>
      <c r="E840" s="2" t="s">
        <v>2073</v>
      </c>
      <c r="F840" s="2" t="s">
        <v>16</v>
      </c>
      <c r="G840" s="2"/>
      <c r="H840" s="2"/>
      <c r="I840" s="2"/>
      <c r="J840" s="2" t="s">
        <v>19</v>
      </c>
      <c r="K840" s="2"/>
      <c r="L840" s="2"/>
    </row>
    <row r="841" customFormat="false" ht="15.65" hidden="false" customHeight="true" outlineLevel="0" collapsed="false">
      <c r="A841" s="5" t="str">
        <f aca="false">HYPERLINK("https://www.fabsurplus.com/sdi_catalog/salesItemDetails.do?id=105881")</f>
        <v>https://www.fabsurplus.com/sdi_catalog/salesItemDetails.do?id=105881</v>
      </c>
      <c r="B841" s="5" t="s">
        <v>2074</v>
      </c>
      <c r="C841" s="5" t="s">
        <v>1549</v>
      </c>
      <c r="D841" s="5" t="s">
        <v>2075</v>
      </c>
      <c r="E841" s="5" t="s">
        <v>2076</v>
      </c>
      <c r="F841" s="5" t="s">
        <v>16</v>
      </c>
      <c r="G841" s="5" t="s">
        <v>1287</v>
      </c>
      <c r="H841" s="5" t="s">
        <v>32</v>
      </c>
      <c r="I841" s="6" t="n">
        <v>40664</v>
      </c>
      <c r="J841" s="5" t="s">
        <v>19</v>
      </c>
      <c r="K841" s="5" t="s">
        <v>20</v>
      </c>
      <c r="L841" s="7" t="s">
        <v>2077</v>
      </c>
    </row>
    <row r="842" customFormat="false" ht="15.65" hidden="false" customHeight="true" outlineLevel="0" collapsed="false">
      <c r="A842" s="2" t="str">
        <f aca="false">HYPERLINK("https://www.fabsurplus.com/sdi_catalog/salesItemDetails.do?id=18842")</f>
        <v>https://www.fabsurplus.com/sdi_catalog/salesItemDetails.do?id=18842</v>
      </c>
      <c r="B842" s="2" t="s">
        <v>2078</v>
      </c>
      <c r="C842" s="2" t="s">
        <v>1769</v>
      </c>
      <c r="D842" s="2" t="s">
        <v>2079</v>
      </c>
      <c r="E842" s="2" t="s">
        <v>2080</v>
      </c>
      <c r="F842" s="2" t="s">
        <v>16</v>
      </c>
      <c r="G842" s="2"/>
      <c r="H842" s="2"/>
      <c r="I842" s="2"/>
      <c r="J842" s="2" t="s">
        <v>19</v>
      </c>
      <c r="K842" s="2"/>
      <c r="L842" s="2"/>
    </row>
    <row r="843" customFormat="false" ht="15.65" hidden="false" customHeight="true" outlineLevel="0" collapsed="false">
      <c r="A843" s="5" t="str">
        <f aca="false">HYPERLINK("https://www.fabsurplus.com/sdi_catalog/salesItemDetails.do?id=18843")</f>
        <v>https://www.fabsurplus.com/sdi_catalog/salesItemDetails.do?id=18843</v>
      </c>
      <c r="B843" s="5" t="s">
        <v>2081</v>
      </c>
      <c r="C843" s="5" t="s">
        <v>1769</v>
      </c>
      <c r="D843" s="5" t="s">
        <v>2082</v>
      </c>
      <c r="E843" s="5" t="s">
        <v>2083</v>
      </c>
      <c r="F843" s="5" t="s">
        <v>16</v>
      </c>
      <c r="G843" s="5"/>
      <c r="H843" s="5"/>
      <c r="I843" s="5"/>
      <c r="J843" s="5" t="s">
        <v>19</v>
      </c>
      <c r="K843" s="5"/>
      <c r="L843" s="5"/>
    </row>
    <row r="844" customFormat="false" ht="15.65" hidden="false" customHeight="true" outlineLevel="0" collapsed="false">
      <c r="A844" s="2" t="str">
        <f aca="false">HYPERLINK("https://www.fabsurplus.com/sdi_catalog/salesItemDetails.do?id=108699")</f>
        <v>https://www.fabsurplus.com/sdi_catalog/salesItemDetails.do?id=108699</v>
      </c>
      <c r="B844" s="2" t="s">
        <v>2084</v>
      </c>
      <c r="C844" s="2" t="s">
        <v>1549</v>
      </c>
      <c r="D844" s="2" t="s">
        <v>2085</v>
      </c>
      <c r="E844" s="2" t="s">
        <v>2086</v>
      </c>
      <c r="F844" s="2" t="s">
        <v>16</v>
      </c>
      <c r="G844" s="2" t="s">
        <v>1287</v>
      </c>
      <c r="H844" s="2" t="s">
        <v>18</v>
      </c>
      <c r="I844" s="3" t="n">
        <v>38869</v>
      </c>
      <c r="J844" s="2" t="s">
        <v>19</v>
      </c>
      <c r="K844" s="2" t="s">
        <v>20</v>
      </c>
      <c r="L844" s="4" t="s">
        <v>2087</v>
      </c>
    </row>
    <row r="845" customFormat="false" ht="15.65" hidden="false" customHeight="true" outlineLevel="0" collapsed="false">
      <c r="A845" s="5" t="str">
        <f aca="false">HYPERLINK("https://www.fabsurplus.com/sdi_catalog/salesItemDetails.do?id=4252")</f>
        <v>https://www.fabsurplus.com/sdi_catalog/salesItemDetails.do?id=4252</v>
      </c>
      <c r="B845" s="5" t="s">
        <v>2088</v>
      </c>
      <c r="C845" s="5" t="s">
        <v>1549</v>
      </c>
      <c r="D845" s="5" t="s">
        <v>2072</v>
      </c>
      <c r="E845" s="5" t="s">
        <v>2089</v>
      </c>
      <c r="F845" s="5" t="s">
        <v>16</v>
      </c>
      <c r="G845" s="5" t="s">
        <v>104</v>
      </c>
      <c r="H845" s="5"/>
      <c r="I845" s="6" t="n">
        <v>33604</v>
      </c>
      <c r="J845" s="5" t="s">
        <v>19</v>
      </c>
      <c r="K845" s="5"/>
      <c r="L845" s="5"/>
    </row>
    <row r="846" customFormat="false" ht="15.65" hidden="false" customHeight="true" outlineLevel="0" collapsed="false">
      <c r="A846" s="2" t="str">
        <f aca="false">HYPERLINK("https://www.fabsurplus.com/sdi_catalog/salesItemDetails.do?id=18844")</f>
        <v>https://www.fabsurplus.com/sdi_catalog/salesItemDetails.do?id=18844</v>
      </c>
      <c r="B846" s="2" t="s">
        <v>2090</v>
      </c>
      <c r="C846" s="2" t="s">
        <v>1769</v>
      </c>
      <c r="D846" s="2" t="s">
        <v>2091</v>
      </c>
      <c r="E846" s="2" t="s">
        <v>2092</v>
      </c>
      <c r="F846" s="2" t="s">
        <v>16</v>
      </c>
      <c r="G846" s="2"/>
      <c r="H846" s="2"/>
      <c r="I846" s="2"/>
      <c r="J846" s="2" t="s">
        <v>19</v>
      </c>
      <c r="K846" s="2"/>
      <c r="L846" s="2"/>
    </row>
    <row r="847" customFormat="false" ht="15.65" hidden="false" customHeight="true" outlineLevel="0" collapsed="false">
      <c r="A847" s="5" t="str">
        <f aca="false">HYPERLINK("https://www.fabsurplus.com/sdi_catalog/salesItemDetails.do?id=108701")</f>
        <v>https://www.fabsurplus.com/sdi_catalog/salesItemDetails.do?id=108701</v>
      </c>
      <c r="B847" s="5" t="s">
        <v>2093</v>
      </c>
      <c r="C847" s="5" t="s">
        <v>1549</v>
      </c>
      <c r="D847" s="5" t="s">
        <v>2094</v>
      </c>
      <c r="E847" s="5" t="s">
        <v>2095</v>
      </c>
      <c r="F847" s="5" t="s">
        <v>16</v>
      </c>
      <c r="G847" s="5" t="s">
        <v>38</v>
      </c>
      <c r="H847" s="5" t="s">
        <v>32</v>
      </c>
      <c r="I847" s="5"/>
      <c r="J847" s="5" t="s">
        <v>19</v>
      </c>
      <c r="K847" s="5" t="s">
        <v>20</v>
      </c>
      <c r="L847" s="7" t="s">
        <v>2096</v>
      </c>
    </row>
    <row r="848" customFormat="false" ht="15.65" hidden="false" customHeight="true" outlineLevel="0" collapsed="false">
      <c r="A848" s="2" t="str">
        <f aca="false">HYPERLINK("https://www.fabsurplus.com/sdi_catalog/salesItemDetails.do?id=108705")</f>
        <v>https://www.fabsurplus.com/sdi_catalog/salesItemDetails.do?id=108705</v>
      </c>
      <c r="B848" s="2" t="s">
        <v>2097</v>
      </c>
      <c r="C848" s="2" t="s">
        <v>1549</v>
      </c>
      <c r="D848" s="2" t="s">
        <v>2098</v>
      </c>
      <c r="E848" s="2" t="s">
        <v>2099</v>
      </c>
      <c r="F848" s="2" t="s">
        <v>16</v>
      </c>
      <c r="G848" s="2" t="s">
        <v>38</v>
      </c>
      <c r="H848" s="2" t="s">
        <v>32</v>
      </c>
      <c r="I848" s="2"/>
      <c r="J848" s="2" t="s">
        <v>42</v>
      </c>
      <c r="K848" s="2" t="s">
        <v>20</v>
      </c>
      <c r="L848" s="2" t="s">
        <v>2100</v>
      </c>
    </row>
    <row r="849" customFormat="false" ht="15.65" hidden="false" customHeight="true" outlineLevel="0" collapsed="false">
      <c r="A849" s="5" t="str">
        <f aca="false">HYPERLINK("https://www.fabsurplus.com/sdi_catalog/salesItemDetails.do?id=91316")</f>
        <v>https://www.fabsurplus.com/sdi_catalog/salesItemDetails.do?id=91316</v>
      </c>
      <c r="B849" s="5" t="s">
        <v>2101</v>
      </c>
      <c r="C849" s="5" t="s">
        <v>1549</v>
      </c>
      <c r="D849" s="5" t="s">
        <v>2056</v>
      </c>
      <c r="E849" s="5" t="s">
        <v>1926</v>
      </c>
      <c r="F849" s="5" t="s">
        <v>16</v>
      </c>
      <c r="G849" s="5" t="s">
        <v>61</v>
      </c>
      <c r="H849" s="5"/>
      <c r="I849" s="5"/>
      <c r="J849" s="5" t="s">
        <v>19</v>
      </c>
      <c r="K849" s="5"/>
      <c r="L849" s="5" t="s">
        <v>142</v>
      </c>
    </row>
    <row r="850" customFormat="false" ht="15.65" hidden="false" customHeight="true" outlineLevel="0" collapsed="false">
      <c r="A850" s="2" t="str">
        <f aca="false">HYPERLINK("https://www.fabsurplus.com/sdi_catalog/salesItemDetails.do?id=93108")</f>
        <v>https://www.fabsurplus.com/sdi_catalog/salesItemDetails.do?id=93108</v>
      </c>
      <c r="B850" s="2" t="s">
        <v>2102</v>
      </c>
      <c r="C850" s="2" t="s">
        <v>1549</v>
      </c>
      <c r="D850" s="2" t="s">
        <v>1832</v>
      </c>
      <c r="E850" s="2" t="s">
        <v>2103</v>
      </c>
      <c r="F850" s="2" t="s">
        <v>16</v>
      </c>
      <c r="G850" s="2" t="s">
        <v>61</v>
      </c>
      <c r="H850" s="2"/>
      <c r="I850" s="3" t="n">
        <v>42886.9166666667</v>
      </c>
      <c r="J850" s="2" t="s">
        <v>19</v>
      </c>
      <c r="K850" s="2"/>
      <c r="L850" s="2" t="s">
        <v>142</v>
      </c>
    </row>
    <row r="851" customFormat="false" ht="15.65" hidden="false" customHeight="true" outlineLevel="0" collapsed="false">
      <c r="A851" s="5" t="str">
        <f aca="false">HYPERLINK("https://www.fabsurplus.com/sdi_catalog/salesItemDetails.do?id=91317")</f>
        <v>https://www.fabsurplus.com/sdi_catalog/salesItemDetails.do?id=91317</v>
      </c>
      <c r="B851" s="5" t="s">
        <v>2104</v>
      </c>
      <c r="C851" s="5" t="s">
        <v>1549</v>
      </c>
      <c r="D851" s="5" t="s">
        <v>2056</v>
      </c>
      <c r="E851" s="5" t="s">
        <v>1926</v>
      </c>
      <c r="F851" s="5" t="s">
        <v>16</v>
      </c>
      <c r="G851" s="5" t="s">
        <v>61</v>
      </c>
      <c r="H851" s="5"/>
      <c r="I851" s="5"/>
      <c r="J851" s="5" t="s">
        <v>19</v>
      </c>
      <c r="K851" s="5"/>
      <c r="L851" s="5" t="s">
        <v>142</v>
      </c>
    </row>
    <row r="852" customFormat="false" ht="15.65" hidden="false" customHeight="true" outlineLevel="0" collapsed="false">
      <c r="A852" s="2" t="str">
        <f aca="false">HYPERLINK("https://www.fabsurplus.com/sdi_catalog/salesItemDetails.do?id=93109")</f>
        <v>https://www.fabsurplus.com/sdi_catalog/salesItemDetails.do?id=93109</v>
      </c>
      <c r="B852" s="2" t="s">
        <v>2105</v>
      </c>
      <c r="C852" s="2" t="s">
        <v>1549</v>
      </c>
      <c r="D852" s="2" t="s">
        <v>1832</v>
      </c>
      <c r="E852" s="2" t="s">
        <v>2103</v>
      </c>
      <c r="F852" s="2" t="s">
        <v>16</v>
      </c>
      <c r="G852" s="2" t="s">
        <v>61</v>
      </c>
      <c r="H852" s="2"/>
      <c r="I852" s="3" t="n">
        <v>42886.9166666667</v>
      </c>
      <c r="J852" s="2" t="s">
        <v>19</v>
      </c>
      <c r="K852" s="2"/>
      <c r="L852" s="2" t="s">
        <v>142</v>
      </c>
    </row>
    <row r="853" customFormat="false" ht="15.65" hidden="false" customHeight="true" outlineLevel="0" collapsed="false">
      <c r="A853" s="5" t="str">
        <f aca="false">HYPERLINK("https://www.fabsurplus.com/sdi_catalog/salesItemDetails.do?id=106944")</f>
        <v>https://www.fabsurplus.com/sdi_catalog/salesItemDetails.do?id=106944</v>
      </c>
      <c r="B853" s="5" t="s">
        <v>2106</v>
      </c>
      <c r="C853" s="5" t="s">
        <v>1549</v>
      </c>
      <c r="D853" s="5" t="s">
        <v>2107</v>
      </c>
      <c r="E853" s="5" t="s">
        <v>2108</v>
      </c>
      <c r="F853" s="5" t="s">
        <v>16</v>
      </c>
      <c r="G853" s="5" t="s">
        <v>1293</v>
      </c>
      <c r="H853" s="5" t="s">
        <v>1969</v>
      </c>
      <c r="I853" s="6" t="n">
        <v>37196</v>
      </c>
      <c r="J853" s="5" t="s">
        <v>19</v>
      </c>
      <c r="K853" s="5" t="s">
        <v>20</v>
      </c>
      <c r="L853" s="7" t="s">
        <v>2109</v>
      </c>
    </row>
    <row r="854" customFormat="false" ht="15.65" hidden="false" customHeight="true" outlineLevel="0" collapsed="false">
      <c r="A854" s="2" t="str">
        <f aca="false">HYPERLINK("https://www.fabsurplus.com/sdi_catalog/salesItemDetails.do?id=91602")</f>
        <v>https://www.fabsurplus.com/sdi_catalog/salesItemDetails.do?id=91602</v>
      </c>
      <c r="B854" s="2" t="s">
        <v>2110</v>
      </c>
      <c r="C854" s="2" t="s">
        <v>1549</v>
      </c>
      <c r="D854" s="2" t="s">
        <v>1918</v>
      </c>
      <c r="E854" s="2" t="s">
        <v>2111</v>
      </c>
      <c r="F854" s="2" t="s">
        <v>16</v>
      </c>
      <c r="G854" s="2" t="s">
        <v>61</v>
      </c>
      <c r="H854" s="2"/>
      <c r="I854" s="2"/>
      <c r="J854" s="2" t="s">
        <v>19</v>
      </c>
      <c r="K854" s="2"/>
      <c r="L854" s="2" t="s">
        <v>142</v>
      </c>
    </row>
    <row r="855" customFormat="false" ht="15.65" hidden="false" customHeight="true" outlineLevel="0" collapsed="false">
      <c r="A855" s="5" t="str">
        <f aca="false">HYPERLINK("https://www.fabsurplus.com/sdi_catalog/salesItemDetails.do?id=91603")</f>
        <v>https://www.fabsurplus.com/sdi_catalog/salesItemDetails.do?id=91603</v>
      </c>
      <c r="B855" s="5" t="s">
        <v>2112</v>
      </c>
      <c r="C855" s="5" t="s">
        <v>1549</v>
      </c>
      <c r="D855" s="5" t="s">
        <v>1918</v>
      </c>
      <c r="E855" s="5" t="s">
        <v>2111</v>
      </c>
      <c r="F855" s="5" t="s">
        <v>16</v>
      </c>
      <c r="G855" s="5" t="s">
        <v>61</v>
      </c>
      <c r="H855" s="5"/>
      <c r="I855" s="5"/>
      <c r="J855" s="5" t="s">
        <v>19</v>
      </c>
      <c r="K855" s="5"/>
      <c r="L855" s="5" t="s">
        <v>142</v>
      </c>
    </row>
    <row r="856" customFormat="false" ht="15.65" hidden="false" customHeight="true" outlineLevel="0" collapsed="false">
      <c r="A856" s="2" t="str">
        <f aca="false">HYPERLINK("https://www.fabsurplus.com/sdi_catalog/salesItemDetails.do?id=91604")</f>
        <v>https://www.fabsurplus.com/sdi_catalog/salesItemDetails.do?id=91604</v>
      </c>
      <c r="B856" s="2" t="s">
        <v>2113</v>
      </c>
      <c r="C856" s="2" t="s">
        <v>1549</v>
      </c>
      <c r="D856" s="2" t="s">
        <v>1918</v>
      </c>
      <c r="E856" s="2" t="s">
        <v>2111</v>
      </c>
      <c r="F856" s="2" t="s">
        <v>16</v>
      </c>
      <c r="G856" s="2" t="s">
        <v>61</v>
      </c>
      <c r="H856" s="2"/>
      <c r="I856" s="2"/>
      <c r="J856" s="2" t="s">
        <v>19</v>
      </c>
      <c r="K856" s="2"/>
      <c r="L856" s="2" t="s">
        <v>142</v>
      </c>
    </row>
    <row r="857" customFormat="false" ht="15.65" hidden="false" customHeight="true" outlineLevel="0" collapsed="false">
      <c r="A857" s="5" t="str">
        <f aca="false">HYPERLINK("https://www.fabsurplus.com/sdi_catalog/salesItemDetails.do?id=91605")</f>
        <v>https://www.fabsurplus.com/sdi_catalog/salesItemDetails.do?id=91605</v>
      </c>
      <c r="B857" s="5" t="s">
        <v>2114</v>
      </c>
      <c r="C857" s="5" t="s">
        <v>1549</v>
      </c>
      <c r="D857" s="5" t="s">
        <v>1918</v>
      </c>
      <c r="E857" s="5" t="s">
        <v>2111</v>
      </c>
      <c r="F857" s="5" t="s">
        <v>16</v>
      </c>
      <c r="G857" s="5" t="s">
        <v>61</v>
      </c>
      <c r="H857" s="5"/>
      <c r="I857" s="5"/>
      <c r="J857" s="5" t="s">
        <v>19</v>
      </c>
      <c r="K857" s="5"/>
      <c r="L857" s="5" t="s">
        <v>142</v>
      </c>
    </row>
    <row r="858" customFormat="false" ht="15.65" hidden="false" customHeight="true" outlineLevel="0" collapsed="false">
      <c r="A858" s="2" t="str">
        <f aca="false">HYPERLINK("https://www.fabsurplus.com/sdi_catalog/salesItemDetails.do?id=91606")</f>
        <v>https://www.fabsurplus.com/sdi_catalog/salesItemDetails.do?id=91606</v>
      </c>
      <c r="B858" s="2" t="s">
        <v>2115</v>
      </c>
      <c r="C858" s="2" t="s">
        <v>1549</v>
      </c>
      <c r="D858" s="2" t="s">
        <v>1918</v>
      </c>
      <c r="E858" s="2" t="s">
        <v>2111</v>
      </c>
      <c r="F858" s="2" t="s">
        <v>16</v>
      </c>
      <c r="G858" s="2" t="s">
        <v>61</v>
      </c>
      <c r="H858" s="2"/>
      <c r="I858" s="2"/>
      <c r="J858" s="2" t="s">
        <v>19</v>
      </c>
      <c r="K858" s="2"/>
      <c r="L858" s="2" t="s">
        <v>142</v>
      </c>
    </row>
    <row r="859" customFormat="false" ht="15.65" hidden="false" customHeight="true" outlineLevel="0" collapsed="false">
      <c r="A859" s="5" t="str">
        <f aca="false">HYPERLINK("https://www.fabsurplus.com/sdi_catalog/salesItemDetails.do?id=91607")</f>
        <v>https://www.fabsurplus.com/sdi_catalog/salesItemDetails.do?id=91607</v>
      </c>
      <c r="B859" s="5" t="s">
        <v>2116</v>
      </c>
      <c r="C859" s="5" t="s">
        <v>1549</v>
      </c>
      <c r="D859" s="5" t="s">
        <v>1918</v>
      </c>
      <c r="E859" s="5" t="s">
        <v>2111</v>
      </c>
      <c r="F859" s="5" t="s">
        <v>16</v>
      </c>
      <c r="G859" s="5" t="s">
        <v>61</v>
      </c>
      <c r="H859" s="5"/>
      <c r="I859" s="5"/>
      <c r="J859" s="5" t="s">
        <v>19</v>
      </c>
      <c r="K859" s="5"/>
      <c r="L859" s="5" t="s">
        <v>142</v>
      </c>
    </row>
    <row r="860" customFormat="false" ht="15.65" hidden="false" customHeight="true" outlineLevel="0" collapsed="false">
      <c r="A860" s="2" t="str">
        <f aca="false">HYPERLINK("https://www.fabsurplus.com/sdi_catalog/salesItemDetails.do?id=91608")</f>
        <v>https://www.fabsurplus.com/sdi_catalog/salesItemDetails.do?id=91608</v>
      </c>
      <c r="B860" s="2" t="s">
        <v>2117</v>
      </c>
      <c r="C860" s="2" t="s">
        <v>1549</v>
      </c>
      <c r="D860" s="2" t="s">
        <v>1918</v>
      </c>
      <c r="E860" s="2" t="s">
        <v>2111</v>
      </c>
      <c r="F860" s="2" t="s">
        <v>16</v>
      </c>
      <c r="G860" s="2" t="s">
        <v>61</v>
      </c>
      <c r="H860" s="2"/>
      <c r="I860" s="2"/>
      <c r="J860" s="2" t="s">
        <v>19</v>
      </c>
      <c r="K860" s="2"/>
      <c r="L860" s="2" t="s">
        <v>142</v>
      </c>
    </row>
    <row r="861" customFormat="false" ht="15.65" hidden="false" customHeight="true" outlineLevel="0" collapsed="false">
      <c r="A861" s="5" t="str">
        <f aca="false">HYPERLINK("https://www.fabsurplus.com/sdi_catalog/salesItemDetails.do?id=98264")</f>
        <v>https://www.fabsurplus.com/sdi_catalog/salesItemDetails.do?id=98264</v>
      </c>
      <c r="B861" s="5" t="s">
        <v>2118</v>
      </c>
      <c r="C861" s="5" t="s">
        <v>1549</v>
      </c>
      <c r="D861" s="5" t="s">
        <v>2119</v>
      </c>
      <c r="E861" s="5" t="s">
        <v>1877</v>
      </c>
      <c r="F861" s="5" t="s">
        <v>16</v>
      </c>
      <c r="G861" s="5" t="s">
        <v>61</v>
      </c>
      <c r="H861" s="5"/>
      <c r="I861" s="6" t="n">
        <v>37772.9166666667</v>
      </c>
      <c r="J861" s="5" t="s">
        <v>19</v>
      </c>
      <c r="K861" s="5"/>
      <c r="L861" s="5"/>
    </row>
    <row r="862" customFormat="false" ht="15.65" hidden="false" customHeight="true" outlineLevel="0" collapsed="false">
      <c r="A862" s="2" t="str">
        <f aca="false">HYPERLINK("https://www.fabsurplus.com/sdi_catalog/salesItemDetails.do?id=106203")</f>
        <v>https://www.fabsurplus.com/sdi_catalog/salesItemDetails.do?id=106203</v>
      </c>
      <c r="B862" s="2" t="s">
        <v>2120</v>
      </c>
      <c r="C862" s="2" t="s">
        <v>1549</v>
      </c>
      <c r="D862" s="2" t="s">
        <v>2121</v>
      </c>
      <c r="E862" s="2" t="s">
        <v>1564</v>
      </c>
      <c r="F862" s="2" t="s">
        <v>16</v>
      </c>
      <c r="G862" s="2" t="s">
        <v>38</v>
      </c>
      <c r="H862" s="2" t="s">
        <v>275</v>
      </c>
      <c r="I862" s="3" t="n">
        <v>35947</v>
      </c>
      <c r="J862" s="2" t="s">
        <v>42</v>
      </c>
      <c r="K862" s="2"/>
      <c r="L862" s="4" t="s">
        <v>2122</v>
      </c>
    </row>
    <row r="863" customFormat="false" ht="15.65" hidden="false" customHeight="true" outlineLevel="0" collapsed="false">
      <c r="A863" s="5" t="str">
        <f aca="false">HYPERLINK("https://www.fabsurplus.com/sdi_catalog/salesItemDetails.do?id=108254")</f>
        <v>https://www.fabsurplus.com/sdi_catalog/salesItemDetails.do?id=108254</v>
      </c>
      <c r="B863" s="5" t="s">
        <v>2123</v>
      </c>
      <c r="C863" s="5" t="s">
        <v>1549</v>
      </c>
      <c r="D863" s="5" t="s">
        <v>1419</v>
      </c>
      <c r="E863" s="5" t="s">
        <v>2124</v>
      </c>
      <c r="F863" s="5" t="s">
        <v>16</v>
      </c>
      <c r="G863" s="5" t="s">
        <v>38</v>
      </c>
      <c r="H863" s="5"/>
      <c r="I863" s="6" t="n">
        <v>37043</v>
      </c>
      <c r="J863" s="5" t="s">
        <v>19</v>
      </c>
      <c r="K863" s="5"/>
      <c r="L863" s="5" t="s">
        <v>2125</v>
      </c>
    </row>
    <row r="864" customFormat="false" ht="15.65" hidden="false" customHeight="true" outlineLevel="0" collapsed="false">
      <c r="A864" s="2" t="str">
        <f aca="false">HYPERLINK("https://www.fabsurplus.com/sdi_catalog/salesItemDetails.do?id=109534")</f>
        <v>https://www.fabsurplus.com/sdi_catalog/salesItemDetails.do?id=109534</v>
      </c>
      <c r="B864" s="2" t="s">
        <v>2126</v>
      </c>
      <c r="C864" s="2" t="s">
        <v>1549</v>
      </c>
      <c r="D864" s="2" t="s">
        <v>2127</v>
      </c>
      <c r="E864" s="2" t="s">
        <v>2128</v>
      </c>
      <c r="F864" s="2" t="s">
        <v>16</v>
      </c>
      <c r="G864" s="2" t="s">
        <v>104</v>
      </c>
      <c r="H864" s="2" t="s">
        <v>32</v>
      </c>
      <c r="I864" s="2"/>
      <c r="J864" s="2" t="s">
        <v>19</v>
      </c>
      <c r="K864" s="2" t="s">
        <v>20</v>
      </c>
      <c r="L864" s="4" t="s">
        <v>2129</v>
      </c>
    </row>
    <row r="865" customFormat="false" ht="15.65" hidden="false" customHeight="true" outlineLevel="0" collapsed="false">
      <c r="A865" s="5" t="str">
        <f aca="false">HYPERLINK("https://www.fabsurplus.com/sdi_catalog/salesItemDetails.do?id=106207")</f>
        <v>https://www.fabsurplus.com/sdi_catalog/salesItemDetails.do?id=106207</v>
      </c>
      <c r="B865" s="5" t="s">
        <v>2130</v>
      </c>
      <c r="C865" s="5" t="s">
        <v>1549</v>
      </c>
      <c r="D865" s="5" t="s">
        <v>2131</v>
      </c>
      <c r="E865" s="5" t="s">
        <v>2132</v>
      </c>
      <c r="F865" s="5" t="s">
        <v>16</v>
      </c>
      <c r="G865" s="5" t="s">
        <v>104</v>
      </c>
      <c r="H865" s="5" t="s">
        <v>1969</v>
      </c>
      <c r="I865" s="6" t="n">
        <v>36312</v>
      </c>
      <c r="J865" s="5" t="s">
        <v>19</v>
      </c>
      <c r="K865" s="5" t="s">
        <v>20</v>
      </c>
      <c r="L865" s="7" t="s">
        <v>2133</v>
      </c>
    </row>
    <row r="866" customFormat="false" ht="15.65" hidden="false" customHeight="true" outlineLevel="0" collapsed="false">
      <c r="A866" s="2" t="str">
        <f aca="false">HYPERLINK("https://www.fabsurplus.com/sdi_catalog/salesItemDetails.do?id=109535")</f>
        <v>https://www.fabsurplus.com/sdi_catalog/salesItemDetails.do?id=109535</v>
      </c>
      <c r="B866" s="2" t="s">
        <v>2134</v>
      </c>
      <c r="C866" s="2" t="s">
        <v>1549</v>
      </c>
      <c r="D866" s="2" t="s">
        <v>2135</v>
      </c>
      <c r="E866" s="2" t="s">
        <v>2136</v>
      </c>
      <c r="F866" s="2" t="s">
        <v>16</v>
      </c>
      <c r="G866" s="2" t="s">
        <v>104</v>
      </c>
      <c r="H866" s="2" t="s">
        <v>1969</v>
      </c>
      <c r="I866" s="2"/>
      <c r="J866" s="2" t="s">
        <v>42</v>
      </c>
      <c r="K866" s="2" t="s">
        <v>20</v>
      </c>
      <c r="L866" s="4" t="s">
        <v>2137</v>
      </c>
    </row>
    <row r="867" customFormat="false" ht="15.65" hidden="false" customHeight="true" outlineLevel="0" collapsed="false">
      <c r="A867" s="5" t="str">
        <f aca="false">HYPERLINK("https://www.fabsurplus.com/sdi_catalog/salesItemDetails.do?id=91616")</f>
        <v>https://www.fabsurplus.com/sdi_catalog/salesItemDetails.do?id=91616</v>
      </c>
      <c r="B867" s="5" t="s">
        <v>2138</v>
      </c>
      <c r="C867" s="5" t="s">
        <v>1549</v>
      </c>
      <c r="D867" s="5" t="s">
        <v>1918</v>
      </c>
      <c r="E867" s="5" t="s">
        <v>2139</v>
      </c>
      <c r="F867" s="5" t="s">
        <v>16</v>
      </c>
      <c r="G867" s="5" t="s">
        <v>61</v>
      </c>
      <c r="H867" s="5"/>
      <c r="I867" s="5"/>
      <c r="J867" s="5" t="s">
        <v>19</v>
      </c>
      <c r="K867" s="5"/>
      <c r="L867" s="5" t="s">
        <v>142</v>
      </c>
    </row>
    <row r="868" customFormat="false" ht="15.65" hidden="false" customHeight="true" outlineLevel="0" collapsed="false">
      <c r="A868" s="2" t="str">
        <f aca="false">HYPERLINK("https://www.fabsurplus.com/sdi_catalog/salesItemDetails.do?id=106208")</f>
        <v>https://www.fabsurplus.com/sdi_catalog/salesItemDetails.do?id=106208</v>
      </c>
      <c r="B868" s="2" t="s">
        <v>2140</v>
      </c>
      <c r="C868" s="2" t="s">
        <v>1549</v>
      </c>
      <c r="D868" s="2" t="s">
        <v>2141</v>
      </c>
      <c r="E868" s="2" t="s">
        <v>2142</v>
      </c>
      <c r="F868" s="2" t="s">
        <v>16</v>
      </c>
      <c r="G868" s="2" t="s">
        <v>104</v>
      </c>
      <c r="H868" s="2" t="s">
        <v>1969</v>
      </c>
      <c r="I868" s="3" t="n">
        <v>36312</v>
      </c>
      <c r="J868" s="2" t="s">
        <v>19</v>
      </c>
      <c r="K868" s="2" t="s">
        <v>20</v>
      </c>
      <c r="L868" s="4" t="s">
        <v>2143</v>
      </c>
    </row>
    <row r="869" customFormat="false" ht="15.65" hidden="false" customHeight="true" outlineLevel="0" collapsed="false">
      <c r="A869" s="5" t="str">
        <f aca="false">HYPERLINK("https://www.fabsurplus.com/sdi_catalog/salesItemDetails.do?id=91617")</f>
        <v>https://www.fabsurplus.com/sdi_catalog/salesItemDetails.do?id=91617</v>
      </c>
      <c r="B869" s="5" t="s">
        <v>2144</v>
      </c>
      <c r="C869" s="5" t="s">
        <v>1549</v>
      </c>
      <c r="D869" s="5" t="s">
        <v>1918</v>
      </c>
      <c r="E869" s="5" t="s">
        <v>2139</v>
      </c>
      <c r="F869" s="5" t="s">
        <v>16</v>
      </c>
      <c r="G869" s="5" t="s">
        <v>61</v>
      </c>
      <c r="H869" s="5"/>
      <c r="I869" s="5"/>
      <c r="J869" s="5" t="s">
        <v>19</v>
      </c>
      <c r="K869" s="5"/>
      <c r="L869" s="5" t="s">
        <v>142</v>
      </c>
    </row>
    <row r="870" customFormat="false" ht="15.65" hidden="false" customHeight="true" outlineLevel="0" collapsed="false">
      <c r="A870" s="2" t="str">
        <f aca="false">HYPERLINK("https://www.fabsurplus.com/sdi_catalog/salesItemDetails.do?id=106209")</f>
        <v>https://www.fabsurplus.com/sdi_catalog/salesItemDetails.do?id=106209</v>
      </c>
      <c r="B870" s="2" t="s">
        <v>2145</v>
      </c>
      <c r="C870" s="2" t="s">
        <v>1549</v>
      </c>
      <c r="D870" s="2" t="s">
        <v>2146</v>
      </c>
      <c r="E870" s="2" t="s">
        <v>2147</v>
      </c>
      <c r="F870" s="2" t="s">
        <v>16</v>
      </c>
      <c r="G870" s="2" t="s">
        <v>104</v>
      </c>
      <c r="H870" s="2" t="s">
        <v>32</v>
      </c>
      <c r="I870" s="3" t="n">
        <v>36312</v>
      </c>
      <c r="J870" s="2" t="s">
        <v>19</v>
      </c>
      <c r="K870" s="2" t="s">
        <v>20</v>
      </c>
      <c r="L870" s="4" t="s">
        <v>2148</v>
      </c>
    </row>
    <row r="871" customFormat="false" ht="15.65" hidden="false" customHeight="true" outlineLevel="0" collapsed="false">
      <c r="A871" s="5" t="str">
        <f aca="false">HYPERLINK("https://www.fabsurplus.com/sdi_catalog/salesItemDetails.do?id=91618")</f>
        <v>https://www.fabsurplus.com/sdi_catalog/salesItemDetails.do?id=91618</v>
      </c>
      <c r="B871" s="5" t="s">
        <v>2149</v>
      </c>
      <c r="C871" s="5" t="s">
        <v>1549</v>
      </c>
      <c r="D871" s="5" t="s">
        <v>2150</v>
      </c>
      <c r="E871" s="5" t="s">
        <v>2151</v>
      </c>
      <c r="F871" s="5" t="s">
        <v>16</v>
      </c>
      <c r="G871" s="5" t="s">
        <v>61</v>
      </c>
      <c r="H871" s="5"/>
      <c r="I871" s="5"/>
      <c r="J871" s="5" t="s">
        <v>19</v>
      </c>
      <c r="K871" s="5"/>
      <c r="L871" s="5" t="s">
        <v>142</v>
      </c>
    </row>
    <row r="872" customFormat="false" ht="15.65" hidden="false" customHeight="true" outlineLevel="0" collapsed="false">
      <c r="A872" s="2" t="str">
        <f aca="false">HYPERLINK("https://www.fabsurplus.com/sdi_catalog/salesItemDetails.do?id=106210")</f>
        <v>https://www.fabsurplus.com/sdi_catalog/salesItemDetails.do?id=106210</v>
      </c>
      <c r="B872" s="2" t="s">
        <v>2152</v>
      </c>
      <c r="C872" s="2" t="s">
        <v>1549</v>
      </c>
      <c r="D872" s="2" t="s">
        <v>2153</v>
      </c>
      <c r="E872" s="2" t="s">
        <v>2154</v>
      </c>
      <c r="F872" s="2" t="s">
        <v>16</v>
      </c>
      <c r="G872" s="2" t="s">
        <v>104</v>
      </c>
      <c r="H872" s="2" t="s">
        <v>1969</v>
      </c>
      <c r="I872" s="3" t="n">
        <v>35947</v>
      </c>
      <c r="J872" s="2" t="s">
        <v>19</v>
      </c>
      <c r="K872" s="2" t="s">
        <v>20</v>
      </c>
      <c r="L872" s="4" t="s">
        <v>2133</v>
      </c>
    </row>
    <row r="873" customFormat="false" ht="15.65" hidden="false" customHeight="true" outlineLevel="0" collapsed="false">
      <c r="A873" s="5" t="str">
        <f aca="false">HYPERLINK("https://www.fabsurplus.com/sdi_catalog/salesItemDetails.do?id=106211")</f>
        <v>https://www.fabsurplus.com/sdi_catalog/salesItemDetails.do?id=106211</v>
      </c>
      <c r="B873" s="5" t="s">
        <v>2155</v>
      </c>
      <c r="C873" s="5" t="s">
        <v>1549</v>
      </c>
      <c r="D873" s="5" t="s">
        <v>2156</v>
      </c>
      <c r="E873" s="5" t="s">
        <v>2157</v>
      </c>
      <c r="F873" s="5" t="s">
        <v>16</v>
      </c>
      <c r="G873" s="5" t="s">
        <v>104</v>
      </c>
      <c r="H873" s="5" t="s">
        <v>1969</v>
      </c>
      <c r="I873" s="6" t="n">
        <v>36312</v>
      </c>
      <c r="J873" s="5" t="s">
        <v>19</v>
      </c>
      <c r="K873" s="5" t="s">
        <v>20</v>
      </c>
      <c r="L873" s="7" t="s">
        <v>2143</v>
      </c>
    </row>
    <row r="874" customFormat="false" ht="15.65" hidden="false" customHeight="true" outlineLevel="0" collapsed="false">
      <c r="A874" s="2" t="str">
        <f aca="false">HYPERLINK("https://www.fabsurplus.com/sdi_catalog/salesItemDetails.do?id=91620")</f>
        <v>https://www.fabsurplus.com/sdi_catalog/salesItemDetails.do?id=91620</v>
      </c>
      <c r="B874" s="2" t="s">
        <v>2158</v>
      </c>
      <c r="C874" s="2" t="s">
        <v>1549</v>
      </c>
      <c r="D874" s="2" t="s">
        <v>2150</v>
      </c>
      <c r="E874" s="2" t="s">
        <v>2159</v>
      </c>
      <c r="F874" s="2" t="s">
        <v>16</v>
      </c>
      <c r="G874" s="2" t="s">
        <v>61</v>
      </c>
      <c r="H874" s="2"/>
      <c r="I874" s="2"/>
      <c r="J874" s="2" t="s">
        <v>19</v>
      </c>
      <c r="K874" s="2"/>
      <c r="L874" s="2" t="s">
        <v>142</v>
      </c>
    </row>
    <row r="875" customFormat="false" ht="15.65" hidden="false" customHeight="true" outlineLevel="0" collapsed="false">
      <c r="A875" s="5" t="str">
        <f aca="false">HYPERLINK("https://www.fabsurplus.com/sdi_catalog/salesItemDetails.do?id=94436")</f>
        <v>https://www.fabsurplus.com/sdi_catalog/salesItemDetails.do?id=94436</v>
      </c>
      <c r="B875" s="5" t="s">
        <v>2160</v>
      </c>
      <c r="C875" s="5" t="s">
        <v>1549</v>
      </c>
      <c r="D875" s="5" t="s">
        <v>2161</v>
      </c>
      <c r="E875" s="5" t="s">
        <v>2162</v>
      </c>
      <c r="F875" s="5" t="s">
        <v>16</v>
      </c>
      <c r="G875" s="5"/>
      <c r="H875" s="5" t="s">
        <v>18</v>
      </c>
      <c r="I875" s="6" t="n">
        <v>40329.9166666667</v>
      </c>
      <c r="J875" s="5" t="s">
        <v>19</v>
      </c>
      <c r="K875" s="5" t="s">
        <v>20</v>
      </c>
      <c r="L875" s="7" t="s">
        <v>2163</v>
      </c>
    </row>
    <row r="876" customFormat="false" ht="15.65" hidden="false" customHeight="true" outlineLevel="0" collapsed="false">
      <c r="A876" s="2" t="str">
        <f aca="false">HYPERLINK("https://www.fabsurplus.com/sdi_catalog/salesItemDetails.do?id=106212")</f>
        <v>https://www.fabsurplus.com/sdi_catalog/salesItemDetails.do?id=106212</v>
      </c>
      <c r="B876" s="2" t="s">
        <v>2164</v>
      </c>
      <c r="C876" s="2" t="s">
        <v>1549</v>
      </c>
      <c r="D876" s="2" t="s">
        <v>2165</v>
      </c>
      <c r="E876" s="2" t="s">
        <v>2166</v>
      </c>
      <c r="F876" s="2" t="s">
        <v>16</v>
      </c>
      <c r="G876" s="2" t="s">
        <v>104</v>
      </c>
      <c r="H876" s="2" t="s">
        <v>1969</v>
      </c>
      <c r="I876" s="3" t="n">
        <v>36312</v>
      </c>
      <c r="J876" s="2" t="s">
        <v>19</v>
      </c>
      <c r="K876" s="2" t="s">
        <v>20</v>
      </c>
      <c r="L876" s="4" t="s">
        <v>2143</v>
      </c>
    </row>
    <row r="877" customFormat="false" ht="15.65" hidden="false" customHeight="true" outlineLevel="0" collapsed="false">
      <c r="A877" s="5" t="str">
        <f aca="false">HYPERLINK("https://www.fabsurplus.com/sdi_catalog/salesItemDetails.do?id=106980")</f>
        <v>https://www.fabsurplus.com/sdi_catalog/salesItemDetails.do?id=106980</v>
      </c>
      <c r="B877" s="5" t="s">
        <v>2167</v>
      </c>
      <c r="C877" s="5" t="s">
        <v>1549</v>
      </c>
      <c r="D877" s="5" t="s">
        <v>2168</v>
      </c>
      <c r="E877" s="5" t="s">
        <v>1593</v>
      </c>
      <c r="F877" s="5" t="s">
        <v>16</v>
      </c>
      <c r="G877" s="5" t="s">
        <v>61</v>
      </c>
      <c r="H877" s="5" t="s">
        <v>32</v>
      </c>
      <c r="I877" s="5"/>
      <c r="J877" s="5" t="s">
        <v>42</v>
      </c>
      <c r="K877" s="5" t="s">
        <v>20</v>
      </c>
      <c r="L877" s="5"/>
    </row>
    <row r="878" customFormat="false" ht="15.65" hidden="false" customHeight="true" outlineLevel="0" collapsed="false">
      <c r="A878" s="2" t="str">
        <f aca="false">HYPERLINK("https://www.fabsurplus.com/sdi_catalog/salesItemDetails.do?id=106213")</f>
        <v>https://www.fabsurplus.com/sdi_catalog/salesItemDetails.do?id=106213</v>
      </c>
      <c r="B878" s="2" t="s">
        <v>2169</v>
      </c>
      <c r="C878" s="2" t="s">
        <v>1549</v>
      </c>
      <c r="D878" s="2" t="s">
        <v>2170</v>
      </c>
      <c r="E878" s="2" t="s">
        <v>2171</v>
      </c>
      <c r="F878" s="2" t="s">
        <v>151</v>
      </c>
      <c r="G878" s="2" t="s">
        <v>104</v>
      </c>
      <c r="H878" s="2" t="s">
        <v>1969</v>
      </c>
      <c r="I878" s="3" t="n">
        <v>36312</v>
      </c>
      <c r="J878" s="2" t="s">
        <v>19</v>
      </c>
      <c r="K878" s="2" t="s">
        <v>20</v>
      </c>
      <c r="L878" s="4" t="s">
        <v>2143</v>
      </c>
    </row>
    <row r="879" customFormat="false" ht="15.65" hidden="false" customHeight="true" outlineLevel="0" collapsed="false">
      <c r="A879" s="5" t="str">
        <f aca="false">HYPERLINK("https://www.fabsurplus.com/sdi_catalog/salesItemDetails.do?id=106981")</f>
        <v>https://www.fabsurplus.com/sdi_catalog/salesItemDetails.do?id=106981</v>
      </c>
      <c r="B879" s="5" t="s">
        <v>2172</v>
      </c>
      <c r="C879" s="5" t="s">
        <v>1549</v>
      </c>
      <c r="D879" s="5" t="s">
        <v>2173</v>
      </c>
      <c r="E879" s="5" t="s">
        <v>1593</v>
      </c>
      <c r="F879" s="5" t="s">
        <v>16</v>
      </c>
      <c r="G879" s="5" t="s">
        <v>61</v>
      </c>
      <c r="H879" s="5" t="s">
        <v>32</v>
      </c>
      <c r="I879" s="5"/>
      <c r="J879" s="5" t="s">
        <v>42</v>
      </c>
      <c r="K879" s="5" t="s">
        <v>20</v>
      </c>
      <c r="L879" s="5"/>
    </row>
    <row r="880" customFormat="false" ht="15.65" hidden="false" customHeight="true" outlineLevel="0" collapsed="false">
      <c r="A880" s="2" t="str">
        <f aca="false">HYPERLINK("https://www.fabsurplus.com/sdi_catalog/salesItemDetails.do?id=109541")</f>
        <v>https://www.fabsurplus.com/sdi_catalog/salesItemDetails.do?id=109541</v>
      </c>
      <c r="B880" s="2" t="s">
        <v>2174</v>
      </c>
      <c r="C880" s="2" t="s">
        <v>1549</v>
      </c>
      <c r="D880" s="2" t="s">
        <v>2175</v>
      </c>
      <c r="E880" s="2" t="s">
        <v>2176</v>
      </c>
      <c r="F880" s="2" t="s">
        <v>16</v>
      </c>
      <c r="G880" s="2" t="s">
        <v>61</v>
      </c>
      <c r="H880" s="2" t="s">
        <v>32</v>
      </c>
      <c r="I880" s="3" t="n">
        <v>39661</v>
      </c>
      <c r="J880" s="2" t="s">
        <v>19</v>
      </c>
      <c r="K880" s="2" t="s">
        <v>20</v>
      </c>
      <c r="L880" s="4" t="s">
        <v>2177</v>
      </c>
    </row>
    <row r="881" customFormat="false" ht="15.65" hidden="false" customHeight="true" outlineLevel="0" collapsed="false">
      <c r="A881" s="5" t="str">
        <f aca="false">HYPERLINK("https://www.fabsurplus.com/sdi_catalog/salesItemDetails.do?id=106214")</f>
        <v>https://www.fabsurplus.com/sdi_catalog/salesItemDetails.do?id=106214</v>
      </c>
      <c r="B881" s="5" t="s">
        <v>2178</v>
      </c>
      <c r="C881" s="5" t="s">
        <v>1549</v>
      </c>
      <c r="D881" s="5" t="s">
        <v>2179</v>
      </c>
      <c r="E881" s="5" t="s">
        <v>2180</v>
      </c>
      <c r="F881" s="5" t="s">
        <v>145</v>
      </c>
      <c r="G881" s="5" t="s">
        <v>104</v>
      </c>
      <c r="H881" s="5" t="s">
        <v>1969</v>
      </c>
      <c r="I881" s="6" t="n">
        <v>36312</v>
      </c>
      <c r="J881" s="5" t="s">
        <v>19</v>
      </c>
      <c r="K881" s="5" t="s">
        <v>20</v>
      </c>
      <c r="L881" s="7" t="s">
        <v>2143</v>
      </c>
    </row>
    <row r="882" customFormat="false" ht="15.65" hidden="false" customHeight="true" outlineLevel="0" collapsed="false">
      <c r="A882" s="2" t="str">
        <f aca="false">HYPERLINK("https://www.fabsurplus.com/sdi_catalog/salesItemDetails.do?id=106982")</f>
        <v>https://www.fabsurplus.com/sdi_catalog/salesItemDetails.do?id=106982</v>
      </c>
      <c r="B882" s="2" t="s">
        <v>2181</v>
      </c>
      <c r="C882" s="2" t="s">
        <v>1549</v>
      </c>
      <c r="D882" s="2" t="s">
        <v>2182</v>
      </c>
      <c r="E882" s="2" t="s">
        <v>2183</v>
      </c>
      <c r="F882" s="2" t="s">
        <v>16</v>
      </c>
      <c r="G882" s="2" t="s">
        <v>61</v>
      </c>
      <c r="H882" s="2" t="s">
        <v>32</v>
      </c>
      <c r="I882" s="2"/>
      <c r="J882" s="2" t="s">
        <v>42</v>
      </c>
      <c r="K882" s="2" t="s">
        <v>20</v>
      </c>
      <c r="L882" s="2"/>
    </row>
    <row r="883" customFormat="false" ht="15.65" hidden="false" customHeight="true" outlineLevel="0" collapsed="false">
      <c r="A883" s="5" t="str">
        <f aca="false">HYPERLINK("https://www.fabsurplus.com/sdi_catalog/salesItemDetails.do?id=109542")</f>
        <v>https://www.fabsurplus.com/sdi_catalog/salesItemDetails.do?id=109542</v>
      </c>
      <c r="B883" s="5" t="s">
        <v>2184</v>
      </c>
      <c r="C883" s="5" t="s">
        <v>1549</v>
      </c>
      <c r="D883" s="5" t="s">
        <v>2185</v>
      </c>
      <c r="E883" s="5" t="s">
        <v>2186</v>
      </c>
      <c r="F883" s="5" t="s">
        <v>16</v>
      </c>
      <c r="G883" s="5" t="s">
        <v>61</v>
      </c>
      <c r="H883" s="5" t="s">
        <v>32</v>
      </c>
      <c r="I883" s="6" t="n">
        <v>40330</v>
      </c>
      <c r="J883" s="5" t="s">
        <v>19</v>
      </c>
      <c r="K883" s="5" t="s">
        <v>20</v>
      </c>
      <c r="L883" s="7" t="s">
        <v>2187</v>
      </c>
    </row>
    <row r="884" customFormat="false" ht="15.65" hidden="false" customHeight="true" outlineLevel="0" collapsed="false">
      <c r="A884" s="2" t="str">
        <f aca="false">HYPERLINK("https://www.fabsurplus.com/sdi_catalog/salesItemDetails.do?id=91623")</f>
        <v>https://www.fabsurplus.com/sdi_catalog/salesItemDetails.do?id=91623</v>
      </c>
      <c r="B884" s="2" t="s">
        <v>2188</v>
      </c>
      <c r="C884" s="2" t="s">
        <v>1549</v>
      </c>
      <c r="D884" s="2" t="s">
        <v>2150</v>
      </c>
      <c r="E884" s="2" t="s">
        <v>2189</v>
      </c>
      <c r="F884" s="2" t="s">
        <v>16</v>
      </c>
      <c r="G884" s="2" t="s">
        <v>61</v>
      </c>
      <c r="H884" s="2"/>
      <c r="I884" s="2"/>
      <c r="J884" s="2" t="s">
        <v>19</v>
      </c>
      <c r="K884" s="2"/>
      <c r="L884" s="2" t="s">
        <v>142</v>
      </c>
    </row>
    <row r="885" customFormat="false" ht="15.65" hidden="false" customHeight="true" outlineLevel="0" collapsed="false">
      <c r="A885" s="5" t="str">
        <f aca="false">HYPERLINK("https://www.fabsurplus.com/sdi_catalog/salesItemDetails.do?id=94439")</f>
        <v>https://www.fabsurplus.com/sdi_catalog/salesItemDetails.do?id=94439</v>
      </c>
      <c r="B885" s="5" t="s">
        <v>2190</v>
      </c>
      <c r="C885" s="5" t="s">
        <v>1549</v>
      </c>
      <c r="D885" s="5" t="s">
        <v>1589</v>
      </c>
      <c r="E885" s="5" t="s">
        <v>1598</v>
      </c>
      <c r="F885" s="5" t="s">
        <v>16</v>
      </c>
      <c r="G885" s="5" t="s">
        <v>38</v>
      </c>
      <c r="H885" s="5"/>
      <c r="I885" s="5"/>
      <c r="J885" s="5" t="s">
        <v>19</v>
      </c>
      <c r="K885" s="5"/>
      <c r="L885" s="5" t="s">
        <v>2191</v>
      </c>
    </row>
    <row r="886" customFormat="false" ht="15.65" hidden="false" customHeight="true" outlineLevel="0" collapsed="false">
      <c r="A886" s="2" t="str">
        <f aca="false">HYPERLINK("https://www.fabsurplus.com/sdi_catalog/salesItemDetails.do?id=106215")</f>
        <v>https://www.fabsurplus.com/sdi_catalog/salesItemDetails.do?id=106215</v>
      </c>
      <c r="B886" s="2" t="s">
        <v>2192</v>
      </c>
      <c r="C886" s="2" t="s">
        <v>1549</v>
      </c>
      <c r="D886" s="2" t="s">
        <v>2193</v>
      </c>
      <c r="E886" s="2" t="s">
        <v>2194</v>
      </c>
      <c r="F886" s="2" t="s">
        <v>151</v>
      </c>
      <c r="G886" s="2" t="s">
        <v>104</v>
      </c>
      <c r="H886" s="2" t="s">
        <v>1969</v>
      </c>
      <c r="I886" s="3" t="n">
        <v>35947</v>
      </c>
      <c r="J886" s="2" t="s">
        <v>19</v>
      </c>
      <c r="K886" s="2" t="s">
        <v>20</v>
      </c>
      <c r="L886" s="4" t="s">
        <v>2143</v>
      </c>
    </row>
    <row r="887" customFormat="false" ht="15.65" hidden="false" customHeight="true" outlineLevel="0" collapsed="false">
      <c r="A887" s="5" t="str">
        <f aca="false">HYPERLINK("https://www.fabsurplus.com/sdi_catalog/salesItemDetails.do?id=106983")</f>
        <v>https://www.fabsurplus.com/sdi_catalog/salesItemDetails.do?id=106983</v>
      </c>
      <c r="B887" s="5" t="s">
        <v>2195</v>
      </c>
      <c r="C887" s="5" t="s">
        <v>1549</v>
      </c>
      <c r="D887" s="5" t="s">
        <v>2196</v>
      </c>
      <c r="E887" s="5" t="s">
        <v>2197</v>
      </c>
      <c r="F887" s="5" t="s">
        <v>16</v>
      </c>
      <c r="G887" s="5" t="s">
        <v>61</v>
      </c>
      <c r="H887" s="5" t="s">
        <v>32</v>
      </c>
      <c r="I887" s="5"/>
      <c r="J887" s="5" t="s">
        <v>42</v>
      </c>
      <c r="K887" s="5" t="s">
        <v>20</v>
      </c>
      <c r="L887" s="5"/>
    </row>
    <row r="888" customFormat="false" ht="15.65" hidden="false" customHeight="true" outlineLevel="0" collapsed="false">
      <c r="A888" s="2" t="str">
        <f aca="false">HYPERLINK("https://www.fabsurplus.com/sdi_catalog/salesItemDetails.do?id=109543")</f>
        <v>https://www.fabsurplus.com/sdi_catalog/salesItemDetails.do?id=109543</v>
      </c>
      <c r="B888" s="2" t="s">
        <v>2198</v>
      </c>
      <c r="C888" s="2" t="s">
        <v>1549</v>
      </c>
      <c r="D888" s="2" t="s">
        <v>2199</v>
      </c>
      <c r="E888" s="2" t="s">
        <v>2200</v>
      </c>
      <c r="F888" s="2" t="s">
        <v>16</v>
      </c>
      <c r="G888" s="2" t="s">
        <v>61</v>
      </c>
      <c r="H888" s="2" t="s">
        <v>18</v>
      </c>
      <c r="I888" s="3" t="n">
        <v>38930</v>
      </c>
      <c r="J888" s="2" t="s">
        <v>19</v>
      </c>
      <c r="K888" s="2" t="s">
        <v>20</v>
      </c>
      <c r="L888" s="4" t="s">
        <v>2201</v>
      </c>
    </row>
    <row r="889" customFormat="false" ht="15.65" hidden="false" customHeight="true" outlineLevel="0" collapsed="false">
      <c r="A889" s="5" t="str">
        <f aca="false">HYPERLINK("https://www.fabsurplus.com/sdi_catalog/salesItemDetails.do?id=106216")</f>
        <v>https://www.fabsurplus.com/sdi_catalog/salesItemDetails.do?id=106216</v>
      </c>
      <c r="B889" s="5" t="s">
        <v>2202</v>
      </c>
      <c r="C889" s="5" t="s">
        <v>1549</v>
      </c>
      <c r="D889" s="5" t="s">
        <v>2203</v>
      </c>
      <c r="E889" s="5" t="s">
        <v>2204</v>
      </c>
      <c r="F889" s="5" t="s">
        <v>16</v>
      </c>
      <c r="G889" s="5" t="s">
        <v>104</v>
      </c>
      <c r="H889" s="5" t="s">
        <v>1969</v>
      </c>
      <c r="I889" s="6" t="n">
        <v>36312</v>
      </c>
      <c r="J889" s="5" t="s">
        <v>19</v>
      </c>
      <c r="K889" s="5" t="s">
        <v>20</v>
      </c>
      <c r="L889" s="7" t="s">
        <v>2143</v>
      </c>
    </row>
    <row r="890" customFormat="false" ht="15.65" hidden="false" customHeight="true" outlineLevel="0" collapsed="false">
      <c r="A890" s="2" t="str">
        <f aca="false">HYPERLINK("https://www.fabsurplus.com/sdi_catalog/salesItemDetails.do?id=106984")</f>
        <v>https://www.fabsurplus.com/sdi_catalog/salesItemDetails.do?id=106984</v>
      </c>
      <c r="B890" s="2" t="s">
        <v>2205</v>
      </c>
      <c r="C890" s="2" t="s">
        <v>1549</v>
      </c>
      <c r="D890" s="2" t="s">
        <v>2206</v>
      </c>
      <c r="E890" s="2" t="s">
        <v>2207</v>
      </c>
      <c r="F890" s="2" t="s">
        <v>16</v>
      </c>
      <c r="G890" s="2" t="s">
        <v>61</v>
      </c>
      <c r="H890" s="2" t="s">
        <v>32</v>
      </c>
      <c r="I890" s="2"/>
      <c r="J890" s="2" t="s">
        <v>42</v>
      </c>
      <c r="K890" s="2" t="s">
        <v>20</v>
      </c>
      <c r="L890" s="2"/>
    </row>
    <row r="891" customFormat="false" ht="15.65" hidden="false" customHeight="true" outlineLevel="0" collapsed="false">
      <c r="A891" s="5" t="str">
        <f aca="false">HYPERLINK("https://www.fabsurplus.com/sdi_catalog/salesItemDetails.do?id=109544")</f>
        <v>https://www.fabsurplus.com/sdi_catalog/salesItemDetails.do?id=109544</v>
      </c>
      <c r="B891" s="5" t="s">
        <v>2208</v>
      </c>
      <c r="C891" s="5" t="s">
        <v>1549</v>
      </c>
      <c r="D891" s="5" t="s">
        <v>2209</v>
      </c>
      <c r="E891" s="5" t="s">
        <v>2210</v>
      </c>
      <c r="F891" s="5" t="s">
        <v>16</v>
      </c>
      <c r="G891" s="5" t="s">
        <v>61</v>
      </c>
      <c r="H891" s="5" t="s">
        <v>32</v>
      </c>
      <c r="I891" s="6" t="n">
        <v>41395</v>
      </c>
      <c r="J891" s="5" t="s">
        <v>19</v>
      </c>
      <c r="K891" s="5" t="s">
        <v>20</v>
      </c>
      <c r="L891" s="7" t="s">
        <v>2211</v>
      </c>
    </row>
    <row r="892" customFormat="false" ht="15.65" hidden="false" customHeight="true" outlineLevel="0" collapsed="false">
      <c r="A892" s="2" t="str">
        <f aca="false">HYPERLINK("https://www.fabsurplus.com/sdi_catalog/salesItemDetails.do?id=106217")</f>
        <v>https://www.fabsurplus.com/sdi_catalog/salesItemDetails.do?id=106217</v>
      </c>
      <c r="B892" s="2" t="s">
        <v>2212</v>
      </c>
      <c r="C892" s="2" t="s">
        <v>1549</v>
      </c>
      <c r="D892" s="2" t="s">
        <v>2213</v>
      </c>
      <c r="E892" s="2" t="s">
        <v>2214</v>
      </c>
      <c r="F892" s="2" t="s">
        <v>16</v>
      </c>
      <c r="G892" s="2" t="s">
        <v>104</v>
      </c>
      <c r="H892" s="2" t="s">
        <v>18</v>
      </c>
      <c r="I892" s="3" t="n">
        <v>36312</v>
      </c>
      <c r="J892" s="2" t="s">
        <v>19</v>
      </c>
      <c r="K892" s="2" t="s">
        <v>20</v>
      </c>
      <c r="L892" s="4" t="s">
        <v>2215</v>
      </c>
    </row>
    <row r="893" customFormat="false" ht="15.65" hidden="false" customHeight="true" outlineLevel="0" collapsed="false">
      <c r="A893" s="5" t="str">
        <f aca="false">HYPERLINK("https://www.fabsurplus.com/sdi_catalog/salesItemDetails.do?id=109545")</f>
        <v>https://www.fabsurplus.com/sdi_catalog/salesItemDetails.do?id=109545</v>
      </c>
      <c r="B893" s="5" t="s">
        <v>2216</v>
      </c>
      <c r="C893" s="5" t="s">
        <v>1549</v>
      </c>
      <c r="D893" s="5" t="s">
        <v>2217</v>
      </c>
      <c r="E893" s="5" t="s">
        <v>2200</v>
      </c>
      <c r="F893" s="5" t="s">
        <v>16</v>
      </c>
      <c r="G893" s="5" t="s">
        <v>61</v>
      </c>
      <c r="H893" s="5" t="s">
        <v>18</v>
      </c>
      <c r="I893" s="6" t="n">
        <v>38869</v>
      </c>
      <c r="J893" s="5" t="s">
        <v>19</v>
      </c>
      <c r="K893" s="5" t="s">
        <v>20</v>
      </c>
      <c r="L893" s="7" t="s">
        <v>2218</v>
      </c>
    </row>
    <row r="894" customFormat="false" ht="15.65" hidden="false" customHeight="true" outlineLevel="0" collapsed="false">
      <c r="A894" s="2" t="str">
        <f aca="false">HYPERLINK("https://www.fabsurplus.com/sdi_catalog/salesItemDetails.do?id=106218")</f>
        <v>https://www.fabsurplus.com/sdi_catalog/salesItemDetails.do?id=106218</v>
      </c>
      <c r="B894" s="2" t="s">
        <v>2219</v>
      </c>
      <c r="C894" s="2" t="s">
        <v>1549</v>
      </c>
      <c r="D894" s="2" t="s">
        <v>2220</v>
      </c>
      <c r="E894" s="2" t="s">
        <v>2221</v>
      </c>
      <c r="F894" s="2" t="s">
        <v>16</v>
      </c>
      <c r="G894" s="2" t="s">
        <v>104</v>
      </c>
      <c r="H894" s="2" t="s">
        <v>1969</v>
      </c>
      <c r="I894" s="3" t="n">
        <v>36312</v>
      </c>
      <c r="J894" s="2" t="s">
        <v>19</v>
      </c>
      <c r="K894" s="2" t="s">
        <v>20</v>
      </c>
      <c r="L894" s="4" t="s">
        <v>2143</v>
      </c>
    </row>
    <row r="895" customFormat="false" ht="15.65" hidden="false" customHeight="true" outlineLevel="0" collapsed="false">
      <c r="A895" s="5" t="str">
        <f aca="false">HYPERLINK("https://www.fabsurplus.com/sdi_catalog/salesItemDetails.do?id=106219")</f>
        <v>https://www.fabsurplus.com/sdi_catalog/salesItemDetails.do?id=106219</v>
      </c>
      <c r="B895" s="5" t="s">
        <v>2222</v>
      </c>
      <c r="C895" s="5" t="s">
        <v>1549</v>
      </c>
      <c r="D895" s="5" t="s">
        <v>2153</v>
      </c>
      <c r="E895" s="5" t="s">
        <v>2154</v>
      </c>
      <c r="F895" s="5" t="s">
        <v>16</v>
      </c>
      <c r="G895" s="5" t="s">
        <v>104</v>
      </c>
      <c r="H895" s="5" t="s">
        <v>18</v>
      </c>
      <c r="I895" s="6" t="n">
        <v>36312</v>
      </c>
      <c r="J895" s="5" t="s">
        <v>19</v>
      </c>
      <c r="K895" s="5" t="s">
        <v>20</v>
      </c>
      <c r="L895" s="7" t="s">
        <v>2215</v>
      </c>
    </row>
    <row r="896" customFormat="false" ht="15.65" hidden="false" customHeight="true" outlineLevel="0" collapsed="false">
      <c r="A896" s="2" t="str">
        <f aca="false">HYPERLINK("https://www.fabsurplus.com/sdi_catalog/salesItemDetails.do?id=94444")</f>
        <v>https://www.fabsurplus.com/sdi_catalog/salesItemDetails.do?id=94444</v>
      </c>
      <c r="B896" s="2" t="s">
        <v>2223</v>
      </c>
      <c r="C896" s="2" t="s">
        <v>1549</v>
      </c>
      <c r="D896" s="2" t="s">
        <v>2224</v>
      </c>
      <c r="E896" s="2" t="s">
        <v>2111</v>
      </c>
      <c r="F896" s="2" t="s">
        <v>16</v>
      </c>
      <c r="G896" s="2" t="s">
        <v>61</v>
      </c>
      <c r="H896" s="2"/>
      <c r="I896" s="3" t="n">
        <v>42886.9166666667</v>
      </c>
      <c r="J896" s="2" t="s">
        <v>19</v>
      </c>
      <c r="K896" s="2"/>
      <c r="L896" s="2"/>
    </row>
    <row r="897" customFormat="false" ht="15.65" hidden="false" customHeight="true" outlineLevel="0" collapsed="false">
      <c r="A897" s="5" t="str">
        <f aca="false">HYPERLINK("https://www.fabsurplus.com/sdi_catalog/salesItemDetails.do?id=106220")</f>
        <v>https://www.fabsurplus.com/sdi_catalog/salesItemDetails.do?id=106220</v>
      </c>
      <c r="B897" s="5" t="s">
        <v>2225</v>
      </c>
      <c r="C897" s="5" t="s">
        <v>1549</v>
      </c>
      <c r="D897" s="5" t="s">
        <v>2226</v>
      </c>
      <c r="E897" s="5" t="s">
        <v>2227</v>
      </c>
      <c r="F897" s="5" t="s">
        <v>16</v>
      </c>
      <c r="G897" s="5" t="s">
        <v>104</v>
      </c>
      <c r="H897" s="5" t="s">
        <v>1969</v>
      </c>
      <c r="I897" s="6" t="n">
        <v>35947</v>
      </c>
      <c r="J897" s="5" t="s">
        <v>19</v>
      </c>
      <c r="K897" s="5" t="s">
        <v>20</v>
      </c>
      <c r="L897" s="7" t="s">
        <v>2143</v>
      </c>
    </row>
    <row r="898" customFormat="false" ht="15.65" hidden="false" customHeight="true" outlineLevel="0" collapsed="false">
      <c r="A898" s="2" t="str">
        <f aca="false">HYPERLINK("https://www.fabsurplus.com/sdi_catalog/salesItemDetails.do?id=106221")</f>
        <v>https://www.fabsurplus.com/sdi_catalog/salesItemDetails.do?id=106221</v>
      </c>
      <c r="B898" s="2" t="s">
        <v>2228</v>
      </c>
      <c r="C898" s="2" t="s">
        <v>1549</v>
      </c>
      <c r="D898" s="2" t="s">
        <v>2229</v>
      </c>
      <c r="E898" s="2" t="s">
        <v>2230</v>
      </c>
      <c r="F898" s="2" t="s">
        <v>151</v>
      </c>
      <c r="G898" s="2" t="s">
        <v>104</v>
      </c>
      <c r="H898" s="2" t="s">
        <v>1969</v>
      </c>
      <c r="I898" s="3" t="n">
        <v>36312</v>
      </c>
      <c r="J898" s="2" t="s">
        <v>19</v>
      </c>
      <c r="K898" s="2" t="s">
        <v>20</v>
      </c>
      <c r="L898" s="4" t="s">
        <v>2143</v>
      </c>
    </row>
    <row r="899" customFormat="false" ht="15.65" hidden="false" customHeight="true" outlineLevel="0" collapsed="false">
      <c r="A899" s="5" t="str">
        <f aca="false">HYPERLINK("https://www.fabsurplus.com/sdi_catalog/salesItemDetails.do?id=109549")</f>
        <v>https://www.fabsurplus.com/sdi_catalog/salesItemDetails.do?id=109549</v>
      </c>
      <c r="B899" s="5" t="s">
        <v>2231</v>
      </c>
      <c r="C899" s="5" t="s">
        <v>1549</v>
      </c>
      <c r="D899" s="5" t="s">
        <v>2232</v>
      </c>
      <c r="E899" s="5" t="s">
        <v>2233</v>
      </c>
      <c r="F899" s="5" t="s">
        <v>16</v>
      </c>
      <c r="G899" s="5" t="s">
        <v>61</v>
      </c>
      <c r="H899" s="5" t="s">
        <v>32</v>
      </c>
      <c r="I899" s="6" t="n">
        <v>38869</v>
      </c>
      <c r="J899" s="5" t="s">
        <v>19</v>
      </c>
      <c r="K899" s="5" t="s">
        <v>20</v>
      </c>
      <c r="L899" s="7" t="s">
        <v>2234</v>
      </c>
    </row>
    <row r="900" customFormat="false" ht="15.65" hidden="false" customHeight="true" outlineLevel="0" collapsed="false">
      <c r="A900" s="2" t="str">
        <f aca="false">HYPERLINK("https://www.fabsurplus.com/sdi_catalog/salesItemDetails.do?id=106222")</f>
        <v>https://www.fabsurplus.com/sdi_catalog/salesItemDetails.do?id=106222</v>
      </c>
      <c r="B900" s="2" t="s">
        <v>2235</v>
      </c>
      <c r="C900" s="2" t="s">
        <v>1549</v>
      </c>
      <c r="D900" s="2" t="s">
        <v>2236</v>
      </c>
      <c r="E900" s="2" t="s">
        <v>2230</v>
      </c>
      <c r="F900" s="2" t="s">
        <v>16</v>
      </c>
      <c r="G900" s="2" t="s">
        <v>104</v>
      </c>
      <c r="H900" s="2" t="s">
        <v>1969</v>
      </c>
      <c r="I900" s="3" t="n">
        <v>36312</v>
      </c>
      <c r="J900" s="2" t="s">
        <v>19</v>
      </c>
      <c r="K900" s="2" t="s">
        <v>20</v>
      </c>
      <c r="L900" s="4" t="s">
        <v>2143</v>
      </c>
    </row>
    <row r="901" customFormat="false" ht="15.65" hidden="false" customHeight="true" outlineLevel="0" collapsed="false">
      <c r="A901" s="5" t="str">
        <f aca="false">HYPERLINK("https://www.fabsurplus.com/sdi_catalog/salesItemDetails.do?id=106223")</f>
        <v>https://www.fabsurplus.com/sdi_catalog/salesItemDetails.do?id=106223</v>
      </c>
      <c r="B901" s="5" t="s">
        <v>2237</v>
      </c>
      <c r="C901" s="5" t="s">
        <v>1549</v>
      </c>
      <c r="D901" s="5" t="s">
        <v>2170</v>
      </c>
      <c r="E901" s="5" t="s">
        <v>2171</v>
      </c>
      <c r="F901" s="5" t="s">
        <v>16</v>
      </c>
      <c r="G901" s="5" t="s">
        <v>104</v>
      </c>
      <c r="H901" s="5" t="s">
        <v>1969</v>
      </c>
      <c r="I901" s="6" t="n">
        <v>35947</v>
      </c>
      <c r="J901" s="5" t="s">
        <v>19</v>
      </c>
      <c r="K901" s="5" t="s">
        <v>20</v>
      </c>
      <c r="L901" s="7" t="s">
        <v>2143</v>
      </c>
    </row>
    <row r="902" customFormat="false" ht="15.65" hidden="false" customHeight="true" outlineLevel="0" collapsed="false">
      <c r="A902" s="2" t="str">
        <f aca="false">HYPERLINK("https://www.fabsurplus.com/sdi_catalog/salesItemDetails.do?id=106224")</f>
        <v>https://www.fabsurplus.com/sdi_catalog/salesItemDetails.do?id=106224</v>
      </c>
      <c r="B902" s="2" t="s">
        <v>2238</v>
      </c>
      <c r="C902" s="2" t="s">
        <v>1549</v>
      </c>
      <c r="D902" s="2" t="s">
        <v>2239</v>
      </c>
      <c r="E902" s="2" t="s">
        <v>2240</v>
      </c>
      <c r="F902" s="2" t="s">
        <v>86</v>
      </c>
      <c r="G902" s="2" t="s">
        <v>104</v>
      </c>
      <c r="H902" s="2" t="s">
        <v>1969</v>
      </c>
      <c r="I902" s="3" t="n">
        <v>36312</v>
      </c>
      <c r="J902" s="2" t="s">
        <v>19</v>
      </c>
      <c r="K902" s="2" t="s">
        <v>20</v>
      </c>
      <c r="L902" s="4" t="s">
        <v>2143</v>
      </c>
    </row>
    <row r="903" customFormat="false" ht="15.65" hidden="false" customHeight="true" outlineLevel="0" collapsed="false">
      <c r="A903" s="5" t="str">
        <f aca="false">HYPERLINK("https://www.fabsurplus.com/sdi_catalog/salesItemDetails.do?id=106225")</f>
        <v>https://www.fabsurplus.com/sdi_catalog/salesItemDetails.do?id=106225</v>
      </c>
      <c r="B903" s="5" t="s">
        <v>2241</v>
      </c>
      <c r="C903" s="5" t="s">
        <v>1549</v>
      </c>
      <c r="D903" s="5" t="s">
        <v>2242</v>
      </c>
      <c r="E903" s="5" t="s">
        <v>2243</v>
      </c>
      <c r="F903" s="5" t="s">
        <v>16</v>
      </c>
      <c r="G903" s="5" t="s">
        <v>104</v>
      </c>
      <c r="H903" s="5" t="s">
        <v>1969</v>
      </c>
      <c r="I903" s="6" t="n">
        <v>36312</v>
      </c>
      <c r="J903" s="5" t="s">
        <v>19</v>
      </c>
      <c r="K903" s="5" t="s">
        <v>20</v>
      </c>
      <c r="L903" s="7" t="s">
        <v>2143</v>
      </c>
    </row>
    <row r="904" customFormat="false" ht="15.65" hidden="false" customHeight="true" outlineLevel="0" collapsed="false">
      <c r="A904" s="2" t="str">
        <f aca="false">HYPERLINK("https://www.fabsurplus.com/sdi_catalog/salesItemDetails.do?id=106226")</f>
        <v>https://www.fabsurplus.com/sdi_catalog/salesItemDetails.do?id=106226</v>
      </c>
      <c r="B904" s="2" t="s">
        <v>2244</v>
      </c>
      <c r="C904" s="2" t="s">
        <v>1549</v>
      </c>
      <c r="D904" s="2" t="s">
        <v>2179</v>
      </c>
      <c r="E904" s="2" t="s">
        <v>2180</v>
      </c>
      <c r="F904" s="2" t="s">
        <v>16</v>
      </c>
      <c r="G904" s="2" t="s">
        <v>104</v>
      </c>
      <c r="H904" s="2" t="s">
        <v>1969</v>
      </c>
      <c r="I904" s="3" t="n">
        <v>36312</v>
      </c>
      <c r="J904" s="2" t="s">
        <v>19</v>
      </c>
      <c r="K904" s="2" t="s">
        <v>20</v>
      </c>
      <c r="L904" s="4" t="s">
        <v>2143</v>
      </c>
    </row>
    <row r="905" customFormat="false" ht="15.65" hidden="false" customHeight="true" outlineLevel="0" collapsed="false">
      <c r="A905" s="5" t="str">
        <f aca="false">HYPERLINK("https://www.fabsurplus.com/sdi_catalog/salesItemDetails.do?id=106227")</f>
        <v>https://www.fabsurplus.com/sdi_catalog/salesItemDetails.do?id=106227</v>
      </c>
      <c r="B905" s="5" t="s">
        <v>2245</v>
      </c>
      <c r="C905" s="5" t="s">
        <v>1549</v>
      </c>
      <c r="D905" s="5" t="s">
        <v>2153</v>
      </c>
      <c r="E905" s="5" t="s">
        <v>2154</v>
      </c>
      <c r="F905" s="5" t="s">
        <v>16</v>
      </c>
      <c r="G905" s="5" t="s">
        <v>104</v>
      </c>
      <c r="H905" s="5" t="s">
        <v>1969</v>
      </c>
      <c r="I905" s="6" t="n">
        <v>36312</v>
      </c>
      <c r="J905" s="5" t="s">
        <v>19</v>
      </c>
      <c r="K905" s="5" t="s">
        <v>20</v>
      </c>
      <c r="L905" s="7" t="s">
        <v>2143</v>
      </c>
    </row>
    <row r="906" customFormat="false" ht="15.65" hidden="false" customHeight="true" outlineLevel="0" collapsed="false">
      <c r="A906" s="2" t="str">
        <f aca="false">HYPERLINK("https://www.fabsurplus.com/sdi_catalog/salesItemDetails.do?id=106228")</f>
        <v>https://www.fabsurplus.com/sdi_catalog/salesItemDetails.do?id=106228</v>
      </c>
      <c r="B906" s="2" t="s">
        <v>2246</v>
      </c>
      <c r="C906" s="2" t="s">
        <v>1549</v>
      </c>
      <c r="D906" s="2" t="s">
        <v>2170</v>
      </c>
      <c r="E906" s="2" t="s">
        <v>2171</v>
      </c>
      <c r="F906" s="2" t="s">
        <v>16</v>
      </c>
      <c r="G906" s="2" t="s">
        <v>104</v>
      </c>
      <c r="H906" s="2" t="s">
        <v>1969</v>
      </c>
      <c r="I906" s="3" t="n">
        <v>35947</v>
      </c>
      <c r="J906" s="2" t="s">
        <v>19</v>
      </c>
      <c r="K906" s="2" t="s">
        <v>20</v>
      </c>
      <c r="L906" s="4" t="s">
        <v>2143</v>
      </c>
    </row>
    <row r="907" customFormat="false" ht="15.65" hidden="false" customHeight="true" outlineLevel="0" collapsed="false">
      <c r="A907" s="5" t="str">
        <f aca="false">HYPERLINK("https://www.fabsurplus.com/sdi_catalog/salesItemDetails.do?id=108023")</f>
        <v>https://www.fabsurplus.com/sdi_catalog/salesItemDetails.do?id=108023</v>
      </c>
      <c r="B907" s="5" t="s">
        <v>2247</v>
      </c>
      <c r="C907" s="5" t="s">
        <v>1549</v>
      </c>
      <c r="D907" s="5" t="s">
        <v>1419</v>
      </c>
      <c r="E907" s="5" t="s">
        <v>2248</v>
      </c>
      <c r="F907" s="5" t="s">
        <v>16</v>
      </c>
      <c r="G907" s="5" t="s">
        <v>38</v>
      </c>
      <c r="H907" s="5"/>
      <c r="I907" s="6" t="n">
        <v>33178</v>
      </c>
      <c r="J907" s="5" t="s">
        <v>19</v>
      </c>
      <c r="K907" s="5"/>
      <c r="L907" s="5" t="s">
        <v>142</v>
      </c>
    </row>
    <row r="908" customFormat="false" ht="15.65" hidden="false" customHeight="true" outlineLevel="0" collapsed="false">
      <c r="A908" s="2" t="str">
        <f aca="false">HYPERLINK("https://www.fabsurplus.com/sdi_catalog/salesItemDetails.do?id=71931")</f>
        <v>https://www.fabsurplus.com/sdi_catalog/salesItemDetails.do?id=71931</v>
      </c>
      <c r="B908" s="2" t="s">
        <v>2249</v>
      </c>
      <c r="C908" s="2" t="s">
        <v>1549</v>
      </c>
      <c r="D908" s="2" t="s">
        <v>2250</v>
      </c>
      <c r="E908" s="2" t="s">
        <v>2251</v>
      </c>
      <c r="F908" s="2" t="s">
        <v>16</v>
      </c>
      <c r="G908" s="2" t="s">
        <v>97</v>
      </c>
      <c r="H908" s="2" t="s">
        <v>1969</v>
      </c>
      <c r="I908" s="3" t="n">
        <v>36312</v>
      </c>
      <c r="J908" s="2" t="s">
        <v>19</v>
      </c>
      <c r="K908" s="2" t="s">
        <v>20</v>
      </c>
      <c r="L908" s="4" t="s">
        <v>2252</v>
      </c>
    </row>
    <row r="909" customFormat="false" ht="15.65" hidden="false" customHeight="true" outlineLevel="0" collapsed="false">
      <c r="A909" s="5" t="str">
        <f aca="false">HYPERLINK("https://www.fabsurplus.com/sdi_catalog/salesItemDetails.do?id=71932")</f>
        <v>https://www.fabsurplus.com/sdi_catalog/salesItemDetails.do?id=71932</v>
      </c>
      <c r="B909" s="5" t="s">
        <v>2253</v>
      </c>
      <c r="C909" s="5" t="s">
        <v>1549</v>
      </c>
      <c r="D909" s="5" t="s">
        <v>2254</v>
      </c>
      <c r="E909" s="5" t="s">
        <v>2255</v>
      </c>
      <c r="F909" s="5" t="s">
        <v>16</v>
      </c>
      <c r="G909" s="5" t="s">
        <v>97</v>
      </c>
      <c r="H909" s="5" t="s">
        <v>1969</v>
      </c>
      <c r="I909" s="6" t="n">
        <v>36311.9166666667</v>
      </c>
      <c r="J909" s="5" t="s">
        <v>19</v>
      </c>
      <c r="K909" s="5" t="s">
        <v>20</v>
      </c>
      <c r="L909" s="7" t="s">
        <v>2252</v>
      </c>
    </row>
    <row r="910" customFormat="false" ht="15.65" hidden="false" customHeight="true" outlineLevel="0" collapsed="false">
      <c r="A910" s="2" t="str">
        <f aca="false">HYPERLINK("https://www.fabsurplus.com/sdi_catalog/salesItemDetails.do?id=71933")</f>
        <v>https://www.fabsurplus.com/sdi_catalog/salesItemDetails.do?id=71933</v>
      </c>
      <c r="B910" s="2" t="s">
        <v>2256</v>
      </c>
      <c r="C910" s="2" t="s">
        <v>1549</v>
      </c>
      <c r="D910" s="2" t="s">
        <v>2257</v>
      </c>
      <c r="E910" s="2" t="s">
        <v>2258</v>
      </c>
      <c r="F910" s="2" t="s">
        <v>16</v>
      </c>
      <c r="G910" s="2" t="s">
        <v>97</v>
      </c>
      <c r="H910" s="2" t="s">
        <v>1969</v>
      </c>
      <c r="I910" s="3" t="n">
        <v>36311.9166666667</v>
      </c>
      <c r="J910" s="2" t="s">
        <v>19</v>
      </c>
      <c r="K910" s="2" t="s">
        <v>20</v>
      </c>
      <c r="L910" s="4" t="s">
        <v>2252</v>
      </c>
    </row>
    <row r="911" customFormat="false" ht="15.65" hidden="false" customHeight="true" outlineLevel="0" collapsed="false">
      <c r="A911" s="5" t="str">
        <f aca="false">HYPERLINK("https://www.fabsurplus.com/sdi_catalog/salesItemDetails.do?id=110617")</f>
        <v>https://www.fabsurplus.com/sdi_catalog/salesItemDetails.do?id=110617</v>
      </c>
      <c r="B911" s="5" t="s">
        <v>2259</v>
      </c>
      <c r="C911" s="5" t="s">
        <v>2260</v>
      </c>
      <c r="D911" s="5" t="s">
        <v>2261</v>
      </c>
      <c r="E911" s="5" t="s">
        <v>2262</v>
      </c>
      <c r="F911" s="5" t="s">
        <v>2263</v>
      </c>
      <c r="G911" s="5" t="s">
        <v>97</v>
      </c>
      <c r="H911" s="5"/>
      <c r="I911" s="5"/>
      <c r="J911" s="5" t="s">
        <v>19</v>
      </c>
      <c r="K911" s="5" t="s">
        <v>20</v>
      </c>
      <c r="L911" s="7" t="s">
        <v>2264</v>
      </c>
    </row>
    <row r="912" customFormat="false" ht="15.65" hidden="false" customHeight="true" outlineLevel="0" collapsed="false">
      <c r="A912" s="2" t="str">
        <f aca="false">HYPERLINK("https://www.fabsurplus.com/sdi_catalog/salesItemDetails.do?id=105851")</f>
        <v>https://www.fabsurplus.com/sdi_catalog/salesItemDetails.do?id=105851</v>
      </c>
      <c r="B912" s="2" t="s">
        <v>2265</v>
      </c>
      <c r="C912" s="2" t="s">
        <v>2260</v>
      </c>
      <c r="D912" s="2" t="s">
        <v>2266</v>
      </c>
      <c r="E912" s="2" t="s">
        <v>2267</v>
      </c>
      <c r="F912" s="2" t="s">
        <v>16</v>
      </c>
      <c r="G912" s="2" t="s">
        <v>104</v>
      </c>
      <c r="H912" s="2" t="s">
        <v>32</v>
      </c>
      <c r="I912" s="3" t="n">
        <v>34819.9166666667</v>
      </c>
      <c r="J912" s="2" t="s">
        <v>19</v>
      </c>
      <c r="K912" s="2" t="s">
        <v>20</v>
      </c>
      <c r="L912" s="2" t="s">
        <v>2268</v>
      </c>
    </row>
    <row r="913" customFormat="false" ht="15.65" hidden="false" customHeight="true" outlineLevel="0" collapsed="false">
      <c r="A913" s="5" t="str">
        <f aca="false">HYPERLINK("https://www.fabsurplus.com/sdi_catalog/salesItemDetails.do?id=105852")</f>
        <v>https://www.fabsurplus.com/sdi_catalog/salesItemDetails.do?id=105852</v>
      </c>
      <c r="B913" s="5" t="s">
        <v>2269</v>
      </c>
      <c r="C913" s="5" t="s">
        <v>2260</v>
      </c>
      <c r="D913" s="5" t="s">
        <v>2270</v>
      </c>
      <c r="E913" s="5" t="s">
        <v>2271</v>
      </c>
      <c r="F913" s="5" t="s">
        <v>16</v>
      </c>
      <c r="G913" s="5" t="s">
        <v>104</v>
      </c>
      <c r="H913" s="5" t="s">
        <v>32</v>
      </c>
      <c r="I913" s="6" t="n">
        <v>34515.9166666667</v>
      </c>
      <c r="J913" s="5" t="s">
        <v>19</v>
      </c>
      <c r="K913" s="5" t="s">
        <v>20</v>
      </c>
      <c r="L913" s="7" t="s">
        <v>2272</v>
      </c>
    </row>
    <row r="914" customFormat="false" ht="15.65" hidden="false" customHeight="true" outlineLevel="0" collapsed="false">
      <c r="A914" s="2" t="str">
        <f aca="false">HYPERLINK("https://www.fabsurplus.com/sdi_catalog/salesItemDetails.do?id=105853")</f>
        <v>https://www.fabsurplus.com/sdi_catalog/salesItemDetails.do?id=105853</v>
      </c>
      <c r="B914" s="2" t="s">
        <v>2273</v>
      </c>
      <c r="C914" s="2" t="s">
        <v>2260</v>
      </c>
      <c r="D914" s="2" t="s">
        <v>2274</v>
      </c>
      <c r="E914" s="2" t="s">
        <v>2275</v>
      </c>
      <c r="F914" s="2" t="s">
        <v>151</v>
      </c>
      <c r="G914" s="2" t="s">
        <v>104</v>
      </c>
      <c r="H914" s="2" t="s">
        <v>32</v>
      </c>
      <c r="I914" s="3" t="n">
        <v>32993.9166666667</v>
      </c>
      <c r="J914" s="2" t="s">
        <v>19</v>
      </c>
      <c r="K914" s="2" t="s">
        <v>20</v>
      </c>
      <c r="L914" s="2" t="s">
        <v>2276</v>
      </c>
    </row>
    <row r="915" customFormat="false" ht="15.65" hidden="false" customHeight="true" outlineLevel="0" collapsed="false">
      <c r="A915" s="5" t="str">
        <f aca="false">HYPERLINK("https://www.fabsurplus.com/sdi_catalog/salesItemDetails.do?id=105854")</f>
        <v>https://www.fabsurplus.com/sdi_catalog/salesItemDetails.do?id=105854</v>
      </c>
      <c r="B915" s="5" t="s">
        <v>2277</v>
      </c>
      <c r="C915" s="5" t="s">
        <v>2260</v>
      </c>
      <c r="D915" s="5" t="s">
        <v>2278</v>
      </c>
      <c r="E915" s="5" t="s">
        <v>2279</v>
      </c>
      <c r="F915" s="5" t="s">
        <v>16</v>
      </c>
      <c r="G915" s="5" t="s">
        <v>104</v>
      </c>
      <c r="H915" s="5" t="s">
        <v>32</v>
      </c>
      <c r="I915" s="6" t="n">
        <v>34212.9166666667</v>
      </c>
      <c r="J915" s="5" t="s">
        <v>19</v>
      </c>
      <c r="K915" s="5" t="s">
        <v>20</v>
      </c>
      <c r="L915" s="5" t="s">
        <v>2280</v>
      </c>
    </row>
    <row r="916" customFormat="false" ht="15.65" hidden="false" customHeight="true" outlineLevel="0" collapsed="false">
      <c r="A916" s="2" t="str">
        <f aca="false">HYPERLINK("https://www.fabsurplus.com/sdi_catalog/salesItemDetails.do?id=105858")</f>
        <v>https://www.fabsurplus.com/sdi_catalog/salesItemDetails.do?id=105858</v>
      </c>
      <c r="B916" s="2" t="s">
        <v>2281</v>
      </c>
      <c r="C916" s="2" t="s">
        <v>2260</v>
      </c>
      <c r="D916" s="2" t="s">
        <v>2282</v>
      </c>
      <c r="E916" s="2" t="s">
        <v>2283</v>
      </c>
      <c r="F916" s="2" t="s">
        <v>16</v>
      </c>
      <c r="G916" s="2" t="s">
        <v>38</v>
      </c>
      <c r="H916" s="2" t="s">
        <v>32</v>
      </c>
      <c r="I916" s="3" t="n">
        <v>35581.9166666667</v>
      </c>
      <c r="J916" s="2" t="s">
        <v>19</v>
      </c>
      <c r="K916" s="2" t="s">
        <v>20</v>
      </c>
      <c r="L916" s="4" t="s">
        <v>2284</v>
      </c>
    </row>
    <row r="917" customFormat="false" ht="15.65" hidden="false" customHeight="true" outlineLevel="0" collapsed="false">
      <c r="A917" s="5" t="str">
        <f aca="false">HYPERLINK("https://www.fabsurplus.com/sdi_catalog/salesItemDetails.do?id=6536")</f>
        <v>https://www.fabsurplus.com/sdi_catalog/salesItemDetails.do?id=6536</v>
      </c>
      <c r="B917" s="5" t="s">
        <v>2285</v>
      </c>
      <c r="C917" s="5" t="s">
        <v>2260</v>
      </c>
      <c r="D917" s="5" t="s">
        <v>2286</v>
      </c>
      <c r="E917" s="5" t="s">
        <v>2287</v>
      </c>
      <c r="F917" s="5" t="s">
        <v>16</v>
      </c>
      <c r="G917" s="5" t="s">
        <v>104</v>
      </c>
      <c r="H917" s="5" t="s">
        <v>32</v>
      </c>
      <c r="I917" s="6" t="n">
        <v>34516</v>
      </c>
      <c r="J917" s="5" t="s">
        <v>19</v>
      </c>
      <c r="K917" s="5" t="s">
        <v>20</v>
      </c>
      <c r="L917" s="5"/>
    </row>
    <row r="918" customFormat="false" ht="15.65" hidden="false" customHeight="true" outlineLevel="0" collapsed="false">
      <c r="A918" s="2" t="str">
        <f aca="false">HYPERLINK("https://www.fabsurplus.com/sdi_catalog/salesItemDetails.do?id=6537")</f>
        <v>https://www.fabsurplus.com/sdi_catalog/salesItemDetails.do?id=6537</v>
      </c>
      <c r="B918" s="2" t="s">
        <v>2288</v>
      </c>
      <c r="C918" s="2" t="s">
        <v>2260</v>
      </c>
      <c r="D918" s="2" t="s">
        <v>2289</v>
      </c>
      <c r="E918" s="2" t="s">
        <v>2290</v>
      </c>
      <c r="F918" s="2" t="s">
        <v>16</v>
      </c>
      <c r="G918" s="2" t="s">
        <v>104</v>
      </c>
      <c r="H918" s="2" t="s">
        <v>32</v>
      </c>
      <c r="I918" s="3" t="n">
        <v>34790</v>
      </c>
      <c r="J918" s="2" t="s">
        <v>19</v>
      </c>
      <c r="K918" s="2" t="s">
        <v>20</v>
      </c>
      <c r="L918" s="2"/>
    </row>
    <row r="919" customFormat="false" ht="15.65" hidden="false" customHeight="true" outlineLevel="0" collapsed="false">
      <c r="A919" s="5" t="str">
        <f aca="false">HYPERLINK("https://www.fabsurplus.com/sdi_catalog/salesItemDetails.do?id=6538")</f>
        <v>https://www.fabsurplus.com/sdi_catalog/salesItemDetails.do?id=6538</v>
      </c>
      <c r="B919" s="5" t="s">
        <v>2291</v>
      </c>
      <c r="C919" s="5" t="s">
        <v>2260</v>
      </c>
      <c r="D919" s="5" t="s">
        <v>2292</v>
      </c>
      <c r="E919" s="5" t="s">
        <v>2293</v>
      </c>
      <c r="F919" s="5" t="s">
        <v>16</v>
      </c>
      <c r="G919" s="5" t="s">
        <v>104</v>
      </c>
      <c r="H919" s="5" t="s">
        <v>32</v>
      </c>
      <c r="I919" s="6" t="n">
        <v>34700</v>
      </c>
      <c r="J919" s="5" t="s">
        <v>19</v>
      </c>
      <c r="K919" s="5" t="s">
        <v>20</v>
      </c>
      <c r="L919" s="5"/>
    </row>
    <row r="920" customFormat="false" ht="15.65" hidden="false" customHeight="true" outlineLevel="0" collapsed="false">
      <c r="A920" s="2" t="str">
        <f aca="false">HYPERLINK("https://www.fabsurplus.com/sdi_catalog/salesItemDetails.do?id=6539")</f>
        <v>https://www.fabsurplus.com/sdi_catalog/salesItemDetails.do?id=6539</v>
      </c>
      <c r="B920" s="2" t="s">
        <v>2294</v>
      </c>
      <c r="C920" s="2" t="s">
        <v>2260</v>
      </c>
      <c r="D920" s="2" t="s">
        <v>2295</v>
      </c>
      <c r="E920" s="2" t="s">
        <v>2296</v>
      </c>
      <c r="F920" s="2" t="s">
        <v>16</v>
      </c>
      <c r="G920" s="2" t="s">
        <v>104</v>
      </c>
      <c r="H920" s="2" t="s">
        <v>32</v>
      </c>
      <c r="I920" s="3" t="n">
        <v>35156</v>
      </c>
      <c r="J920" s="2" t="s">
        <v>19</v>
      </c>
      <c r="K920" s="2" t="s">
        <v>20</v>
      </c>
      <c r="L920" s="2"/>
    </row>
    <row r="921" customFormat="false" ht="15.65" hidden="false" customHeight="true" outlineLevel="0" collapsed="false">
      <c r="A921" s="5" t="str">
        <f aca="false">HYPERLINK("https://www.fabsurplus.com/sdi_catalog/salesItemDetails.do?id=6540")</f>
        <v>https://www.fabsurplus.com/sdi_catalog/salesItemDetails.do?id=6540</v>
      </c>
      <c r="B921" s="5" t="s">
        <v>2297</v>
      </c>
      <c r="C921" s="5" t="s">
        <v>2260</v>
      </c>
      <c r="D921" s="5" t="s">
        <v>2298</v>
      </c>
      <c r="E921" s="5" t="s">
        <v>2299</v>
      </c>
      <c r="F921" s="5" t="s">
        <v>16</v>
      </c>
      <c r="G921" s="5" t="s">
        <v>104</v>
      </c>
      <c r="H921" s="5" t="s">
        <v>32</v>
      </c>
      <c r="I921" s="6" t="n">
        <v>35125</v>
      </c>
      <c r="J921" s="5" t="s">
        <v>19</v>
      </c>
      <c r="K921" s="5" t="s">
        <v>20</v>
      </c>
      <c r="L921" s="5"/>
    </row>
    <row r="922" customFormat="false" ht="15.65" hidden="false" customHeight="true" outlineLevel="0" collapsed="false">
      <c r="A922" s="2" t="str">
        <f aca="false">HYPERLINK("https://www.fabsurplus.com/sdi_catalog/salesItemDetails.do?id=83894")</f>
        <v>https://www.fabsurplus.com/sdi_catalog/salesItemDetails.do?id=83894</v>
      </c>
      <c r="B922" s="2" t="s">
        <v>2300</v>
      </c>
      <c r="C922" s="2" t="s">
        <v>2301</v>
      </c>
      <c r="D922" s="2" t="s">
        <v>2302</v>
      </c>
      <c r="E922" s="2" t="s">
        <v>2303</v>
      </c>
      <c r="F922" s="2" t="s">
        <v>16</v>
      </c>
      <c r="G922" s="2" t="s">
        <v>2304</v>
      </c>
      <c r="H922" s="2" t="s">
        <v>18</v>
      </c>
      <c r="I922" s="2"/>
      <c r="J922" s="2" t="s">
        <v>19</v>
      </c>
      <c r="K922" s="2" t="s">
        <v>20</v>
      </c>
      <c r="L922" s="2" t="s">
        <v>2305</v>
      </c>
    </row>
    <row r="923" customFormat="false" ht="15.65" hidden="false" customHeight="true" outlineLevel="0" collapsed="false">
      <c r="A923" s="5" t="str">
        <f aca="false">HYPERLINK("https://www.fabsurplus.com/sdi_catalog/salesItemDetails.do?id=32217")</f>
        <v>https://www.fabsurplus.com/sdi_catalog/salesItemDetails.do?id=32217</v>
      </c>
      <c r="B923" s="5" t="s">
        <v>2306</v>
      </c>
      <c r="C923" s="5" t="s">
        <v>2301</v>
      </c>
      <c r="D923" s="5" t="s">
        <v>2302</v>
      </c>
      <c r="E923" s="5" t="s">
        <v>2303</v>
      </c>
      <c r="F923" s="5" t="s">
        <v>16</v>
      </c>
      <c r="G923" s="5" t="s">
        <v>2304</v>
      </c>
      <c r="H923" s="5" t="s">
        <v>18</v>
      </c>
      <c r="I923" s="5"/>
      <c r="J923" s="5" t="s">
        <v>19</v>
      </c>
      <c r="K923" s="5" t="s">
        <v>20</v>
      </c>
      <c r="L923" s="5" t="s">
        <v>2305</v>
      </c>
    </row>
    <row r="924" customFormat="false" ht="15.65" hidden="false" customHeight="true" outlineLevel="0" collapsed="false">
      <c r="A924" s="2" t="str">
        <f aca="false">HYPERLINK("https://www.fabsurplus.com/sdi_catalog/salesItemDetails.do?id=77168")</f>
        <v>https://www.fabsurplus.com/sdi_catalog/salesItemDetails.do?id=77168</v>
      </c>
      <c r="B924" s="2" t="s">
        <v>2307</v>
      </c>
      <c r="C924" s="2" t="s">
        <v>2308</v>
      </c>
      <c r="D924" s="2" t="s">
        <v>2309</v>
      </c>
      <c r="E924" s="2" t="s">
        <v>2310</v>
      </c>
      <c r="F924" s="2" t="s">
        <v>16</v>
      </c>
      <c r="G924" s="2" t="s">
        <v>104</v>
      </c>
      <c r="H924" s="2" t="s">
        <v>1395</v>
      </c>
      <c r="I924" s="2"/>
      <c r="J924" s="2" t="s">
        <v>19</v>
      </c>
      <c r="K924" s="2" t="s">
        <v>20</v>
      </c>
      <c r="L924" s="4" t="s">
        <v>2311</v>
      </c>
    </row>
    <row r="925" customFormat="false" ht="15.65" hidden="false" customHeight="true" outlineLevel="0" collapsed="false">
      <c r="A925" s="5" t="str">
        <f aca="false">HYPERLINK("https://www.fabsurplus.com/sdi_catalog/salesItemDetails.do?id=83571")</f>
        <v>https://www.fabsurplus.com/sdi_catalog/salesItemDetails.do?id=83571</v>
      </c>
      <c r="B925" s="5" t="s">
        <v>2312</v>
      </c>
      <c r="C925" s="5" t="s">
        <v>2308</v>
      </c>
      <c r="D925" s="5" t="s">
        <v>2313</v>
      </c>
      <c r="E925" s="5" t="s">
        <v>2314</v>
      </c>
      <c r="F925" s="5" t="s">
        <v>16</v>
      </c>
      <c r="G925" s="5" t="s">
        <v>104</v>
      </c>
      <c r="H925" s="5" t="s">
        <v>1395</v>
      </c>
      <c r="I925" s="5"/>
      <c r="J925" s="5" t="s">
        <v>19</v>
      </c>
      <c r="K925" s="5" t="s">
        <v>20</v>
      </c>
      <c r="L925" s="7" t="s">
        <v>2315</v>
      </c>
    </row>
    <row r="926" customFormat="false" ht="15.65" hidden="false" customHeight="true" outlineLevel="0" collapsed="false">
      <c r="A926" s="2" t="str">
        <f aca="false">HYPERLINK("https://www.fabsurplus.com/sdi_catalog/salesItemDetails.do?id=109363")</f>
        <v>https://www.fabsurplus.com/sdi_catalog/salesItemDetails.do?id=109363</v>
      </c>
      <c r="B926" s="2" t="s">
        <v>2316</v>
      </c>
      <c r="C926" s="2" t="s">
        <v>2317</v>
      </c>
      <c r="D926" s="2" t="s">
        <v>2318</v>
      </c>
      <c r="E926" s="2" t="s">
        <v>103</v>
      </c>
      <c r="F926" s="2" t="s">
        <v>236</v>
      </c>
      <c r="G926" s="2" t="s">
        <v>104</v>
      </c>
      <c r="H926" s="2"/>
      <c r="I926" s="2"/>
      <c r="J926" s="2" t="s">
        <v>19</v>
      </c>
      <c r="K926" s="2"/>
      <c r="L926" s="2"/>
    </row>
    <row r="927" customFormat="false" ht="15.65" hidden="false" customHeight="true" outlineLevel="0" collapsed="false">
      <c r="A927" s="5" t="str">
        <f aca="false">HYPERLINK("https://www.fabsurplus.com/sdi_catalog/salesItemDetails.do?id=109364")</f>
        <v>https://www.fabsurplus.com/sdi_catalog/salesItemDetails.do?id=109364</v>
      </c>
      <c r="B927" s="5" t="s">
        <v>2319</v>
      </c>
      <c r="C927" s="5" t="s">
        <v>2317</v>
      </c>
      <c r="D927" s="5" t="s">
        <v>2320</v>
      </c>
      <c r="E927" s="5" t="s">
        <v>103</v>
      </c>
      <c r="F927" s="5" t="s">
        <v>236</v>
      </c>
      <c r="G927" s="5" t="s">
        <v>104</v>
      </c>
      <c r="H927" s="5"/>
      <c r="I927" s="5"/>
      <c r="J927" s="5" t="s">
        <v>19</v>
      </c>
      <c r="K927" s="5"/>
      <c r="L927" s="5"/>
    </row>
    <row r="928" customFormat="false" ht="15.65" hidden="false" customHeight="true" outlineLevel="0" collapsed="false">
      <c r="A928" s="2" t="str">
        <f aca="false">HYPERLINK("https://www.fabsurplus.com/sdi_catalog/salesItemDetails.do?id=109365")</f>
        <v>https://www.fabsurplus.com/sdi_catalog/salesItemDetails.do?id=109365</v>
      </c>
      <c r="B928" s="2" t="s">
        <v>2321</v>
      </c>
      <c r="C928" s="2" t="s">
        <v>2317</v>
      </c>
      <c r="D928" s="2" t="s">
        <v>2322</v>
      </c>
      <c r="E928" s="2" t="s">
        <v>103</v>
      </c>
      <c r="F928" s="2" t="s">
        <v>16</v>
      </c>
      <c r="G928" s="2" t="s">
        <v>104</v>
      </c>
      <c r="H928" s="2"/>
      <c r="I928" s="2"/>
      <c r="J928" s="2" t="s">
        <v>19</v>
      </c>
      <c r="K928" s="2"/>
      <c r="L928" s="2"/>
    </row>
    <row r="929" customFormat="false" ht="15.65" hidden="false" customHeight="true" outlineLevel="0" collapsed="false">
      <c r="A929" s="5" t="str">
        <f aca="false">HYPERLINK("https://www.fabsurplus.com/sdi_catalog/salesItemDetails.do?id=108062")</f>
        <v>https://www.fabsurplus.com/sdi_catalog/salesItemDetails.do?id=108062</v>
      </c>
      <c r="B929" s="5" t="s">
        <v>2323</v>
      </c>
      <c r="C929" s="5" t="s">
        <v>2324</v>
      </c>
      <c r="D929" s="5" t="s">
        <v>2325</v>
      </c>
      <c r="E929" s="5" t="s">
        <v>2326</v>
      </c>
      <c r="F929" s="5" t="s">
        <v>16</v>
      </c>
      <c r="G929" s="5" t="s">
        <v>2327</v>
      </c>
      <c r="H929" s="5"/>
      <c r="I929" s="5"/>
      <c r="J929" s="5" t="s">
        <v>19</v>
      </c>
      <c r="K929" s="5"/>
      <c r="L929" s="5" t="s">
        <v>2328</v>
      </c>
    </row>
    <row r="930" customFormat="false" ht="15.65" hidden="false" customHeight="true" outlineLevel="0" collapsed="false">
      <c r="A930" s="2" t="str">
        <f aca="false">HYPERLINK("https://www.fabsurplus.com/sdi_catalog/salesItemDetails.do?id=109104")</f>
        <v>https://www.fabsurplus.com/sdi_catalog/salesItemDetails.do?id=109104</v>
      </c>
      <c r="B930" s="2" t="s">
        <v>2329</v>
      </c>
      <c r="C930" s="2" t="s">
        <v>2324</v>
      </c>
      <c r="D930" s="2" t="s">
        <v>2330</v>
      </c>
      <c r="E930" s="2" t="s">
        <v>2331</v>
      </c>
      <c r="F930" s="2" t="s">
        <v>2332</v>
      </c>
      <c r="G930" s="2" t="s">
        <v>104</v>
      </c>
      <c r="H930" s="2" t="s">
        <v>18</v>
      </c>
      <c r="I930" s="3" t="n">
        <v>39965</v>
      </c>
      <c r="J930" s="2" t="s">
        <v>19</v>
      </c>
      <c r="K930" s="2" t="s">
        <v>20</v>
      </c>
      <c r="L930" s="4" t="s">
        <v>2333</v>
      </c>
    </row>
    <row r="931" customFormat="false" ht="15.65" hidden="false" customHeight="true" outlineLevel="0" collapsed="false">
      <c r="A931" s="5" t="str">
        <f aca="false">HYPERLINK("https://www.fabsurplus.com/sdi_catalog/salesItemDetails.do?id=109117")</f>
        <v>https://www.fabsurplus.com/sdi_catalog/salesItemDetails.do?id=109117</v>
      </c>
      <c r="B931" s="5" t="s">
        <v>2334</v>
      </c>
      <c r="C931" s="5" t="s">
        <v>2324</v>
      </c>
      <c r="D931" s="5" t="s">
        <v>2335</v>
      </c>
      <c r="E931" s="5" t="s">
        <v>2336</v>
      </c>
      <c r="F931" s="5" t="s">
        <v>151</v>
      </c>
      <c r="G931" s="5" t="s">
        <v>61</v>
      </c>
      <c r="H931" s="5" t="s">
        <v>18</v>
      </c>
      <c r="I931" s="6" t="n">
        <v>40330</v>
      </c>
      <c r="J931" s="5" t="s">
        <v>19</v>
      </c>
      <c r="K931" s="5" t="s">
        <v>20</v>
      </c>
      <c r="L931" s="7" t="s">
        <v>2337</v>
      </c>
    </row>
    <row r="932" customFormat="false" ht="15.65" hidden="false" customHeight="true" outlineLevel="0" collapsed="false">
      <c r="A932" s="2" t="str">
        <f aca="false">HYPERLINK("https://www.fabsurplus.com/sdi_catalog/salesItemDetails.do?id=108378")</f>
        <v>https://www.fabsurplus.com/sdi_catalog/salesItemDetails.do?id=108378</v>
      </c>
      <c r="B932" s="2" t="s">
        <v>2338</v>
      </c>
      <c r="C932" s="2" t="s">
        <v>2324</v>
      </c>
      <c r="D932" s="2" t="s">
        <v>2339</v>
      </c>
      <c r="E932" s="2" t="s">
        <v>2340</v>
      </c>
      <c r="F932" s="2" t="s">
        <v>16</v>
      </c>
      <c r="G932" s="2" t="s">
        <v>61</v>
      </c>
      <c r="H932" s="2"/>
      <c r="I932" s="2"/>
      <c r="J932" s="2" t="s">
        <v>19</v>
      </c>
      <c r="K932" s="2"/>
      <c r="L932" s="2"/>
    </row>
    <row r="933" customFormat="false" ht="15.65" hidden="false" customHeight="true" outlineLevel="0" collapsed="false">
      <c r="A933" s="5" t="str">
        <f aca="false">HYPERLINK("https://www.fabsurplus.com/sdi_catalog/salesItemDetails.do?id=108381")</f>
        <v>https://www.fabsurplus.com/sdi_catalog/salesItemDetails.do?id=108381</v>
      </c>
      <c r="B933" s="5" t="s">
        <v>2341</v>
      </c>
      <c r="C933" s="5" t="s">
        <v>2324</v>
      </c>
      <c r="D933" s="5" t="s">
        <v>2342</v>
      </c>
      <c r="E933" s="5" t="s">
        <v>2343</v>
      </c>
      <c r="F933" s="5" t="s">
        <v>16</v>
      </c>
      <c r="G933" s="5" t="s">
        <v>61</v>
      </c>
      <c r="H933" s="5" t="s">
        <v>1772</v>
      </c>
      <c r="I933" s="5"/>
      <c r="J933" s="5" t="s">
        <v>19</v>
      </c>
      <c r="K933" s="5"/>
      <c r="L933" s="7" t="s">
        <v>2344</v>
      </c>
    </row>
    <row r="934" customFormat="false" ht="15.65" hidden="false" customHeight="true" outlineLevel="0" collapsed="false">
      <c r="A934" s="2" t="str">
        <f aca="false">HYPERLINK("https://www.fabsurplus.com/sdi_catalog/salesItemDetails.do?id=108384")</f>
        <v>https://www.fabsurplus.com/sdi_catalog/salesItemDetails.do?id=108384</v>
      </c>
      <c r="B934" s="2" t="s">
        <v>2345</v>
      </c>
      <c r="C934" s="2" t="s">
        <v>2324</v>
      </c>
      <c r="D934" s="2" t="s">
        <v>2346</v>
      </c>
      <c r="E934" s="2" t="s">
        <v>1893</v>
      </c>
      <c r="F934" s="2" t="s">
        <v>86</v>
      </c>
      <c r="G934" s="2" t="s">
        <v>61</v>
      </c>
      <c r="H934" s="2"/>
      <c r="I934" s="2"/>
      <c r="J934" s="2" t="s">
        <v>19</v>
      </c>
      <c r="K934" s="2"/>
      <c r="L934" s="2"/>
    </row>
    <row r="935" customFormat="false" ht="15.65" hidden="false" customHeight="true" outlineLevel="0" collapsed="false">
      <c r="A935" s="5" t="str">
        <f aca="false">HYPERLINK("https://www.fabsurplus.com/sdi_catalog/salesItemDetails.do?id=106862")</f>
        <v>https://www.fabsurplus.com/sdi_catalog/salesItemDetails.do?id=106862</v>
      </c>
      <c r="B935" s="5" t="s">
        <v>2347</v>
      </c>
      <c r="C935" s="5" t="s">
        <v>2324</v>
      </c>
      <c r="D935" s="5" t="s">
        <v>2348</v>
      </c>
      <c r="E935" s="5" t="s">
        <v>2349</v>
      </c>
      <c r="F935" s="5" t="s">
        <v>16</v>
      </c>
      <c r="G935" s="5" t="s">
        <v>38</v>
      </c>
      <c r="H935" s="5" t="s">
        <v>32</v>
      </c>
      <c r="I935" s="6" t="n">
        <v>43466</v>
      </c>
      <c r="J935" s="5" t="s">
        <v>19</v>
      </c>
      <c r="K935" s="5" t="s">
        <v>20</v>
      </c>
      <c r="L935" s="7" t="s">
        <v>2350</v>
      </c>
    </row>
    <row r="936" customFormat="false" ht="15.65" hidden="false" customHeight="true" outlineLevel="0" collapsed="false">
      <c r="A936" s="2" t="str">
        <f aca="false">HYPERLINK("https://www.fabsurplus.com/sdi_catalog/salesItemDetails.do?id=106884")</f>
        <v>https://www.fabsurplus.com/sdi_catalog/salesItemDetails.do?id=106884</v>
      </c>
      <c r="B936" s="2" t="s">
        <v>2351</v>
      </c>
      <c r="C936" s="2" t="s">
        <v>2324</v>
      </c>
      <c r="D936" s="2" t="s">
        <v>2330</v>
      </c>
      <c r="E936" s="2" t="s">
        <v>2352</v>
      </c>
      <c r="F936" s="2" t="s">
        <v>2332</v>
      </c>
      <c r="G936" s="2" t="s">
        <v>104</v>
      </c>
      <c r="H936" s="2" t="s">
        <v>32</v>
      </c>
      <c r="I936" s="3" t="n">
        <v>39965</v>
      </c>
      <c r="J936" s="2" t="s">
        <v>19</v>
      </c>
      <c r="K936" s="2" t="s">
        <v>20</v>
      </c>
      <c r="L936" s="4" t="s">
        <v>2353</v>
      </c>
    </row>
    <row r="937" customFormat="false" ht="15.65" hidden="false" customHeight="true" outlineLevel="0" collapsed="false">
      <c r="A937" s="5" t="str">
        <f aca="false">HYPERLINK("https://www.fabsurplus.com/sdi_catalog/salesItemDetails.do?id=98443")</f>
        <v>https://www.fabsurplus.com/sdi_catalog/salesItemDetails.do?id=98443</v>
      </c>
      <c r="B937" s="5" t="s">
        <v>2354</v>
      </c>
      <c r="C937" s="5" t="s">
        <v>2324</v>
      </c>
      <c r="D937" s="5" t="s">
        <v>2355</v>
      </c>
      <c r="E937" s="5" t="s">
        <v>2356</v>
      </c>
      <c r="F937" s="5" t="s">
        <v>16</v>
      </c>
      <c r="G937" s="5" t="s">
        <v>2357</v>
      </c>
      <c r="H937" s="5"/>
      <c r="I937" s="5"/>
      <c r="J937" s="5" t="s">
        <v>19</v>
      </c>
      <c r="K937" s="5"/>
      <c r="L937" s="5" t="s">
        <v>518</v>
      </c>
    </row>
    <row r="938" customFormat="false" ht="15.65" hidden="false" customHeight="true" outlineLevel="0" collapsed="false">
      <c r="A938" s="2" t="str">
        <f aca="false">HYPERLINK("https://www.fabsurplus.com/sdi_catalog/salesItemDetails.do?id=98444")</f>
        <v>https://www.fabsurplus.com/sdi_catalog/salesItemDetails.do?id=98444</v>
      </c>
      <c r="B938" s="2" t="s">
        <v>2358</v>
      </c>
      <c r="C938" s="2" t="s">
        <v>2324</v>
      </c>
      <c r="D938" s="2" t="s">
        <v>2359</v>
      </c>
      <c r="E938" s="2" t="s">
        <v>2356</v>
      </c>
      <c r="F938" s="2" t="s">
        <v>16</v>
      </c>
      <c r="G938" s="2" t="s">
        <v>2357</v>
      </c>
      <c r="H938" s="2"/>
      <c r="I938" s="2"/>
      <c r="J938" s="2" t="s">
        <v>19</v>
      </c>
      <c r="K938" s="2"/>
      <c r="L938" s="2" t="s">
        <v>518</v>
      </c>
    </row>
    <row r="939" customFormat="false" ht="15.65" hidden="false" customHeight="true" outlineLevel="0" collapsed="false">
      <c r="A939" s="5" t="str">
        <f aca="false">HYPERLINK("https://www.fabsurplus.com/sdi_catalog/salesItemDetails.do?id=81827")</f>
        <v>https://www.fabsurplus.com/sdi_catalog/salesItemDetails.do?id=81827</v>
      </c>
      <c r="B939" s="5" t="s">
        <v>2360</v>
      </c>
      <c r="C939" s="5" t="s">
        <v>2324</v>
      </c>
      <c r="D939" s="5" t="s">
        <v>2361</v>
      </c>
      <c r="E939" s="5" t="s">
        <v>2362</v>
      </c>
      <c r="F939" s="5" t="s">
        <v>16</v>
      </c>
      <c r="G939" s="5" t="s">
        <v>104</v>
      </c>
      <c r="H939" s="5" t="s">
        <v>1266</v>
      </c>
      <c r="I939" s="5"/>
      <c r="J939" s="5" t="s">
        <v>19</v>
      </c>
      <c r="K939" s="5" t="s">
        <v>20</v>
      </c>
      <c r="L939" s="7" t="s">
        <v>2363</v>
      </c>
    </row>
    <row r="940" customFormat="false" ht="15.65" hidden="false" customHeight="true" outlineLevel="0" collapsed="false">
      <c r="A940" s="2" t="str">
        <f aca="false">HYPERLINK("https://www.fabsurplus.com/sdi_catalog/salesItemDetails.do?id=81828")</f>
        <v>https://www.fabsurplus.com/sdi_catalog/salesItemDetails.do?id=81828</v>
      </c>
      <c r="B940" s="2" t="s">
        <v>2364</v>
      </c>
      <c r="C940" s="2" t="s">
        <v>2324</v>
      </c>
      <c r="D940" s="2" t="s">
        <v>2365</v>
      </c>
      <c r="E940" s="2" t="s">
        <v>2366</v>
      </c>
      <c r="F940" s="2" t="s">
        <v>16</v>
      </c>
      <c r="G940" s="2" t="s">
        <v>104</v>
      </c>
      <c r="H940" s="2" t="s">
        <v>32</v>
      </c>
      <c r="I940" s="3" t="n">
        <v>40238</v>
      </c>
      <c r="J940" s="2" t="s">
        <v>19</v>
      </c>
      <c r="K940" s="2" t="s">
        <v>20</v>
      </c>
      <c r="L940" s="4" t="s">
        <v>2367</v>
      </c>
    </row>
    <row r="941" customFormat="false" ht="15.65" hidden="false" customHeight="true" outlineLevel="0" collapsed="false">
      <c r="A941" s="5" t="str">
        <f aca="false">HYPERLINK("https://www.fabsurplus.com/sdi_catalog/salesItemDetails.do?id=108713")</f>
        <v>https://www.fabsurplus.com/sdi_catalog/salesItemDetails.do?id=108713</v>
      </c>
      <c r="B941" s="5" t="s">
        <v>2368</v>
      </c>
      <c r="C941" s="5" t="s">
        <v>2324</v>
      </c>
      <c r="D941" s="5" t="s">
        <v>2369</v>
      </c>
      <c r="E941" s="5" t="s">
        <v>2370</v>
      </c>
      <c r="F941" s="5" t="s">
        <v>16</v>
      </c>
      <c r="G941" s="5" t="s">
        <v>38</v>
      </c>
      <c r="H941" s="5" t="s">
        <v>275</v>
      </c>
      <c r="I941" s="6" t="n">
        <v>37773</v>
      </c>
      <c r="J941" s="5" t="s">
        <v>42</v>
      </c>
      <c r="K941" s="5" t="s">
        <v>20</v>
      </c>
      <c r="L941" s="7" t="s">
        <v>2371</v>
      </c>
    </row>
    <row r="942" customFormat="false" ht="15.65" hidden="false" customHeight="true" outlineLevel="0" collapsed="false">
      <c r="A942" s="2" t="str">
        <f aca="false">HYPERLINK("https://www.fabsurplus.com/sdi_catalog/salesItemDetails.do?id=108255")</f>
        <v>https://www.fabsurplus.com/sdi_catalog/salesItemDetails.do?id=108255</v>
      </c>
      <c r="B942" s="2" t="s">
        <v>2372</v>
      </c>
      <c r="C942" s="2" t="s">
        <v>2324</v>
      </c>
      <c r="D942" s="2" t="s">
        <v>2373</v>
      </c>
      <c r="E942" s="2" t="s">
        <v>2374</v>
      </c>
      <c r="F942" s="2" t="s">
        <v>16</v>
      </c>
      <c r="G942" s="2" t="s">
        <v>38</v>
      </c>
      <c r="H942" s="2"/>
      <c r="I942" s="3" t="n">
        <v>37043</v>
      </c>
      <c r="J942" s="2" t="s">
        <v>19</v>
      </c>
      <c r="K942" s="2"/>
      <c r="L942" s="2" t="s">
        <v>2375</v>
      </c>
    </row>
    <row r="943" customFormat="false" ht="15.65" hidden="false" customHeight="true" outlineLevel="0" collapsed="false">
      <c r="A943" s="5" t="str">
        <f aca="false">HYPERLINK("https://www.fabsurplus.com/sdi_catalog/salesItemDetails.do?id=108256")</f>
        <v>https://www.fabsurplus.com/sdi_catalog/salesItemDetails.do?id=108256</v>
      </c>
      <c r="B943" s="5" t="s">
        <v>2376</v>
      </c>
      <c r="C943" s="5" t="s">
        <v>2324</v>
      </c>
      <c r="D943" s="5" t="s">
        <v>2373</v>
      </c>
      <c r="E943" s="5" t="s">
        <v>2374</v>
      </c>
      <c r="F943" s="5" t="s">
        <v>16</v>
      </c>
      <c r="G943" s="5" t="s">
        <v>38</v>
      </c>
      <c r="H943" s="5"/>
      <c r="I943" s="6" t="n">
        <v>37043</v>
      </c>
      <c r="J943" s="5" t="s">
        <v>19</v>
      </c>
      <c r="K943" s="5"/>
      <c r="L943" s="5" t="s">
        <v>2375</v>
      </c>
    </row>
    <row r="944" customFormat="false" ht="15.65" hidden="false" customHeight="true" outlineLevel="0" collapsed="false">
      <c r="A944" s="2" t="str">
        <f aca="false">HYPERLINK("https://www.fabsurplus.com/sdi_catalog/salesItemDetails.do?id=108257")</f>
        <v>https://www.fabsurplus.com/sdi_catalog/salesItemDetails.do?id=108257</v>
      </c>
      <c r="B944" s="2" t="s">
        <v>2377</v>
      </c>
      <c r="C944" s="2" t="s">
        <v>2324</v>
      </c>
      <c r="D944" s="2" t="s">
        <v>2378</v>
      </c>
      <c r="E944" s="2" t="s">
        <v>2379</v>
      </c>
      <c r="F944" s="2" t="s">
        <v>16</v>
      </c>
      <c r="G944" s="2" t="s">
        <v>2327</v>
      </c>
      <c r="H944" s="2"/>
      <c r="I944" s="3" t="n">
        <v>38504</v>
      </c>
      <c r="J944" s="2" t="s">
        <v>19</v>
      </c>
      <c r="K944" s="2"/>
      <c r="L944" s="2"/>
    </row>
    <row r="945" customFormat="false" ht="15.65" hidden="false" customHeight="true" outlineLevel="0" collapsed="false">
      <c r="A945" s="5" t="str">
        <f aca="false">HYPERLINK("https://www.fabsurplus.com/sdi_catalog/salesItemDetails.do?id=108258")</f>
        <v>https://www.fabsurplus.com/sdi_catalog/salesItemDetails.do?id=108258</v>
      </c>
      <c r="B945" s="5" t="s">
        <v>2380</v>
      </c>
      <c r="C945" s="5" t="s">
        <v>2324</v>
      </c>
      <c r="D945" s="5" t="s">
        <v>2378</v>
      </c>
      <c r="E945" s="5" t="s">
        <v>2379</v>
      </c>
      <c r="F945" s="5" t="s">
        <v>16</v>
      </c>
      <c r="G945" s="5" t="s">
        <v>2327</v>
      </c>
      <c r="H945" s="5"/>
      <c r="I945" s="6" t="n">
        <v>38504</v>
      </c>
      <c r="J945" s="5" t="s">
        <v>19</v>
      </c>
      <c r="K945" s="5"/>
      <c r="L945" s="5"/>
    </row>
    <row r="946" customFormat="false" ht="15.65" hidden="false" customHeight="true" outlineLevel="0" collapsed="false">
      <c r="A946" s="2" t="str">
        <f aca="false">HYPERLINK("https://www.fabsurplus.com/sdi_catalog/salesItemDetails.do?id=108259")</f>
        <v>https://www.fabsurplus.com/sdi_catalog/salesItemDetails.do?id=108259</v>
      </c>
      <c r="B946" s="2" t="s">
        <v>2381</v>
      </c>
      <c r="C946" s="2" t="s">
        <v>2324</v>
      </c>
      <c r="D946" s="2" t="s">
        <v>2378</v>
      </c>
      <c r="E946" s="2" t="s">
        <v>2379</v>
      </c>
      <c r="F946" s="2" t="s">
        <v>16</v>
      </c>
      <c r="G946" s="2" t="s">
        <v>2327</v>
      </c>
      <c r="H946" s="2"/>
      <c r="I946" s="3" t="n">
        <v>38504</v>
      </c>
      <c r="J946" s="2" t="s">
        <v>19</v>
      </c>
      <c r="K946" s="2"/>
      <c r="L946" s="2"/>
    </row>
    <row r="947" customFormat="false" ht="15.65" hidden="false" customHeight="true" outlineLevel="0" collapsed="false">
      <c r="A947" s="5" t="str">
        <f aca="false">HYPERLINK("https://www.fabsurplus.com/sdi_catalog/salesItemDetails.do?id=108260")</f>
        <v>https://www.fabsurplus.com/sdi_catalog/salesItemDetails.do?id=108260</v>
      </c>
      <c r="B947" s="5" t="s">
        <v>2382</v>
      </c>
      <c r="C947" s="5" t="s">
        <v>2324</v>
      </c>
      <c r="D947" s="5" t="s">
        <v>2378</v>
      </c>
      <c r="E947" s="5" t="s">
        <v>2379</v>
      </c>
      <c r="F947" s="5" t="s">
        <v>16</v>
      </c>
      <c r="G947" s="5" t="s">
        <v>2327</v>
      </c>
      <c r="H947" s="5"/>
      <c r="I947" s="6" t="n">
        <v>38504</v>
      </c>
      <c r="J947" s="5" t="s">
        <v>19</v>
      </c>
      <c r="K947" s="5"/>
      <c r="L947" s="5"/>
    </row>
    <row r="948" customFormat="false" ht="15.65" hidden="false" customHeight="true" outlineLevel="0" collapsed="false">
      <c r="A948" s="2" t="str">
        <f aca="false">HYPERLINK("https://www.fabsurplus.com/sdi_catalog/salesItemDetails.do?id=108261")</f>
        <v>https://www.fabsurplus.com/sdi_catalog/salesItemDetails.do?id=108261</v>
      </c>
      <c r="B948" s="2" t="s">
        <v>2383</v>
      </c>
      <c r="C948" s="2" t="s">
        <v>2324</v>
      </c>
      <c r="D948" s="2" t="s">
        <v>2378</v>
      </c>
      <c r="E948" s="2" t="s">
        <v>2379</v>
      </c>
      <c r="F948" s="2" t="s">
        <v>16</v>
      </c>
      <c r="G948" s="2" t="s">
        <v>2327</v>
      </c>
      <c r="H948" s="2"/>
      <c r="I948" s="3" t="n">
        <v>38504</v>
      </c>
      <c r="J948" s="2" t="s">
        <v>19</v>
      </c>
      <c r="K948" s="2"/>
      <c r="L948" s="2"/>
    </row>
    <row r="949" customFormat="false" ht="15.65" hidden="false" customHeight="true" outlineLevel="0" collapsed="false">
      <c r="A949" s="5" t="str">
        <f aca="false">HYPERLINK("https://www.fabsurplus.com/sdi_catalog/salesItemDetails.do?id=108262")</f>
        <v>https://www.fabsurplus.com/sdi_catalog/salesItemDetails.do?id=108262</v>
      </c>
      <c r="B949" s="5" t="s">
        <v>2384</v>
      </c>
      <c r="C949" s="5" t="s">
        <v>2324</v>
      </c>
      <c r="D949" s="5" t="s">
        <v>2378</v>
      </c>
      <c r="E949" s="5" t="s">
        <v>2379</v>
      </c>
      <c r="F949" s="5" t="s">
        <v>16</v>
      </c>
      <c r="G949" s="5" t="s">
        <v>2327</v>
      </c>
      <c r="H949" s="5"/>
      <c r="I949" s="6" t="n">
        <v>38504</v>
      </c>
      <c r="J949" s="5" t="s">
        <v>19</v>
      </c>
      <c r="K949" s="5"/>
      <c r="L949" s="5"/>
    </row>
    <row r="950" customFormat="false" ht="15.65" hidden="false" customHeight="true" outlineLevel="0" collapsed="false">
      <c r="A950" s="2" t="str">
        <f aca="false">HYPERLINK("https://www.fabsurplus.com/sdi_catalog/salesItemDetails.do?id=109030")</f>
        <v>https://www.fabsurplus.com/sdi_catalog/salesItemDetails.do?id=109030</v>
      </c>
      <c r="B950" s="2" t="s">
        <v>2385</v>
      </c>
      <c r="C950" s="2" t="s">
        <v>2324</v>
      </c>
      <c r="D950" s="2" t="s">
        <v>2386</v>
      </c>
      <c r="E950" s="2" t="s">
        <v>2387</v>
      </c>
      <c r="F950" s="2" t="s">
        <v>16</v>
      </c>
      <c r="G950" s="2" t="s">
        <v>1362</v>
      </c>
      <c r="H950" s="2" t="s">
        <v>32</v>
      </c>
      <c r="I950" s="3" t="n">
        <v>42979</v>
      </c>
      <c r="J950" s="2" t="s">
        <v>19</v>
      </c>
      <c r="K950" s="2" t="s">
        <v>20</v>
      </c>
      <c r="L950" s="4" t="s">
        <v>2388</v>
      </c>
    </row>
    <row r="951" customFormat="false" ht="15.65" hidden="false" customHeight="true" outlineLevel="0" collapsed="false">
      <c r="A951" s="5" t="str">
        <f aca="false">HYPERLINK("https://www.fabsurplus.com/sdi_catalog/salesItemDetails.do?id=108263")</f>
        <v>https://www.fabsurplus.com/sdi_catalog/salesItemDetails.do?id=108263</v>
      </c>
      <c r="B951" s="5" t="s">
        <v>2389</v>
      </c>
      <c r="C951" s="5" t="s">
        <v>2324</v>
      </c>
      <c r="D951" s="5" t="s">
        <v>2378</v>
      </c>
      <c r="E951" s="5" t="s">
        <v>2379</v>
      </c>
      <c r="F951" s="5" t="s">
        <v>16</v>
      </c>
      <c r="G951" s="5" t="s">
        <v>2327</v>
      </c>
      <c r="H951" s="5"/>
      <c r="I951" s="6" t="n">
        <v>38504</v>
      </c>
      <c r="J951" s="5" t="s">
        <v>19</v>
      </c>
      <c r="K951" s="5"/>
      <c r="L951" s="5"/>
    </row>
    <row r="952" customFormat="false" ht="15.65" hidden="false" customHeight="true" outlineLevel="0" collapsed="false">
      <c r="A952" s="2" t="str">
        <f aca="false">HYPERLINK("https://www.fabsurplus.com/sdi_catalog/salesItemDetails.do?id=108264")</f>
        <v>https://www.fabsurplus.com/sdi_catalog/salesItemDetails.do?id=108264</v>
      </c>
      <c r="B952" s="2" t="s">
        <v>2390</v>
      </c>
      <c r="C952" s="2" t="s">
        <v>2324</v>
      </c>
      <c r="D952" s="2" t="s">
        <v>2391</v>
      </c>
      <c r="E952" s="2" t="s">
        <v>2392</v>
      </c>
      <c r="F952" s="2" t="s">
        <v>16</v>
      </c>
      <c r="G952" s="2" t="s">
        <v>38</v>
      </c>
      <c r="H952" s="2"/>
      <c r="I952" s="3" t="n">
        <v>41791</v>
      </c>
      <c r="J952" s="2" t="s">
        <v>19</v>
      </c>
      <c r="K952" s="2"/>
      <c r="L952" s="4" t="s">
        <v>2393</v>
      </c>
    </row>
    <row r="953" customFormat="false" ht="15.65" hidden="false" customHeight="true" outlineLevel="0" collapsed="false">
      <c r="A953" s="5" t="str">
        <f aca="false">HYPERLINK("https://www.fabsurplus.com/sdi_catalog/salesItemDetails.do?id=109620")</f>
        <v>https://www.fabsurplus.com/sdi_catalog/salesItemDetails.do?id=109620</v>
      </c>
      <c r="B953" s="5" t="s">
        <v>2394</v>
      </c>
      <c r="C953" s="5" t="s">
        <v>2395</v>
      </c>
      <c r="D953" s="5" t="s">
        <v>2396</v>
      </c>
      <c r="E953" s="5" t="s">
        <v>2397</v>
      </c>
      <c r="F953" s="5" t="s">
        <v>16</v>
      </c>
      <c r="G953" s="5"/>
      <c r="H953" s="5"/>
      <c r="I953" s="5"/>
      <c r="J953" s="5" t="s">
        <v>42</v>
      </c>
      <c r="K953" s="5"/>
      <c r="L953" s="5" t="s">
        <v>2398</v>
      </c>
    </row>
    <row r="954" customFormat="false" ht="15.65" hidden="false" customHeight="true" outlineLevel="0" collapsed="false">
      <c r="A954" s="2" t="str">
        <f aca="false">HYPERLINK("https://www.fabsurplus.com/sdi_catalog/salesItemDetails.do?id=108385")</f>
        <v>https://www.fabsurplus.com/sdi_catalog/salesItemDetails.do?id=108385</v>
      </c>
      <c r="B954" s="2" t="s">
        <v>2399</v>
      </c>
      <c r="C954" s="2" t="s">
        <v>2395</v>
      </c>
      <c r="D954" s="2" t="s">
        <v>2400</v>
      </c>
      <c r="E954" s="2" t="s">
        <v>2401</v>
      </c>
      <c r="F954" s="2" t="s">
        <v>16</v>
      </c>
      <c r="G954" s="2" t="s">
        <v>61</v>
      </c>
      <c r="H954" s="2"/>
      <c r="I954" s="2"/>
      <c r="J954" s="2" t="s">
        <v>19</v>
      </c>
      <c r="K954" s="2"/>
      <c r="L954" s="2"/>
    </row>
    <row r="955" customFormat="false" ht="15.65" hidden="false" customHeight="true" outlineLevel="0" collapsed="false">
      <c r="A955" s="5" t="str">
        <f aca="false">HYPERLINK("https://www.fabsurplus.com/sdi_catalog/salesItemDetails.do?id=108387")</f>
        <v>https://www.fabsurplus.com/sdi_catalog/salesItemDetails.do?id=108387</v>
      </c>
      <c r="B955" s="5" t="s">
        <v>2402</v>
      </c>
      <c r="C955" s="5" t="s">
        <v>2395</v>
      </c>
      <c r="D955" s="5" t="s">
        <v>2403</v>
      </c>
      <c r="E955" s="5" t="s">
        <v>2404</v>
      </c>
      <c r="F955" s="5" t="s">
        <v>16</v>
      </c>
      <c r="G955" s="5" t="s">
        <v>61</v>
      </c>
      <c r="H955" s="5"/>
      <c r="I955" s="5"/>
      <c r="J955" s="5" t="s">
        <v>19</v>
      </c>
      <c r="K955" s="5"/>
      <c r="L955" s="5"/>
    </row>
    <row r="956" customFormat="false" ht="15.65" hidden="false" customHeight="true" outlineLevel="0" collapsed="false">
      <c r="A956" s="2" t="str">
        <f aca="false">HYPERLINK("https://www.fabsurplus.com/sdi_catalog/salesItemDetails.do?id=109155")</f>
        <v>https://www.fabsurplus.com/sdi_catalog/salesItemDetails.do?id=109155</v>
      </c>
      <c r="B956" s="2" t="s">
        <v>2405</v>
      </c>
      <c r="C956" s="2" t="s">
        <v>2395</v>
      </c>
      <c r="D956" s="2" t="s">
        <v>2406</v>
      </c>
      <c r="E956" s="2" t="s">
        <v>2407</v>
      </c>
      <c r="F956" s="2" t="s">
        <v>16</v>
      </c>
      <c r="G956" s="2" t="s">
        <v>2357</v>
      </c>
      <c r="H956" s="2"/>
      <c r="I956" s="2"/>
      <c r="J956" s="2" t="s">
        <v>19</v>
      </c>
      <c r="K956" s="2"/>
      <c r="L956" s="2"/>
    </row>
    <row r="957" customFormat="false" ht="15.65" hidden="false" customHeight="true" outlineLevel="0" collapsed="false">
      <c r="A957" s="5" t="str">
        <f aca="false">HYPERLINK("https://www.fabsurplus.com/sdi_catalog/salesItemDetails.do?id=109156")</f>
        <v>https://www.fabsurplus.com/sdi_catalog/salesItemDetails.do?id=109156</v>
      </c>
      <c r="B957" s="5" t="s">
        <v>2408</v>
      </c>
      <c r="C957" s="5" t="s">
        <v>2395</v>
      </c>
      <c r="D957" s="5" t="s">
        <v>2409</v>
      </c>
      <c r="E957" s="5" t="s">
        <v>2410</v>
      </c>
      <c r="F957" s="5" t="s">
        <v>16</v>
      </c>
      <c r="G957" s="5" t="s">
        <v>84</v>
      </c>
      <c r="H957" s="5"/>
      <c r="I957" s="5"/>
      <c r="J957" s="5" t="s">
        <v>19</v>
      </c>
      <c r="K957" s="5"/>
      <c r="L957" s="5"/>
    </row>
    <row r="958" customFormat="false" ht="15.65" hidden="false" customHeight="true" outlineLevel="0" collapsed="false">
      <c r="A958" s="2" t="str">
        <f aca="false">HYPERLINK("https://www.fabsurplus.com/sdi_catalog/salesItemDetails.do?id=109157")</f>
        <v>https://www.fabsurplus.com/sdi_catalog/salesItemDetails.do?id=109157</v>
      </c>
      <c r="B958" s="2" t="s">
        <v>2411</v>
      </c>
      <c r="C958" s="2" t="s">
        <v>2395</v>
      </c>
      <c r="D958" s="2" t="s">
        <v>2412</v>
      </c>
      <c r="E958" s="2" t="s">
        <v>2401</v>
      </c>
      <c r="F958" s="2" t="s">
        <v>16</v>
      </c>
      <c r="G958" s="2" t="s">
        <v>84</v>
      </c>
      <c r="H958" s="2"/>
      <c r="I958" s="2"/>
      <c r="J958" s="2" t="s">
        <v>19</v>
      </c>
      <c r="K958" s="2"/>
      <c r="L958" s="2"/>
    </row>
    <row r="959" customFormat="false" ht="15.65" hidden="false" customHeight="true" outlineLevel="0" collapsed="false">
      <c r="A959" s="5" t="str">
        <f aca="false">HYPERLINK("https://www.fabsurplus.com/sdi_catalog/salesItemDetails.do?id=109158")</f>
        <v>https://www.fabsurplus.com/sdi_catalog/salesItemDetails.do?id=109158</v>
      </c>
      <c r="B959" s="5" t="s">
        <v>2413</v>
      </c>
      <c r="C959" s="5" t="s">
        <v>2395</v>
      </c>
      <c r="D959" s="5" t="s">
        <v>2414</v>
      </c>
      <c r="E959" s="5" t="s">
        <v>2404</v>
      </c>
      <c r="F959" s="5" t="s">
        <v>16</v>
      </c>
      <c r="G959" s="5" t="s">
        <v>84</v>
      </c>
      <c r="H959" s="5"/>
      <c r="I959" s="5"/>
      <c r="J959" s="5" t="s">
        <v>19</v>
      </c>
      <c r="K959" s="5"/>
      <c r="L959" s="5"/>
    </row>
    <row r="960" customFormat="false" ht="15.65" hidden="false" customHeight="true" outlineLevel="0" collapsed="false">
      <c r="A960" s="2" t="str">
        <f aca="false">HYPERLINK("https://www.fabsurplus.com/sdi_catalog/salesItemDetails.do?id=109159")</f>
        <v>https://www.fabsurplus.com/sdi_catalog/salesItemDetails.do?id=109159</v>
      </c>
      <c r="B960" s="2" t="s">
        <v>2415</v>
      </c>
      <c r="C960" s="2" t="s">
        <v>2395</v>
      </c>
      <c r="D960" s="2" t="s">
        <v>2416</v>
      </c>
      <c r="E960" s="2" t="s">
        <v>2404</v>
      </c>
      <c r="F960" s="2" t="s">
        <v>16</v>
      </c>
      <c r="G960" s="2" t="s">
        <v>84</v>
      </c>
      <c r="H960" s="2"/>
      <c r="I960" s="2"/>
      <c r="J960" s="2" t="s">
        <v>19</v>
      </c>
      <c r="K960" s="2"/>
      <c r="L960" s="2"/>
    </row>
    <row r="961" customFormat="false" ht="15.65" hidden="false" customHeight="true" outlineLevel="0" collapsed="false">
      <c r="A961" s="5" t="str">
        <f aca="false">HYPERLINK("https://www.fabsurplus.com/sdi_catalog/salesItemDetails.do?id=108918")</f>
        <v>https://www.fabsurplus.com/sdi_catalog/salesItemDetails.do?id=108918</v>
      </c>
      <c r="B961" s="5" t="s">
        <v>2417</v>
      </c>
      <c r="C961" s="5" t="s">
        <v>2395</v>
      </c>
      <c r="D961" s="5" t="s">
        <v>2418</v>
      </c>
      <c r="E961" s="5" t="s">
        <v>2419</v>
      </c>
      <c r="F961" s="5" t="s">
        <v>16</v>
      </c>
      <c r="G961" s="5" t="s">
        <v>61</v>
      </c>
      <c r="H961" s="5" t="s">
        <v>32</v>
      </c>
      <c r="I961" s="6" t="n">
        <v>38108</v>
      </c>
      <c r="J961" s="5" t="s">
        <v>19</v>
      </c>
      <c r="K961" s="5" t="s">
        <v>20</v>
      </c>
      <c r="L961" s="5"/>
    </row>
    <row r="962" customFormat="false" ht="15.65" hidden="false" customHeight="true" outlineLevel="0" collapsed="false">
      <c r="A962" s="2" t="str">
        <f aca="false">HYPERLINK("https://www.fabsurplus.com/sdi_catalog/salesItemDetails.do?id=108151")</f>
        <v>https://www.fabsurplus.com/sdi_catalog/salesItemDetails.do?id=108151</v>
      </c>
      <c r="B962" s="2" t="s">
        <v>2420</v>
      </c>
      <c r="C962" s="2" t="s">
        <v>2395</v>
      </c>
      <c r="D962" s="2" t="s">
        <v>2421</v>
      </c>
      <c r="E962" s="2" t="s">
        <v>2422</v>
      </c>
      <c r="F962" s="2" t="s">
        <v>16</v>
      </c>
      <c r="G962" s="2" t="s">
        <v>61</v>
      </c>
      <c r="H962" s="2" t="s">
        <v>32</v>
      </c>
      <c r="I962" s="3" t="n">
        <v>38504</v>
      </c>
      <c r="J962" s="2" t="s">
        <v>19</v>
      </c>
      <c r="K962" s="2" t="s">
        <v>20</v>
      </c>
      <c r="L962" s="4" t="s">
        <v>2423</v>
      </c>
    </row>
    <row r="963" customFormat="false" ht="15.65" hidden="false" customHeight="true" outlineLevel="0" collapsed="false">
      <c r="A963" s="5" t="str">
        <f aca="false">HYPERLINK("https://www.fabsurplus.com/sdi_catalog/salesItemDetails.do?id=109007")</f>
        <v>https://www.fabsurplus.com/sdi_catalog/salesItemDetails.do?id=109007</v>
      </c>
      <c r="B963" s="5" t="s">
        <v>2424</v>
      </c>
      <c r="C963" s="5" t="s">
        <v>2395</v>
      </c>
      <c r="D963" s="5" t="s">
        <v>2425</v>
      </c>
      <c r="E963" s="5" t="s">
        <v>2426</v>
      </c>
      <c r="F963" s="5" t="s">
        <v>16</v>
      </c>
      <c r="G963" s="5" t="s">
        <v>61</v>
      </c>
      <c r="H963" s="5" t="s">
        <v>18</v>
      </c>
      <c r="I963" s="5"/>
      <c r="J963" s="5" t="s">
        <v>19</v>
      </c>
      <c r="K963" s="5" t="s">
        <v>20</v>
      </c>
      <c r="L963" s="7" t="s">
        <v>2427</v>
      </c>
    </row>
    <row r="964" customFormat="false" ht="15.65" hidden="false" customHeight="true" outlineLevel="0" collapsed="false">
      <c r="A964" s="2" t="str">
        <f aca="false">HYPERLINK("https://www.fabsurplus.com/sdi_catalog/salesItemDetails.do?id=109280")</f>
        <v>https://www.fabsurplus.com/sdi_catalog/salesItemDetails.do?id=109280</v>
      </c>
      <c r="B964" s="2" t="s">
        <v>2428</v>
      </c>
      <c r="C964" s="2" t="s">
        <v>2395</v>
      </c>
      <c r="D964" s="2" t="s">
        <v>2429</v>
      </c>
      <c r="E964" s="2" t="s">
        <v>2430</v>
      </c>
      <c r="F964" s="2" t="s">
        <v>16</v>
      </c>
      <c r="G964" s="2" t="s">
        <v>61</v>
      </c>
      <c r="H964" s="2" t="s">
        <v>18</v>
      </c>
      <c r="I964" s="2"/>
      <c r="J964" s="2" t="s">
        <v>19</v>
      </c>
      <c r="K964" s="2" t="s">
        <v>20</v>
      </c>
      <c r="L964" s="4" t="s">
        <v>2431</v>
      </c>
    </row>
    <row r="965" customFormat="false" ht="15.65" hidden="false" customHeight="true" outlineLevel="0" collapsed="false">
      <c r="A965" s="5" t="str">
        <f aca="false">HYPERLINK("https://www.fabsurplus.com/sdi_catalog/salesItemDetails.do?id=109286")</f>
        <v>https://www.fabsurplus.com/sdi_catalog/salesItemDetails.do?id=109286</v>
      </c>
      <c r="B965" s="5" t="s">
        <v>2432</v>
      </c>
      <c r="C965" s="5" t="s">
        <v>2395</v>
      </c>
      <c r="D965" s="5" t="s">
        <v>2433</v>
      </c>
      <c r="E965" s="5" t="s">
        <v>2434</v>
      </c>
      <c r="F965" s="5" t="s">
        <v>16</v>
      </c>
      <c r="G965" s="5" t="s">
        <v>61</v>
      </c>
      <c r="H965" s="5" t="s">
        <v>32</v>
      </c>
      <c r="I965" s="6" t="n">
        <v>37561</v>
      </c>
      <c r="J965" s="5" t="s">
        <v>19</v>
      </c>
      <c r="K965" s="5" t="s">
        <v>20</v>
      </c>
      <c r="L965" s="7" t="s">
        <v>2435</v>
      </c>
    </row>
    <row r="966" customFormat="false" ht="15.65" hidden="false" customHeight="true" outlineLevel="0" collapsed="false">
      <c r="A966" s="2" t="str">
        <f aca="false">HYPERLINK("https://www.fabsurplus.com/sdi_catalog/salesItemDetails.do?id=109547")</f>
        <v>https://www.fabsurplus.com/sdi_catalog/salesItemDetails.do?id=109547</v>
      </c>
      <c r="B966" s="2" t="s">
        <v>2436</v>
      </c>
      <c r="C966" s="2" t="s">
        <v>2395</v>
      </c>
      <c r="D966" s="2" t="s">
        <v>2437</v>
      </c>
      <c r="E966" s="2" t="s">
        <v>2438</v>
      </c>
      <c r="F966" s="2" t="s">
        <v>16</v>
      </c>
      <c r="G966" s="2" t="s">
        <v>61</v>
      </c>
      <c r="H966" s="2" t="s">
        <v>18</v>
      </c>
      <c r="I966" s="3" t="n">
        <v>43070</v>
      </c>
      <c r="J966" s="2" t="s">
        <v>19</v>
      </c>
      <c r="K966" s="2" t="s">
        <v>2439</v>
      </c>
      <c r="L966" s="4" t="s">
        <v>2440</v>
      </c>
    </row>
    <row r="967" customFormat="false" ht="15.65" hidden="false" customHeight="true" outlineLevel="0" collapsed="false">
      <c r="A967" s="5" t="str">
        <f aca="false">HYPERLINK("https://www.fabsurplus.com/sdi_catalog/salesItemDetails.do?id=109551")</f>
        <v>https://www.fabsurplus.com/sdi_catalog/salesItemDetails.do?id=109551</v>
      </c>
      <c r="B967" s="5" t="s">
        <v>2441</v>
      </c>
      <c r="C967" s="5" t="s">
        <v>2395</v>
      </c>
      <c r="D967" s="5" t="s">
        <v>2442</v>
      </c>
      <c r="E967" s="5" t="s">
        <v>2443</v>
      </c>
      <c r="F967" s="5" t="s">
        <v>16</v>
      </c>
      <c r="G967" s="5" t="s">
        <v>61</v>
      </c>
      <c r="H967" s="5" t="s">
        <v>32</v>
      </c>
      <c r="I967" s="6" t="n">
        <v>38108</v>
      </c>
      <c r="J967" s="5" t="s">
        <v>19</v>
      </c>
      <c r="K967" s="5" t="s">
        <v>20</v>
      </c>
      <c r="L967" s="7" t="s">
        <v>2444</v>
      </c>
    </row>
    <row r="968" customFormat="false" ht="15.65" hidden="false" customHeight="true" outlineLevel="0" collapsed="false">
      <c r="A968" s="2" t="str">
        <f aca="false">HYPERLINK("https://www.fabsurplus.com/sdi_catalog/salesItemDetails.do?id=109563")</f>
        <v>https://www.fabsurplus.com/sdi_catalog/salesItemDetails.do?id=109563</v>
      </c>
      <c r="B968" s="2" t="s">
        <v>2445</v>
      </c>
      <c r="C968" s="2" t="s">
        <v>2395</v>
      </c>
      <c r="D968" s="2" t="s">
        <v>2446</v>
      </c>
      <c r="E968" s="2" t="s">
        <v>2447</v>
      </c>
      <c r="F968" s="2" t="s">
        <v>16</v>
      </c>
      <c r="G968" s="2" t="s">
        <v>61</v>
      </c>
      <c r="H968" s="2" t="s">
        <v>18</v>
      </c>
      <c r="I968" s="3" t="n">
        <v>44166</v>
      </c>
      <c r="J968" s="2" t="s">
        <v>19</v>
      </c>
      <c r="K968" s="2"/>
      <c r="L968" s="4" t="s">
        <v>2448</v>
      </c>
    </row>
    <row r="969" customFormat="false" ht="15.65" hidden="false" customHeight="true" outlineLevel="0" collapsed="false">
      <c r="A969" s="5" t="str">
        <f aca="false">HYPERLINK("https://www.fabsurplus.com/sdi_catalog/salesItemDetails.do?id=109055")</f>
        <v>https://www.fabsurplus.com/sdi_catalog/salesItemDetails.do?id=109055</v>
      </c>
      <c r="B969" s="5" t="s">
        <v>2449</v>
      </c>
      <c r="C969" s="5" t="s">
        <v>2395</v>
      </c>
      <c r="D969" s="5" t="s">
        <v>2450</v>
      </c>
      <c r="E969" s="5" t="s">
        <v>2451</v>
      </c>
      <c r="F969" s="5" t="s">
        <v>16</v>
      </c>
      <c r="G969" s="5" t="s">
        <v>61</v>
      </c>
      <c r="H969" s="5" t="s">
        <v>32</v>
      </c>
      <c r="I969" s="6" t="n">
        <v>40695</v>
      </c>
      <c r="J969" s="5" t="s">
        <v>19</v>
      </c>
      <c r="K969" s="5" t="s">
        <v>20</v>
      </c>
      <c r="L969" s="7" t="s">
        <v>2452</v>
      </c>
    </row>
    <row r="970" customFormat="false" ht="15.65" hidden="false" customHeight="true" outlineLevel="0" collapsed="false">
      <c r="A970" s="2" t="str">
        <f aca="false">HYPERLINK("https://www.fabsurplus.com/sdi_catalog/salesItemDetails.do?id=82176")</f>
        <v>https://www.fabsurplus.com/sdi_catalog/salesItemDetails.do?id=82176</v>
      </c>
      <c r="B970" s="2" t="s">
        <v>2453</v>
      </c>
      <c r="C970" s="2" t="s">
        <v>2454</v>
      </c>
      <c r="D970" s="2" t="s">
        <v>2455</v>
      </c>
      <c r="E970" s="2" t="s">
        <v>2456</v>
      </c>
      <c r="F970" s="2" t="s">
        <v>16</v>
      </c>
      <c r="G970" s="2"/>
      <c r="H970" s="2" t="s">
        <v>18</v>
      </c>
      <c r="I970" s="2"/>
      <c r="J970" s="2" t="s">
        <v>19</v>
      </c>
      <c r="K970" s="2" t="s">
        <v>20</v>
      </c>
      <c r="L970" s="4" t="s">
        <v>2457</v>
      </c>
    </row>
    <row r="971" customFormat="false" ht="15.65" hidden="false" customHeight="true" outlineLevel="0" collapsed="false">
      <c r="A971" s="5" t="str">
        <f aca="false">HYPERLINK("https://www.fabsurplus.com/sdi_catalog/salesItemDetails.do?id=82227")</f>
        <v>https://www.fabsurplus.com/sdi_catalog/salesItemDetails.do?id=82227</v>
      </c>
      <c r="B971" s="5" t="s">
        <v>2458</v>
      </c>
      <c r="C971" s="5" t="s">
        <v>2454</v>
      </c>
      <c r="D971" s="5" t="s">
        <v>2459</v>
      </c>
      <c r="E971" s="5" t="s">
        <v>2460</v>
      </c>
      <c r="F971" s="5" t="s">
        <v>151</v>
      </c>
      <c r="G971" s="5" t="s">
        <v>104</v>
      </c>
      <c r="H971" s="5" t="s">
        <v>1266</v>
      </c>
      <c r="I971" s="6" t="n">
        <v>40695</v>
      </c>
      <c r="J971" s="5" t="s">
        <v>19</v>
      </c>
      <c r="K971" s="5" t="s">
        <v>20</v>
      </c>
      <c r="L971" s="7" t="s">
        <v>2461</v>
      </c>
    </row>
    <row r="972" customFormat="false" ht="15.65" hidden="false" customHeight="true" outlineLevel="0" collapsed="false">
      <c r="A972" s="2" t="str">
        <f aca="false">HYPERLINK("https://www.fabsurplus.com/sdi_catalog/salesItemDetails.do?id=83556")</f>
        <v>https://www.fabsurplus.com/sdi_catalog/salesItemDetails.do?id=83556</v>
      </c>
      <c r="B972" s="2" t="s">
        <v>2462</v>
      </c>
      <c r="C972" s="2" t="s">
        <v>2454</v>
      </c>
      <c r="D972" s="2" t="s">
        <v>2463</v>
      </c>
      <c r="E972" s="2" t="s">
        <v>2464</v>
      </c>
      <c r="F972" s="2" t="s">
        <v>16</v>
      </c>
      <c r="G972" s="2" t="s">
        <v>104</v>
      </c>
      <c r="H972" s="2" t="s">
        <v>18</v>
      </c>
      <c r="I972" s="2"/>
      <c r="J972" s="2" t="s">
        <v>19</v>
      </c>
      <c r="K972" s="2" t="s">
        <v>20</v>
      </c>
      <c r="L972" s="4" t="s">
        <v>2465</v>
      </c>
    </row>
    <row r="973" customFormat="false" ht="15.65" hidden="false" customHeight="true" outlineLevel="0" collapsed="false">
      <c r="A973" s="5" t="str">
        <f aca="false">HYPERLINK("https://www.fabsurplus.com/sdi_catalog/salesItemDetails.do?id=83557")</f>
        <v>https://www.fabsurplus.com/sdi_catalog/salesItemDetails.do?id=83557</v>
      </c>
      <c r="B973" s="5" t="s">
        <v>2466</v>
      </c>
      <c r="C973" s="5" t="s">
        <v>2454</v>
      </c>
      <c r="D973" s="5" t="s">
        <v>2467</v>
      </c>
      <c r="E973" s="5" t="s">
        <v>2468</v>
      </c>
      <c r="F973" s="5" t="s">
        <v>16</v>
      </c>
      <c r="G973" s="5"/>
      <c r="H973" s="5" t="s">
        <v>18</v>
      </c>
      <c r="I973" s="5"/>
      <c r="J973" s="5" t="s">
        <v>19</v>
      </c>
      <c r="K973" s="5" t="s">
        <v>20</v>
      </c>
      <c r="L973" s="7" t="s">
        <v>2469</v>
      </c>
    </row>
    <row r="974" customFormat="false" ht="15.65" hidden="false" customHeight="true" outlineLevel="0" collapsed="false">
      <c r="A974" s="2" t="str">
        <f aca="false">HYPERLINK("https://www.fabsurplus.com/sdi_catalog/salesItemDetails.do?id=83558")</f>
        <v>https://www.fabsurplus.com/sdi_catalog/salesItemDetails.do?id=83558</v>
      </c>
      <c r="B974" s="2" t="s">
        <v>2470</v>
      </c>
      <c r="C974" s="2" t="s">
        <v>2454</v>
      </c>
      <c r="D974" s="2" t="s">
        <v>2471</v>
      </c>
      <c r="E974" s="2" t="s">
        <v>2468</v>
      </c>
      <c r="F974" s="2" t="s">
        <v>16</v>
      </c>
      <c r="G974" s="2" t="s">
        <v>165</v>
      </c>
      <c r="H974" s="2" t="s">
        <v>18</v>
      </c>
      <c r="I974" s="2"/>
      <c r="J974" s="2" t="s">
        <v>19</v>
      </c>
      <c r="K974" s="2" t="s">
        <v>20</v>
      </c>
      <c r="L974" s="4" t="s">
        <v>2469</v>
      </c>
    </row>
    <row r="975" customFormat="false" ht="15.65" hidden="false" customHeight="true" outlineLevel="0" collapsed="false">
      <c r="A975" s="5" t="str">
        <f aca="false">HYPERLINK("https://www.fabsurplus.com/sdi_catalog/salesItemDetails.do?id=109942")</f>
        <v>https://www.fabsurplus.com/sdi_catalog/salesItemDetails.do?id=109942</v>
      </c>
      <c r="B975" s="5" t="s">
        <v>2472</v>
      </c>
      <c r="C975" s="5" t="s">
        <v>2454</v>
      </c>
      <c r="D975" s="5" t="s">
        <v>2473</v>
      </c>
      <c r="E975" s="5" t="s">
        <v>748</v>
      </c>
      <c r="F975" s="5" t="s">
        <v>16</v>
      </c>
      <c r="G975" s="5" t="s">
        <v>165</v>
      </c>
      <c r="H975" s="5"/>
      <c r="I975" s="5"/>
      <c r="J975" s="5" t="s">
        <v>42</v>
      </c>
      <c r="K975" s="5"/>
      <c r="L975" s="5" t="s">
        <v>2474</v>
      </c>
    </row>
    <row r="976" customFormat="false" ht="15.65" hidden="false" customHeight="true" outlineLevel="0" collapsed="false">
      <c r="A976" s="2" t="str">
        <f aca="false">HYPERLINK("https://www.fabsurplus.com/sdi_catalog/salesItemDetails.do?id=80315")</f>
        <v>https://www.fabsurplus.com/sdi_catalog/salesItemDetails.do?id=80315</v>
      </c>
      <c r="B976" s="2" t="s">
        <v>2475</v>
      </c>
      <c r="C976" s="2" t="s">
        <v>2454</v>
      </c>
      <c r="D976" s="2" t="s">
        <v>2476</v>
      </c>
      <c r="E976" s="2" t="s">
        <v>2477</v>
      </c>
      <c r="F976" s="2" t="s">
        <v>151</v>
      </c>
      <c r="G976" s="2"/>
      <c r="H976" s="2" t="s">
        <v>18</v>
      </c>
      <c r="I976" s="2"/>
      <c r="J976" s="2" t="s">
        <v>19</v>
      </c>
      <c r="K976" s="2" t="s">
        <v>20</v>
      </c>
      <c r="L976" s="4" t="s">
        <v>2457</v>
      </c>
    </row>
    <row r="977" customFormat="false" ht="15.65" hidden="false" customHeight="true" outlineLevel="0" collapsed="false">
      <c r="A977" s="5" t="str">
        <f aca="false">HYPERLINK("https://www.fabsurplus.com/sdi_catalog/salesItemDetails.do?id=81873")</f>
        <v>https://www.fabsurplus.com/sdi_catalog/salesItemDetails.do?id=81873</v>
      </c>
      <c r="B977" s="5" t="s">
        <v>2478</v>
      </c>
      <c r="C977" s="5" t="s">
        <v>2454</v>
      </c>
      <c r="D977" s="5" t="s">
        <v>2479</v>
      </c>
      <c r="E977" s="5" t="s">
        <v>2468</v>
      </c>
      <c r="F977" s="5" t="s">
        <v>16</v>
      </c>
      <c r="G977" s="5" t="s">
        <v>104</v>
      </c>
      <c r="H977" s="5" t="s">
        <v>18</v>
      </c>
      <c r="I977" s="5"/>
      <c r="J977" s="5" t="s">
        <v>19</v>
      </c>
      <c r="K977" s="5" t="s">
        <v>20</v>
      </c>
      <c r="L977" s="7" t="s">
        <v>2480</v>
      </c>
    </row>
    <row r="978" customFormat="false" ht="15.65" hidden="false" customHeight="true" outlineLevel="0" collapsed="false">
      <c r="A978" s="2" t="str">
        <f aca="false">HYPERLINK("https://www.fabsurplus.com/sdi_catalog/salesItemDetails.do?id=81875")</f>
        <v>https://www.fabsurplus.com/sdi_catalog/salesItemDetails.do?id=81875</v>
      </c>
      <c r="B978" s="2" t="s">
        <v>2481</v>
      </c>
      <c r="C978" s="2" t="s">
        <v>2454</v>
      </c>
      <c r="D978" s="2" t="s">
        <v>2482</v>
      </c>
      <c r="E978" s="2" t="s">
        <v>2477</v>
      </c>
      <c r="F978" s="2" t="s">
        <v>108</v>
      </c>
      <c r="G978" s="2" t="s">
        <v>104</v>
      </c>
      <c r="H978" s="2" t="s">
        <v>32</v>
      </c>
      <c r="I978" s="2"/>
      <c r="J978" s="2" t="s">
        <v>19</v>
      </c>
      <c r="K978" s="2" t="s">
        <v>20</v>
      </c>
      <c r="L978" s="4" t="s">
        <v>2483</v>
      </c>
    </row>
    <row r="979" customFormat="false" ht="15.65" hidden="false" customHeight="true" outlineLevel="0" collapsed="false">
      <c r="A979" s="5" t="str">
        <f aca="false">HYPERLINK("https://www.fabsurplus.com/sdi_catalog/salesItemDetails.do?id=81876")</f>
        <v>https://www.fabsurplus.com/sdi_catalog/salesItemDetails.do?id=81876</v>
      </c>
      <c r="B979" s="5" t="s">
        <v>2484</v>
      </c>
      <c r="C979" s="5" t="s">
        <v>2454</v>
      </c>
      <c r="D979" s="5" t="s">
        <v>2485</v>
      </c>
      <c r="E979" s="5" t="s">
        <v>748</v>
      </c>
      <c r="F979" s="5" t="s">
        <v>16</v>
      </c>
      <c r="G979" s="5"/>
      <c r="H979" s="5" t="s">
        <v>18</v>
      </c>
      <c r="I979" s="5"/>
      <c r="J979" s="5" t="s">
        <v>19</v>
      </c>
      <c r="K979" s="5" t="s">
        <v>20</v>
      </c>
      <c r="L979" s="7" t="s">
        <v>2486</v>
      </c>
    </row>
    <row r="980" customFormat="false" ht="15.65" hidden="false" customHeight="true" outlineLevel="0" collapsed="false">
      <c r="A980" s="2" t="str">
        <f aca="false">HYPERLINK("https://www.fabsurplus.com/sdi_catalog/salesItemDetails.do?id=53270")</f>
        <v>https://www.fabsurplus.com/sdi_catalog/salesItemDetails.do?id=53270</v>
      </c>
      <c r="B980" s="2" t="s">
        <v>2487</v>
      </c>
      <c r="C980" s="2" t="s">
        <v>2488</v>
      </c>
      <c r="D980" s="2" t="s">
        <v>2489</v>
      </c>
      <c r="E980" s="2" t="s">
        <v>2490</v>
      </c>
      <c r="F980" s="2" t="s">
        <v>151</v>
      </c>
      <c r="G980" s="2" t="s">
        <v>104</v>
      </c>
      <c r="H980" s="2" t="s">
        <v>18</v>
      </c>
      <c r="I980" s="3" t="n">
        <v>34485.9166666667</v>
      </c>
      <c r="J980" s="2" t="s">
        <v>19</v>
      </c>
      <c r="K980" s="2" t="s">
        <v>20</v>
      </c>
      <c r="L980" s="4" t="s">
        <v>2491</v>
      </c>
    </row>
    <row r="981" customFormat="false" ht="15.65" hidden="false" customHeight="true" outlineLevel="0" collapsed="false">
      <c r="A981" s="5" t="str">
        <f aca="false">HYPERLINK("https://www.fabsurplus.com/sdi_catalog/salesItemDetails.do?id=109366")</f>
        <v>https://www.fabsurplus.com/sdi_catalog/salesItemDetails.do?id=109366</v>
      </c>
      <c r="B981" s="5" t="s">
        <v>2492</v>
      </c>
      <c r="C981" s="5" t="s">
        <v>2493</v>
      </c>
      <c r="D981" s="5" t="s">
        <v>2494</v>
      </c>
      <c r="E981" s="5" t="s">
        <v>103</v>
      </c>
      <c r="F981" s="5" t="s">
        <v>108</v>
      </c>
      <c r="G981" s="5" t="s">
        <v>104</v>
      </c>
      <c r="H981" s="5"/>
      <c r="I981" s="5"/>
      <c r="J981" s="5" t="s">
        <v>19</v>
      </c>
      <c r="K981" s="5"/>
      <c r="L981" s="5" t="s">
        <v>2495</v>
      </c>
    </row>
    <row r="982" customFormat="false" ht="15.65" hidden="false" customHeight="true" outlineLevel="0" collapsed="false">
      <c r="A982" s="2" t="str">
        <f aca="false">HYPERLINK("https://www.fabsurplus.com/sdi_catalog/salesItemDetails.do?id=109367")</f>
        <v>https://www.fabsurplus.com/sdi_catalog/salesItemDetails.do?id=109367</v>
      </c>
      <c r="B982" s="2" t="s">
        <v>2496</v>
      </c>
      <c r="C982" s="2" t="s">
        <v>2493</v>
      </c>
      <c r="D982" s="2" t="s">
        <v>2494</v>
      </c>
      <c r="E982" s="2" t="s">
        <v>103</v>
      </c>
      <c r="F982" s="2" t="s">
        <v>16</v>
      </c>
      <c r="G982" s="2" t="s">
        <v>104</v>
      </c>
      <c r="H982" s="2"/>
      <c r="I982" s="2"/>
      <c r="J982" s="2" t="s">
        <v>19</v>
      </c>
      <c r="K982" s="2"/>
      <c r="L982" s="2"/>
    </row>
    <row r="983" customFormat="false" ht="15.65" hidden="false" customHeight="true" outlineLevel="0" collapsed="false">
      <c r="A983" s="5" t="str">
        <f aca="false">HYPERLINK("https://www.fabsurplus.com/sdi_catalog/salesItemDetails.do?id=109368")</f>
        <v>https://www.fabsurplus.com/sdi_catalog/salesItemDetails.do?id=109368</v>
      </c>
      <c r="B983" s="5" t="s">
        <v>2497</v>
      </c>
      <c r="C983" s="5" t="s">
        <v>2493</v>
      </c>
      <c r="D983" s="5" t="s">
        <v>2498</v>
      </c>
      <c r="E983" s="5" t="s">
        <v>103</v>
      </c>
      <c r="F983" s="5" t="s">
        <v>108</v>
      </c>
      <c r="G983" s="5" t="s">
        <v>104</v>
      </c>
      <c r="H983" s="5"/>
      <c r="I983" s="5"/>
      <c r="J983" s="5" t="s">
        <v>19</v>
      </c>
      <c r="K983" s="5"/>
      <c r="L983" s="5" t="s">
        <v>2499</v>
      </c>
    </row>
    <row r="984" customFormat="false" ht="15.65" hidden="false" customHeight="true" outlineLevel="0" collapsed="false">
      <c r="A984" s="2" t="str">
        <f aca="false">HYPERLINK("https://www.fabsurplus.com/sdi_catalog/salesItemDetails.do?id=109943")</f>
        <v>https://www.fabsurplus.com/sdi_catalog/salesItemDetails.do?id=109943</v>
      </c>
      <c r="B984" s="2" t="s">
        <v>2500</v>
      </c>
      <c r="C984" s="2" t="s">
        <v>2501</v>
      </c>
      <c r="D984" s="2" t="s">
        <v>2502</v>
      </c>
      <c r="E984" s="2" t="s">
        <v>763</v>
      </c>
      <c r="F984" s="2" t="s">
        <v>16</v>
      </c>
      <c r="G984" s="2" t="s">
        <v>165</v>
      </c>
      <c r="H984" s="2"/>
      <c r="I984" s="2"/>
      <c r="J984" s="2" t="s">
        <v>42</v>
      </c>
      <c r="K984" s="2"/>
      <c r="L984" s="2" t="s">
        <v>2503</v>
      </c>
    </row>
    <row r="985" customFormat="false" ht="15.65" hidden="false" customHeight="true" outlineLevel="0" collapsed="false">
      <c r="A985" s="5" t="str">
        <f aca="false">HYPERLINK("https://www.fabsurplus.com/sdi_catalog/salesItemDetails.do?id=109944")</f>
        <v>https://www.fabsurplus.com/sdi_catalog/salesItemDetails.do?id=109944</v>
      </c>
      <c r="B985" s="5" t="s">
        <v>2504</v>
      </c>
      <c r="C985" s="5" t="s">
        <v>2501</v>
      </c>
      <c r="D985" s="5" t="s">
        <v>2502</v>
      </c>
      <c r="E985" s="5" t="s">
        <v>763</v>
      </c>
      <c r="F985" s="5" t="s">
        <v>16</v>
      </c>
      <c r="G985" s="5" t="s">
        <v>165</v>
      </c>
      <c r="H985" s="5"/>
      <c r="I985" s="5"/>
      <c r="J985" s="5" t="s">
        <v>42</v>
      </c>
      <c r="K985" s="5"/>
      <c r="L985" s="5" t="s">
        <v>2503</v>
      </c>
    </row>
    <row r="986" customFormat="false" ht="15.65" hidden="false" customHeight="true" outlineLevel="0" collapsed="false">
      <c r="A986" s="2" t="str">
        <f aca="false">HYPERLINK("https://www.fabsurplus.com/sdi_catalog/salesItemDetails.do?id=109945")</f>
        <v>https://www.fabsurplus.com/sdi_catalog/salesItemDetails.do?id=109945</v>
      </c>
      <c r="B986" s="2" t="s">
        <v>2505</v>
      </c>
      <c r="C986" s="2" t="s">
        <v>2501</v>
      </c>
      <c r="D986" s="2" t="s">
        <v>2502</v>
      </c>
      <c r="E986" s="2" t="s">
        <v>763</v>
      </c>
      <c r="F986" s="2" t="s">
        <v>16</v>
      </c>
      <c r="G986" s="2" t="s">
        <v>165</v>
      </c>
      <c r="H986" s="2"/>
      <c r="I986" s="2"/>
      <c r="J986" s="2" t="s">
        <v>42</v>
      </c>
      <c r="K986" s="2"/>
      <c r="L986" s="2" t="s">
        <v>2503</v>
      </c>
    </row>
    <row r="987" customFormat="false" ht="15.65" hidden="false" customHeight="true" outlineLevel="0" collapsed="false">
      <c r="A987" s="5" t="str">
        <f aca="false">HYPERLINK("https://www.fabsurplus.com/sdi_catalog/salesItemDetails.do?id=109946")</f>
        <v>https://www.fabsurplus.com/sdi_catalog/salesItemDetails.do?id=109946</v>
      </c>
      <c r="B987" s="5" t="s">
        <v>2506</v>
      </c>
      <c r="C987" s="5" t="s">
        <v>2501</v>
      </c>
      <c r="D987" s="5" t="s">
        <v>2502</v>
      </c>
      <c r="E987" s="5" t="s">
        <v>763</v>
      </c>
      <c r="F987" s="5" t="s">
        <v>16</v>
      </c>
      <c r="G987" s="5" t="s">
        <v>165</v>
      </c>
      <c r="H987" s="5"/>
      <c r="I987" s="5"/>
      <c r="J987" s="5" t="s">
        <v>42</v>
      </c>
      <c r="K987" s="5"/>
      <c r="L987" s="5" t="s">
        <v>2503</v>
      </c>
    </row>
    <row r="988" customFormat="false" ht="15.65" hidden="false" customHeight="true" outlineLevel="0" collapsed="false">
      <c r="A988" s="2" t="str">
        <f aca="false">HYPERLINK("https://www.fabsurplus.com/sdi_catalog/salesItemDetails.do?id=109947")</f>
        <v>https://www.fabsurplus.com/sdi_catalog/salesItemDetails.do?id=109947</v>
      </c>
      <c r="B988" s="2" t="s">
        <v>2507</v>
      </c>
      <c r="C988" s="2" t="s">
        <v>2501</v>
      </c>
      <c r="D988" s="2" t="s">
        <v>2508</v>
      </c>
      <c r="E988" s="2" t="s">
        <v>763</v>
      </c>
      <c r="F988" s="2" t="s">
        <v>16</v>
      </c>
      <c r="G988" s="2" t="s">
        <v>165</v>
      </c>
      <c r="H988" s="2"/>
      <c r="I988" s="2"/>
      <c r="J988" s="2" t="s">
        <v>42</v>
      </c>
      <c r="K988" s="2"/>
      <c r="L988" s="2" t="s">
        <v>2509</v>
      </c>
    </row>
    <row r="989" customFormat="false" ht="15.65" hidden="false" customHeight="true" outlineLevel="0" collapsed="false">
      <c r="A989" s="5" t="str">
        <f aca="false">HYPERLINK("https://www.fabsurplus.com/sdi_catalog/salesItemDetails.do?id=109369")</f>
        <v>https://www.fabsurplus.com/sdi_catalog/salesItemDetails.do?id=109369</v>
      </c>
      <c r="B989" s="5" t="s">
        <v>2510</v>
      </c>
      <c r="C989" s="5" t="s">
        <v>2511</v>
      </c>
      <c r="D989" s="5" t="s">
        <v>2512</v>
      </c>
      <c r="E989" s="5" t="s">
        <v>103</v>
      </c>
      <c r="F989" s="5" t="s">
        <v>236</v>
      </c>
      <c r="G989" s="5" t="s">
        <v>104</v>
      </c>
      <c r="H989" s="5"/>
      <c r="I989" s="5"/>
      <c r="J989" s="5" t="s">
        <v>19</v>
      </c>
      <c r="K989" s="5"/>
      <c r="L989" s="5" t="s">
        <v>2513</v>
      </c>
    </row>
    <row r="990" customFormat="false" ht="15.65" hidden="false" customHeight="true" outlineLevel="0" collapsed="false">
      <c r="A990" s="2" t="str">
        <f aca="false">HYPERLINK("https://www.fabsurplus.com/sdi_catalog/salesItemDetails.do?id=109948")</f>
        <v>https://www.fabsurplus.com/sdi_catalog/salesItemDetails.do?id=109948</v>
      </c>
      <c r="B990" s="2" t="s">
        <v>2514</v>
      </c>
      <c r="C990" s="2" t="s">
        <v>2515</v>
      </c>
      <c r="D990" s="2" t="s">
        <v>2516</v>
      </c>
      <c r="E990" s="2" t="s">
        <v>170</v>
      </c>
      <c r="F990" s="2" t="s">
        <v>16</v>
      </c>
      <c r="G990" s="2" t="s">
        <v>165</v>
      </c>
      <c r="H990" s="2"/>
      <c r="I990" s="2"/>
      <c r="J990" s="2" t="s">
        <v>42</v>
      </c>
      <c r="K990" s="2"/>
      <c r="L990" s="2" t="s">
        <v>2517</v>
      </c>
    </row>
    <row r="991" customFormat="false" ht="15.65" hidden="false" customHeight="true" outlineLevel="0" collapsed="false">
      <c r="A991" s="5" t="str">
        <f aca="false">HYPERLINK("https://www.fabsurplus.com/sdi_catalog/salesItemDetails.do?id=108728")</f>
        <v>https://www.fabsurplus.com/sdi_catalog/salesItemDetails.do?id=108728</v>
      </c>
      <c r="B991" s="5" t="s">
        <v>2518</v>
      </c>
      <c r="C991" s="5" t="s">
        <v>2519</v>
      </c>
      <c r="D991" s="5" t="s">
        <v>2520</v>
      </c>
      <c r="E991" s="5" t="s">
        <v>2521</v>
      </c>
      <c r="F991" s="5" t="s">
        <v>16</v>
      </c>
      <c r="G991" s="5"/>
      <c r="H991" s="5"/>
      <c r="I991" s="5"/>
      <c r="J991" s="5" t="s">
        <v>19</v>
      </c>
      <c r="K991" s="5"/>
      <c r="L991" s="5"/>
    </row>
    <row r="992" customFormat="false" ht="15.65" hidden="false" customHeight="true" outlineLevel="0" collapsed="false">
      <c r="A992" s="2" t="str">
        <f aca="false">HYPERLINK("https://www.fabsurplus.com/sdi_catalog/salesItemDetails.do?id=84765")</f>
        <v>https://www.fabsurplus.com/sdi_catalog/salesItemDetails.do?id=84765</v>
      </c>
      <c r="B992" s="2" t="s">
        <v>2522</v>
      </c>
      <c r="C992" s="2" t="s">
        <v>2523</v>
      </c>
      <c r="D992" s="2" t="s">
        <v>2524</v>
      </c>
      <c r="E992" s="2" t="s">
        <v>2525</v>
      </c>
      <c r="F992" s="2" t="s">
        <v>16</v>
      </c>
      <c r="G992" s="2" t="s">
        <v>1579</v>
      </c>
      <c r="H992" s="2" t="s">
        <v>32</v>
      </c>
      <c r="I992" s="2"/>
      <c r="J992" s="2" t="s">
        <v>19</v>
      </c>
      <c r="K992" s="2" t="s">
        <v>20</v>
      </c>
      <c r="L992" s="4" t="s">
        <v>2526</v>
      </c>
    </row>
    <row r="993" customFormat="false" ht="15.65" hidden="false" customHeight="true" outlineLevel="0" collapsed="false">
      <c r="A993" s="5" t="str">
        <f aca="false">HYPERLINK("https://www.fabsurplus.com/sdi_catalog/salesItemDetails.do?id=106803")</f>
        <v>https://www.fabsurplus.com/sdi_catalog/salesItemDetails.do?id=106803</v>
      </c>
      <c r="B993" s="5" t="s">
        <v>2527</v>
      </c>
      <c r="C993" s="5" t="s">
        <v>2528</v>
      </c>
      <c r="D993" s="5" t="s">
        <v>2529</v>
      </c>
      <c r="E993" s="5" t="s">
        <v>2530</v>
      </c>
      <c r="F993" s="5" t="s">
        <v>236</v>
      </c>
      <c r="G993" s="5" t="s">
        <v>1803</v>
      </c>
      <c r="H993" s="5"/>
      <c r="I993" s="5"/>
      <c r="J993" s="5" t="s">
        <v>42</v>
      </c>
      <c r="K993" s="5"/>
      <c r="L993" s="5" t="s">
        <v>142</v>
      </c>
    </row>
    <row r="994" customFormat="false" ht="15.65" hidden="false" customHeight="true" outlineLevel="0" collapsed="false">
      <c r="A994" s="2" t="str">
        <f aca="false">HYPERLINK("https://www.fabsurplus.com/sdi_catalog/salesItemDetails.do?id=109122")</f>
        <v>https://www.fabsurplus.com/sdi_catalog/salesItemDetails.do?id=109122</v>
      </c>
      <c r="B994" s="2" t="s">
        <v>2531</v>
      </c>
      <c r="C994" s="2" t="s">
        <v>2528</v>
      </c>
      <c r="D994" s="2" t="s">
        <v>2532</v>
      </c>
      <c r="E994" s="2" t="s">
        <v>2533</v>
      </c>
      <c r="F994" s="2" t="s">
        <v>108</v>
      </c>
      <c r="G994" s="2" t="s">
        <v>84</v>
      </c>
      <c r="H994" s="2" t="s">
        <v>18</v>
      </c>
      <c r="I994" s="2"/>
      <c r="J994" s="2" t="s">
        <v>19</v>
      </c>
      <c r="K994" s="2" t="s">
        <v>20</v>
      </c>
      <c r="L994" s="4" t="s">
        <v>2534</v>
      </c>
    </row>
    <row r="995" customFormat="false" ht="15.65" hidden="false" customHeight="true" outlineLevel="0" collapsed="false">
      <c r="A995" s="5" t="str">
        <f aca="false">HYPERLINK("https://www.fabsurplus.com/sdi_catalog/salesItemDetails.do?id=102551")</f>
        <v>https://www.fabsurplus.com/sdi_catalog/salesItemDetails.do?id=102551</v>
      </c>
      <c r="B995" s="5" t="s">
        <v>2535</v>
      </c>
      <c r="C995" s="5" t="s">
        <v>2528</v>
      </c>
      <c r="D995" s="5" t="s">
        <v>2536</v>
      </c>
      <c r="E995" s="5" t="s">
        <v>2537</v>
      </c>
      <c r="F995" s="5" t="s">
        <v>151</v>
      </c>
      <c r="G995" s="5" t="s">
        <v>1803</v>
      </c>
      <c r="H995" s="5"/>
      <c r="I995" s="5"/>
      <c r="J995" s="5" t="s">
        <v>42</v>
      </c>
      <c r="K995" s="5"/>
      <c r="L995" s="5"/>
    </row>
    <row r="996" customFormat="false" ht="15.65" hidden="false" customHeight="true" outlineLevel="0" collapsed="false">
      <c r="A996" s="2" t="str">
        <f aca="false">HYPERLINK("https://www.fabsurplus.com/sdi_catalog/salesItemDetails.do?id=102552")</f>
        <v>https://www.fabsurplus.com/sdi_catalog/salesItemDetails.do?id=102552</v>
      </c>
      <c r="B996" s="2" t="s">
        <v>2538</v>
      </c>
      <c r="C996" s="2" t="s">
        <v>2528</v>
      </c>
      <c r="D996" s="2" t="s">
        <v>2539</v>
      </c>
      <c r="E996" s="2" t="s">
        <v>2530</v>
      </c>
      <c r="F996" s="2" t="s">
        <v>86</v>
      </c>
      <c r="G996" s="2" t="s">
        <v>1803</v>
      </c>
      <c r="H996" s="2"/>
      <c r="I996" s="2"/>
      <c r="J996" s="2" t="s">
        <v>42</v>
      </c>
      <c r="K996" s="2"/>
      <c r="L996" s="2"/>
    </row>
    <row r="997" customFormat="false" ht="15.65" hidden="false" customHeight="true" outlineLevel="0" collapsed="false">
      <c r="A997" s="5" t="str">
        <f aca="false">HYPERLINK("https://www.fabsurplus.com/sdi_catalog/salesItemDetails.do?id=95404")</f>
        <v>https://www.fabsurplus.com/sdi_catalog/salesItemDetails.do?id=95404</v>
      </c>
      <c r="B997" s="5" t="s">
        <v>2540</v>
      </c>
      <c r="C997" s="5" t="s">
        <v>2523</v>
      </c>
      <c r="D997" s="5" t="s">
        <v>2524</v>
      </c>
      <c r="E997" s="5" t="s">
        <v>2525</v>
      </c>
      <c r="F997" s="5" t="s">
        <v>16</v>
      </c>
      <c r="G997" s="5" t="s">
        <v>1579</v>
      </c>
      <c r="H997" s="5" t="s">
        <v>32</v>
      </c>
      <c r="I997" s="5"/>
      <c r="J997" s="5" t="s">
        <v>19</v>
      </c>
      <c r="K997" s="5" t="s">
        <v>20</v>
      </c>
      <c r="L997" s="7" t="s">
        <v>2541</v>
      </c>
    </row>
    <row r="998" customFormat="false" ht="15.65" hidden="false" customHeight="true" outlineLevel="0" collapsed="false">
      <c r="A998" s="2" t="str">
        <f aca="false">HYPERLINK("https://www.fabsurplus.com/sdi_catalog/salesItemDetails.do?id=91571")</f>
        <v>https://www.fabsurplus.com/sdi_catalog/salesItemDetails.do?id=91571</v>
      </c>
      <c r="B998" s="2" t="s">
        <v>2542</v>
      </c>
      <c r="C998" s="2" t="s">
        <v>2543</v>
      </c>
      <c r="D998" s="2" t="s">
        <v>2544</v>
      </c>
      <c r="E998" s="2" t="s">
        <v>2545</v>
      </c>
      <c r="F998" s="2" t="s">
        <v>16</v>
      </c>
      <c r="G998" s="2" t="s">
        <v>61</v>
      </c>
      <c r="H998" s="2" t="s">
        <v>32</v>
      </c>
      <c r="I998" s="3" t="n">
        <v>40299</v>
      </c>
      <c r="J998" s="2" t="s">
        <v>19</v>
      </c>
      <c r="K998" s="2" t="s">
        <v>20</v>
      </c>
      <c r="L998" s="4" t="s">
        <v>2546</v>
      </c>
    </row>
    <row r="999" customFormat="false" ht="15.65" hidden="false" customHeight="true" outlineLevel="0" collapsed="false">
      <c r="A999" s="5" t="str">
        <f aca="false">HYPERLINK("https://www.fabsurplus.com/sdi_catalog/salesItemDetails.do?id=101816")</f>
        <v>https://www.fabsurplus.com/sdi_catalog/salesItemDetails.do?id=101816</v>
      </c>
      <c r="B999" s="5" t="s">
        <v>2547</v>
      </c>
      <c r="C999" s="5" t="s">
        <v>2528</v>
      </c>
      <c r="D999" s="5" t="s">
        <v>2548</v>
      </c>
      <c r="E999" s="5" t="s">
        <v>2549</v>
      </c>
      <c r="F999" s="5" t="s">
        <v>2550</v>
      </c>
      <c r="G999" s="5" t="s">
        <v>84</v>
      </c>
      <c r="H999" s="5"/>
      <c r="I999" s="5"/>
      <c r="J999" s="5" t="s">
        <v>42</v>
      </c>
      <c r="K999" s="5"/>
      <c r="L999" s="5"/>
    </row>
    <row r="1000" customFormat="false" ht="15.65" hidden="false" customHeight="true" outlineLevel="0" collapsed="false">
      <c r="A1000" s="2" t="str">
        <f aca="false">HYPERLINK("https://www.fabsurplus.com/sdi_catalog/salesItemDetails.do?id=101817")</f>
        <v>https://www.fabsurplus.com/sdi_catalog/salesItemDetails.do?id=101817</v>
      </c>
      <c r="B1000" s="2" t="s">
        <v>2551</v>
      </c>
      <c r="C1000" s="2" t="s">
        <v>2528</v>
      </c>
      <c r="D1000" s="2" t="s">
        <v>2552</v>
      </c>
      <c r="E1000" s="2" t="s">
        <v>2530</v>
      </c>
      <c r="F1000" s="2" t="s">
        <v>321</v>
      </c>
      <c r="G1000" s="2" t="s">
        <v>1803</v>
      </c>
      <c r="H1000" s="2" t="s">
        <v>32</v>
      </c>
      <c r="I1000" s="2"/>
      <c r="J1000" s="2" t="s">
        <v>19</v>
      </c>
      <c r="K1000" s="2" t="s">
        <v>20</v>
      </c>
      <c r="L1000" s="2"/>
    </row>
    <row r="1001" customFormat="false" ht="15.65" hidden="false" customHeight="true" outlineLevel="0" collapsed="false">
      <c r="A1001" s="5" t="str">
        <f aca="false">HYPERLINK("https://www.fabsurplus.com/sdi_catalog/salesItemDetails.do?id=77184")</f>
        <v>https://www.fabsurplus.com/sdi_catalog/salesItemDetails.do?id=77184</v>
      </c>
      <c r="B1001" s="5" t="s">
        <v>2553</v>
      </c>
      <c r="C1001" s="5" t="s">
        <v>2554</v>
      </c>
      <c r="D1001" s="5" t="s">
        <v>2555</v>
      </c>
      <c r="E1001" s="5" t="s">
        <v>2556</v>
      </c>
      <c r="F1001" s="5" t="s">
        <v>16</v>
      </c>
      <c r="G1001" s="5"/>
      <c r="H1001" s="5" t="s">
        <v>98</v>
      </c>
      <c r="I1001" s="6" t="n">
        <v>40940</v>
      </c>
      <c r="J1001" s="5" t="s">
        <v>19</v>
      </c>
      <c r="K1001" s="5" t="s">
        <v>20</v>
      </c>
      <c r="L1001" s="7" t="s">
        <v>2557</v>
      </c>
    </row>
    <row r="1002" customFormat="false" ht="15.65" hidden="false" customHeight="true" outlineLevel="0" collapsed="false">
      <c r="A1002" s="2" t="str">
        <f aca="false">HYPERLINK("https://www.fabsurplus.com/sdi_catalog/salesItemDetails.do?id=108153")</f>
        <v>https://www.fabsurplus.com/sdi_catalog/salesItemDetails.do?id=108153</v>
      </c>
      <c r="B1002" s="2" t="s">
        <v>2558</v>
      </c>
      <c r="C1002" s="2" t="s">
        <v>2559</v>
      </c>
      <c r="D1002" s="2" t="s">
        <v>2560</v>
      </c>
      <c r="E1002" s="2" t="s">
        <v>2561</v>
      </c>
      <c r="F1002" s="2" t="s">
        <v>16</v>
      </c>
      <c r="G1002" s="2"/>
      <c r="H1002" s="2"/>
      <c r="I1002" s="3" t="n">
        <v>41426</v>
      </c>
      <c r="J1002" s="2" t="s">
        <v>19</v>
      </c>
      <c r="K1002" s="2"/>
      <c r="L1002" s="2" t="s">
        <v>1480</v>
      </c>
    </row>
    <row r="1003" customFormat="false" ht="15.65" hidden="false" customHeight="true" outlineLevel="0" collapsed="false">
      <c r="A1003" s="5" t="str">
        <f aca="false">HYPERLINK("https://www.fabsurplus.com/sdi_catalog/salesItemDetails.do?id=98447")</f>
        <v>https://www.fabsurplus.com/sdi_catalog/salesItemDetails.do?id=98447</v>
      </c>
      <c r="B1003" s="5" t="s">
        <v>2562</v>
      </c>
      <c r="C1003" s="5" t="s">
        <v>2563</v>
      </c>
      <c r="D1003" s="5" t="s">
        <v>2564</v>
      </c>
      <c r="E1003" s="5" t="s">
        <v>2565</v>
      </c>
      <c r="F1003" s="5" t="s">
        <v>16</v>
      </c>
      <c r="G1003" s="5" t="s">
        <v>84</v>
      </c>
      <c r="H1003" s="5" t="s">
        <v>18</v>
      </c>
      <c r="I1003" s="5"/>
      <c r="J1003" s="5" t="s">
        <v>19</v>
      </c>
      <c r="K1003" s="5" t="s">
        <v>20</v>
      </c>
      <c r="L1003" s="5" t="s">
        <v>518</v>
      </c>
    </row>
    <row r="1004" customFormat="false" ht="15.65" hidden="false" customHeight="true" outlineLevel="0" collapsed="false">
      <c r="A1004" s="2" t="str">
        <f aca="false">HYPERLINK("https://www.fabsurplus.com/sdi_catalog/salesItemDetails.do?id=98448")</f>
        <v>https://www.fabsurplus.com/sdi_catalog/salesItemDetails.do?id=98448</v>
      </c>
      <c r="B1004" s="2" t="s">
        <v>2566</v>
      </c>
      <c r="C1004" s="2" t="s">
        <v>2563</v>
      </c>
      <c r="D1004" s="2" t="s">
        <v>2567</v>
      </c>
      <c r="E1004" s="2" t="s">
        <v>2568</v>
      </c>
      <c r="F1004" s="2" t="s">
        <v>108</v>
      </c>
      <c r="G1004" s="2" t="s">
        <v>38</v>
      </c>
      <c r="H1004" s="2" t="s">
        <v>18</v>
      </c>
      <c r="I1004" s="2"/>
      <c r="J1004" s="2" t="s">
        <v>19</v>
      </c>
      <c r="K1004" s="2" t="s">
        <v>20</v>
      </c>
      <c r="L1004" s="2" t="s">
        <v>518</v>
      </c>
    </row>
    <row r="1005" customFormat="false" ht="15.65" hidden="false" customHeight="true" outlineLevel="0" collapsed="false">
      <c r="A1005" s="5" t="str">
        <f aca="false">HYPERLINK("https://www.fabsurplus.com/sdi_catalog/salesItemDetails.do?id=101818")</f>
        <v>https://www.fabsurplus.com/sdi_catalog/salesItemDetails.do?id=101818</v>
      </c>
      <c r="B1005" s="5" t="s">
        <v>2569</v>
      </c>
      <c r="C1005" s="5" t="s">
        <v>2563</v>
      </c>
      <c r="D1005" s="5" t="s">
        <v>2570</v>
      </c>
      <c r="E1005" s="5" t="s">
        <v>2571</v>
      </c>
      <c r="F1005" s="5" t="s">
        <v>16</v>
      </c>
      <c r="G1005" s="5" t="s">
        <v>1803</v>
      </c>
      <c r="H1005" s="5" t="s">
        <v>18</v>
      </c>
      <c r="I1005" s="5"/>
      <c r="J1005" s="5" t="s">
        <v>42</v>
      </c>
      <c r="K1005" s="5"/>
      <c r="L1005" s="5"/>
    </row>
    <row r="1006" customFormat="false" ht="15.65" hidden="false" customHeight="true" outlineLevel="0" collapsed="false">
      <c r="A1006" s="2" t="str">
        <f aca="false">HYPERLINK("https://www.fabsurplus.com/sdi_catalog/salesItemDetails.do?id=100347")</f>
        <v>https://www.fabsurplus.com/sdi_catalog/salesItemDetails.do?id=100347</v>
      </c>
      <c r="B1006" s="2" t="s">
        <v>2572</v>
      </c>
      <c r="C1006" s="2" t="s">
        <v>2573</v>
      </c>
      <c r="D1006" s="2" t="s">
        <v>2574</v>
      </c>
      <c r="E1006" s="2" t="s">
        <v>2575</v>
      </c>
      <c r="F1006" s="2" t="s">
        <v>16</v>
      </c>
      <c r="G1006" s="2"/>
      <c r="H1006" s="2" t="s">
        <v>32</v>
      </c>
      <c r="I1006" s="2"/>
      <c r="J1006" s="2" t="s">
        <v>19</v>
      </c>
      <c r="K1006" s="2" t="s">
        <v>20</v>
      </c>
      <c r="L1006" s="2"/>
    </row>
    <row r="1007" customFormat="false" ht="15.65" hidden="false" customHeight="true" outlineLevel="0" collapsed="false">
      <c r="A1007" s="5" t="str">
        <f aca="false">HYPERLINK("https://www.fabsurplus.com/sdi_catalog/salesItemDetails.do?id=109067")</f>
        <v>https://www.fabsurplus.com/sdi_catalog/salesItemDetails.do?id=109067</v>
      </c>
      <c r="B1007" s="5" t="s">
        <v>2576</v>
      </c>
      <c r="C1007" s="5" t="s">
        <v>2577</v>
      </c>
      <c r="D1007" s="5" t="s">
        <v>2578</v>
      </c>
      <c r="E1007" s="5" t="s">
        <v>2579</v>
      </c>
      <c r="F1007" s="5" t="s">
        <v>16</v>
      </c>
      <c r="G1007" s="5" t="s">
        <v>38</v>
      </c>
      <c r="H1007" s="5" t="s">
        <v>32</v>
      </c>
      <c r="I1007" s="6" t="n">
        <v>34851</v>
      </c>
      <c r="J1007" s="5" t="s">
        <v>19</v>
      </c>
      <c r="K1007" s="5" t="s">
        <v>1629</v>
      </c>
      <c r="L1007" s="7" t="s">
        <v>2580</v>
      </c>
    </row>
    <row r="1008" customFormat="false" ht="15.65" hidden="false" customHeight="true" outlineLevel="0" collapsed="false">
      <c r="A1008" s="2" t="str">
        <f aca="false">HYPERLINK("https://www.fabsurplus.com/sdi_catalog/salesItemDetails.do?id=109086")</f>
        <v>https://www.fabsurplus.com/sdi_catalog/salesItemDetails.do?id=109086</v>
      </c>
      <c r="B1008" s="2" t="s">
        <v>2581</v>
      </c>
      <c r="C1008" s="2" t="s">
        <v>2577</v>
      </c>
      <c r="D1008" s="2" t="s">
        <v>2582</v>
      </c>
      <c r="E1008" s="2" t="s">
        <v>2583</v>
      </c>
      <c r="F1008" s="2" t="s">
        <v>16</v>
      </c>
      <c r="G1008" s="2" t="s">
        <v>1293</v>
      </c>
      <c r="H1008" s="2" t="s">
        <v>18</v>
      </c>
      <c r="I1008" s="3" t="n">
        <v>38231</v>
      </c>
      <c r="J1008" s="2" t="s">
        <v>19</v>
      </c>
      <c r="K1008" s="2" t="s">
        <v>20</v>
      </c>
      <c r="L1008" s="4" t="s">
        <v>2584</v>
      </c>
    </row>
    <row r="1009" customFormat="false" ht="15.65" hidden="false" customHeight="true" outlineLevel="0" collapsed="false">
      <c r="A1009" s="5" t="str">
        <f aca="false">HYPERLINK("https://www.fabsurplus.com/sdi_catalog/salesItemDetails.do?id=103517")</f>
        <v>https://www.fabsurplus.com/sdi_catalog/salesItemDetails.do?id=103517</v>
      </c>
      <c r="B1009" s="5" t="s">
        <v>2585</v>
      </c>
      <c r="C1009" s="5" t="s">
        <v>2586</v>
      </c>
      <c r="D1009" s="5" t="s">
        <v>2587</v>
      </c>
      <c r="E1009" s="5" t="s">
        <v>2588</v>
      </c>
      <c r="F1009" s="5" t="s">
        <v>16</v>
      </c>
      <c r="G1009" s="5" t="s">
        <v>61</v>
      </c>
      <c r="H1009" s="5"/>
      <c r="I1009" s="5"/>
      <c r="J1009" s="5" t="s">
        <v>19</v>
      </c>
      <c r="K1009" s="5"/>
      <c r="L1009" s="7" t="s">
        <v>1682</v>
      </c>
    </row>
    <row r="1010" customFormat="false" ht="15.65" hidden="false" customHeight="true" outlineLevel="0" collapsed="false">
      <c r="A1010" s="2" t="str">
        <f aca="false">HYPERLINK("https://www.fabsurplus.com/sdi_catalog/salesItemDetails.do?id=108901")</f>
        <v>https://www.fabsurplus.com/sdi_catalog/salesItemDetails.do?id=108901</v>
      </c>
      <c r="B1010" s="2" t="s">
        <v>2589</v>
      </c>
      <c r="C1010" s="2" t="s">
        <v>2577</v>
      </c>
      <c r="D1010" s="2" t="s">
        <v>2590</v>
      </c>
      <c r="E1010" s="2" t="s">
        <v>2591</v>
      </c>
      <c r="F1010" s="2" t="s">
        <v>16</v>
      </c>
      <c r="G1010" s="2" t="s">
        <v>61</v>
      </c>
      <c r="H1010" s="2" t="s">
        <v>18</v>
      </c>
      <c r="I1010" s="3" t="n">
        <v>39203</v>
      </c>
      <c r="J1010" s="2" t="s">
        <v>19</v>
      </c>
      <c r="K1010" s="2" t="s">
        <v>20</v>
      </c>
      <c r="L1010" s="4" t="s">
        <v>2592</v>
      </c>
    </row>
    <row r="1011" customFormat="false" ht="15.65" hidden="false" customHeight="true" outlineLevel="0" collapsed="false">
      <c r="A1011" s="5" t="str">
        <f aca="false">HYPERLINK("https://www.fabsurplus.com/sdi_catalog/salesItemDetails.do?id=108905")</f>
        <v>https://www.fabsurplus.com/sdi_catalog/salesItemDetails.do?id=108905</v>
      </c>
      <c r="B1011" s="5" t="s">
        <v>2593</v>
      </c>
      <c r="C1011" s="5" t="s">
        <v>2577</v>
      </c>
      <c r="D1011" s="5" t="s">
        <v>2594</v>
      </c>
      <c r="E1011" s="5" t="s">
        <v>1890</v>
      </c>
      <c r="F1011" s="5" t="s">
        <v>16</v>
      </c>
      <c r="G1011" s="5" t="s">
        <v>61</v>
      </c>
      <c r="H1011" s="5" t="s">
        <v>32</v>
      </c>
      <c r="I1011" s="6" t="n">
        <v>38687</v>
      </c>
      <c r="J1011" s="5" t="s">
        <v>19</v>
      </c>
      <c r="K1011" s="5" t="s">
        <v>20</v>
      </c>
      <c r="L1011" s="7" t="s">
        <v>2595</v>
      </c>
    </row>
    <row r="1012" customFormat="false" ht="15.65" hidden="false" customHeight="true" outlineLevel="0" collapsed="false">
      <c r="A1012" s="2" t="str">
        <f aca="false">HYPERLINK("https://www.fabsurplus.com/sdi_catalog/salesItemDetails.do?id=94591")</f>
        <v>https://www.fabsurplus.com/sdi_catalog/salesItemDetails.do?id=94591</v>
      </c>
      <c r="B1012" s="2" t="s">
        <v>2596</v>
      </c>
      <c r="C1012" s="2" t="s">
        <v>2577</v>
      </c>
      <c r="D1012" s="2" t="s">
        <v>2597</v>
      </c>
      <c r="E1012" s="2" t="s">
        <v>2598</v>
      </c>
      <c r="F1012" s="2" t="s">
        <v>16</v>
      </c>
      <c r="G1012" s="2" t="s">
        <v>165</v>
      </c>
      <c r="H1012" s="2"/>
      <c r="I1012" s="2"/>
      <c r="J1012" s="2" t="s">
        <v>19</v>
      </c>
      <c r="K1012" s="2"/>
      <c r="L1012" s="2" t="s">
        <v>2599</v>
      </c>
    </row>
    <row r="1013" customFormat="false" ht="15.65" hidden="false" customHeight="true" outlineLevel="0" collapsed="false">
      <c r="A1013" s="5" t="str">
        <f aca="false">HYPERLINK("https://www.fabsurplus.com/sdi_catalog/salesItemDetails.do?id=94592")</f>
        <v>https://www.fabsurplus.com/sdi_catalog/salesItemDetails.do?id=94592</v>
      </c>
      <c r="B1013" s="5" t="s">
        <v>2600</v>
      </c>
      <c r="C1013" s="5" t="s">
        <v>2577</v>
      </c>
      <c r="D1013" s="5" t="s">
        <v>2601</v>
      </c>
      <c r="E1013" s="5" t="s">
        <v>2602</v>
      </c>
      <c r="F1013" s="5" t="s">
        <v>16</v>
      </c>
      <c r="G1013" s="5" t="s">
        <v>165</v>
      </c>
      <c r="H1013" s="5"/>
      <c r="I1013" s="5"/>
      <c r="J1013" s="5" t="s">
        <v>19</v>
      </c>
      <c r="K1013" s="5"/>
      <c r="L1013" s="5"/>
    </row>
    <row r="1014" customFormat="false" ht="15.65" hidden="false" customHeight="true" outlineLevel="0" collapsed="false">
      <c r="A1014" s="2" t="str">
        <f aca="false">HYPERLINK("https://www.fabsurplus.com/sdi_catalog/salesItemDetails.do?id=94595")</f>
        <v>https://www.fabsurplus.com/sdi_catalog/salesItemDetails.do?id=94595</v>
      </c>
      <c r="B1014" s="2" t="s">
        <v>2603</v>
      </c>
      <c r="C1014" s="2" t="s">
        <v>2577</v>
      </c>
      <c r="D1014" s="2" t="s">
        <v>2604</v>
      </c>
      <c r="E1014" s="2" t="s">
        <v>2605</v>
      </c>
      <c r="F1014" s="2" t="s">
        <v>16</v>
      </c>
      <c r="G1014" s="2" t="s">
        <v>165</v>
      </c>
      <c r="H1014" s="2" t="s">
        <v>18</v>
      </c>
      <c r="I1014" s="2"/>
      <c r="J1014" s="2" t="s">
        <v>19</v>
      </c>
      <c r="K1014" s="2"/>
      <c r="L1014" s="2" t="s">
        <v>2606</v>
      </c>
    </row>
    <row r="1015" customFormat="false" ht="15.65" hidden="false" customHeight="true" outlineLevel="0" collapsed="false">
      <c r="A1015" s="5" t="str">
        <f aca="false">HYPERLINK("https://www.fabsurplus.com/sdi_catalog/salesItemDetails.do?id=94598")</f>
        <v>https://www.fabsurplus.com/sdi_catalog/salesItemDetails.do?id=94598</v>
      </c>
      <c r="B1015" s="5" t="s">
        <v>2607</v>
      </c>
      <c r="C1015" s="5" t="s">
        <v>2577</v>
      </c>
      <c r="D1015" s="5" t="s">
        <v>2608</v>
      </c>
      <c r="E1015" s="5" t="s">
        <v>2609</v>
      </c>
      <c r="F1015" s="5" t="s">
        <v>16</v>
      </c>
      <c r="G1015" s="5" t="s">
        <v>165</v>
      </c>
      <c r="H1015" s="5" t="s">
        <v>32</v>
      </c>
      <c r="I1015" s="5"/>
      <c r="J1015" s="5" t="s">
        <v>19</v>
      </c>
      <c r="K1015" s="5" t="s">
        <v>20</v>
      </c>
      <c r="L1015" s="7" t="s">
        <v>2610</v>
      </c>
    </row>
    <row r="1016" customFormat="false" ht="15.65" hidden="false" customHeight="true" outlineLevel="0" collapsed="false">
      <c r="A1016" s="2" t="str">
        <f aca="false">HYPERLINK("https://www.fabsurplus.com/sdi_catalog/salesItemDetails.do?id=94600")</f>
        <v>https://www.fabsurplus.com/sdi_catalog/salesItemDetails.do?id=94600</v>
      </c>
      <c r="B1016" s="2" t="s">
        <v>2611</v>
      </c>
      <c r="C1016" s="2" t="s">
        <v>2577</v>
      </c>
      <c r="D1016" s="2" t="s">
        <v>2612</v>
      </c>
      <c r="E1016" s="2" t="s">
        <v>2613</v>
      </c>
      <c r="F1016" s="2" t="s">
        <v>16</v>
      </c>
      <c r="G1016" s="2" t="s">
        <v>165</v>
      </c>
      <c r="H1016" s="2" t="s">
        <v>18</v>
      </c>
      <c r="I1016" s="2"/>
      <c r="J1016" s="2" t="s">
        <v>19</v>
      </c>
      <c r="K1016" s="2" t="s">
        <v>20</v>
      </c>
      <c r="L1016" s="2" t="s">
        <v>2614</v>
      </c>
    </row>
    <row r="1017" customFormat="false" ht="15.65" hidden="false" customHeight="true" outlineLevel="0" collapsed="false">
      <c r="A1017" s="5" t="str">
        <f aca="false">HYPERLINK("https://www.fabsurplus.com/sdi_catalog/salesItemDetails.do?id=94603")</f>
        <v>https://www.fabsurplus.com/sdi_catalog/salesItemDetails.do?id=94603</v>
      </c>
      <c r="B1017" s="5" t="s">
        <v>2615</v>
      </c>
      <c r="C1017" s="5" t="s">
        <v>2577</v>
      </c>
      <c r="D1017" s="5" t="s">
        <v>2616</v>
      </c>
      <c r="E1017" s="5" t="s">
        <v>2617</v>
      </c>
      <c r="F1017" s="5" t="s">
        <v>16</v>
      </c>
      <c r="G1017" s="5" t="s">
        <v>165</v>
      </c>
      <c r="H1017" s="5"/>
      <c r="I1017" s="5"/>
      <c r="J1017" s="5" t="s">
        <v>19</v>
      </c>
      <c r="K1017" s="5"/>
      <c r="L1017" s="5" t="s">
        <v>2618</v>
      </c>
    </row>
    <row r="1018" customFormat="false" ht="15.65" hidden="false" customHeight="true" outlineLevel="0" collapsed="false">
      <c r="A1018" s="2" t="str">
        <f aca="false">HYPERLINK("https://www.fabsurplus.com/sdi_catalog/salesItemDetails.do?id=94604")</f>
        <v>https://www.fabsurplus.com/sdi_catalog/salesItemDetails.do?id=94604</v>
      </c>
      <c r="B1018" s="2" t="s">
        <v>2619</v>
      </c>
      <c r="C1018" s="2" t="s">
        <v>2577</v>
      </c>
      <c r="D1018" s="2" t="s">
        <v>2616</v>
      </c>
      <c r="E1018" s="2" t="s">
        <v>2617</v>
      </c>
      <c r="F1018" s="2" t="s">
        <v>16</v>
      </c>
      <c r="G1018" s="2" t="s">
        <v>165</v>
      </c>
      <c r="H1018" s="2"/>
      <c r="I1018" s="2"/>
      <c r="J1018" s="2" t="s">
        <v>19</v>
      </c>
      <c r="K1018" s="2"/>
      <c r="L1018" s="2" t="s">
        <v>2620</v>
      </c>
    </row>
    <row r="1019" customFormat="false" ht="15.65" hidden="false" customHeight="true" outlineLevel="0" collapsed="false">
      <c r="A1019" s="5" t="str">
        <f aca="false">HYPERLINK("https://www.fabsurplus.com/sdi_catalog/salesItemDetails.do?id=106639")</f>
        <v>https://www.fabsurplus.com/sdi_catalog/salesItemDetails.do?id=106639</v>
      </c>
      <c r="B1019" s="5" t="s">
        <v>2621</v>
      </c>
      <c r="C1019" s="5" t="s">
        <v>2586</v>
      </c>
      <c r="D1019" s="5" t="s">
        <v>2622</v>
      </c>
      <c r="E1019" s="5" t="s">
        <v>2623</v>
      </c>
      <c r="F1019" s="5" t="s">
        <v>16</v>
      </c>
      <c r="G1019" s="5" t="s">
        <v>61</v>
      </c>
      <c r="H1019" s="5"/>
      <c r="I1019" s="6" t="n">
        <v>41061</v>
      </c>
      <c r="J1019" s="5" t="s">
        <v>19</v>
      </c>
      <c r="K1019" s="5"/>
      <c r="L1019" s="5" t="s">
        <v>518</v>
      </c>
    </row>
    <row r="1020" customFormat="false" ht="15.65" hidden="false" customHeight="true" outlineLevel="0" collapsed="false">
      <c r="A1020" s="2" t="str">
        <f aca="false">HYPERLINK("https://www.fabsurplus.com/sdi_catalog/salesItemDetails.do?id=108700")</f>
        <v>https://www.fabsurplus.com/sdi_catalog/salesItemDetails.do?id=108700</v>
      </c>
      <c r="B1020" s="2" t="s">
        <v>2624</v>
      </c>
      <c r="C1020" s="2" t="s">
        <v>2577</v>
      </c>
      <c r="D1020" s="2" t="s">
        <v>2625</v>
      </c>
      <c r="E1020" s="2" t="s">
        <v>2626</v>
      </c>
      <c r="F1020" s="2" t="s">
        <v>16</v>
      </c>
      <c r="G1020" s="2" t="s">
        <v>1287</v>
      </c>
      <c r="H1020" s="2" t="s">
        <v>32</v>
      </c>
      <c r="I1020" s="3" t="n">
        <v>36923</v>
      </c>
      <c r="J1020" s="2" t="s">
        <v>42</v>
      </c>
      <c r="K1020" s="2" t="s">
        <v>20</v>
      </c>
      <c r="L1020" s="4" t="s">
        <v>2627</v>
      </c>
    </row>
    <row r="1021" customFormat="false" ht="15.65" hidden="false" customHeight="true" outlineLevel="0" collapsed="false">
      <c r="A1021" s="5" t="str">
        <f aca="false">HYPERLINK("https://www.fabsurplus.com/sdi_catalog/salesItemDetails.do?id=72111")</f>
        <v>https://www.fabsurplus.com/sdi_catalog/salesItemDetails.do?id=72111</v>
      </c>
      <c r="B1021" s="5" t="s">
        <v>2628</v>
      </c>
      <c r="C1021" s="5" t="s">
        <v>2577</v>
      </c>
      <c r="D1021" s="5" t="s">
        <v>2629</v>
      </c>
      <c r="E1021" s="5" t="s">
        <v>2630</v>
      </c>
      <c r="F1021" s="5" t="s">
        <v>86</v>
      </c>
      <c r="G1021" s="5" t="s">
        <v>104</v>
      </c>
      <c r="H1021" s="5" t="s">
        <v>18</v>
      </c>
      <c r="I1021" s="5"/>
      <c r="J1021" s="5" t="s">
        <v>19</v>
      </c>
      <c r="K1021" s="5" t="s">
        <v>20</v>
      </c>
      <c r="L1021" s="7" t="s">
        <v>2631</v>
      </c>
    </row>
    <row r="1022" customFormat="false" ht="15.65" hidden="false" customHeight="true" outlineLevel="0" collapsed="false">
      <c r="A1022" s="2" t="str">
        <f aca="false">HYPERLINK("https://www.fabsurplus.com/sdi_catalog/salesItemDetails.do?id=72120")</f>
        <v>https://www.fabsurplus.com/sdi_catalog/salesItemDetails.do?id=72120</v>
      </c>
      <c r="B1022" s="2" t="s">
        <v>2632</v>
      </c>
      <c r="C1022" s="2" t="s">
        <v>2577</v>
      </c>
      <c r="D1022" s="2" t="s">
        <v>2633</v>
      </c>
      <c r="E1022" s="2" t="s">
        <v>2634</v>
      </c>
      <c r="F1022" s="2" t="s">
        <v>16</v>
      </c>
      <c r="G1022" s="2" t="s">
        <v>104</v>
      </c>
      <c r="H1022" s="2" t="s">
        <v>18</v>
      </c>
      <c r="I1022" s="2"/>
      <c r="J1022" s="2" t="s">
        <v>19</v>
      </c>
      <c r="K1022" s="2" t="s">
        <v>20</v>
      </c>
      <c r="L1022" s="4" t="s">
        <v>2631</v>
      </c>
    </row>
    <row r="1023" customFormat="false" ht="15.65" hidden="false" customHeight="true" outlineLevel="0" collapsed="false">
      <c r="A1023" s="5" t="str">
        <f aca="false">HYPERLINK("https://www.fabsurplus.com/sdi_catalog/salesItemDetails.do?id=108729")</f>
        <v>https://www.fabsurplus.com/sdi_catalog/salesItemDetails.do?id=108729</v>
      </c>
      <c r="B1023" s="5" t="s">
        <v>2635</v>
      </c>
      <c r="C1023" s="5" t="s">
        <v>2586</v>
      </c>
      <c r="D1023" s="5" t="s">
        <v>2636</v>
      </c>
      <c r="E1023" s="5" t="s">
        <v>2637</v>
      </c>
      <c r="F1023" s="5" t="s">
        <v>151</v>
      </c>
      <c r="G1023" s="5"/>
      <c r="H1023" s="5"/>
      <c r="I1023" s="5"/>
      <c r="J1023" s="5" t="s">
        <v>19</v>
      </c>
      <c r="K1023" s="5"/>
      <c r="L1023" s="5"/>
    </row>
    <row r="1024" customFormat="false" ht="15.65" hidden="false" customHeight="true" outlineLevel="0" collapsed="false">
      <c r="A1024" s="2" t="str">
        <f aca="false">HYPERLINK("https://www.fabsurplus.com/sdi_catalog/salesItemDetails.do?id=91345")</f>
        <v>https://www.fabsurplus.com/sdi_catalog/salesItemDetails.do?id=91345</v>
      </c>
      <c r="B1024" s="2" t="s">
        <v>2638</v>
      </c>
      <c r="C1024" s="2" t="s">
        <v>2586</v>
      </c>
      <c r="D1024" s="2" t="s">
        <v>2639</v>
      </c>
      <c r="E1024" s="2" t="s">
        <v>2640</v>
      </c>
      <c r="F1024" s="2" t="s">
        <v>16</v>
      </c>
      <c r="G1024" s="2" t="s">
        <v>61</v>
      </c>
      <c r="H1024" s="2"/>
      <c r="I1024" s="2"/>
      <c r="J1024" s="2" t="s">
        <v>19</v>
      </c>
      <c r="K1024" s="2"/>
      <c r="L1024" s="2" t="s">
        <v>142</v>
      </c>
    </row>
    <row r="1025" customFormat="false" ht="15.65" hidden="false" customHeight="true" outlineLevel="0" collapsed="false">
      <c r="A1025" s="5" t="str">
        <f aca="false">HYPERLINK("https://www.fabsurplus.com/sdi_catalog/salesItemDetails.do?id=109546")</f>
        <v>https://www.fabsurplus.com/sdi_catalog/salesItemDetails.do?id=109546</v>
      </c>
      <c r="B1025" s="5" t="s">
        <v>2641</v>
      </c>
      <c r="C1025" s="5" t="s">
        <v>2577</v>
      </c>
      <c r="D1025" s="5" t="s">
        <v>2642</v>
      </c>
      <c r="E1025" s="5" t="s">
        <v>2643</v>
      </c>
      <c r="F1025" s="5" t="s">
        <v>16</v>
      </c>
      <c r="G1025" s="5" t="s">
        <v>61</v>
      </c>
      <c r="H1025" s="5" t="s">
        <v>32</v>
      </c>
      <c r="I1025" s="6" t="n">
        <v>38869</v>
      </c>
      <c r="J1025" s="5" t="s">
        <v>19</v>
      </c>
      <c r="K1025" s="5" t="s">
        <v>20</v>
      </c>
      <c r="L1025" s="7" t="s">
        <v>2644</v>
      </c>
    </row>
    <row r="1026" customFormat="false" ht="15.65" hidden="false" customHeight="true" outlineLevel="0" collapsed="false">
      <c r="A1026" s="2" t="str">
        <f aca="false">HYPERLINK("https://www.fabsurplus.com/sdi_catalog/salesItemDetails.do?id=109370")</f>
        <v>https://www.fabsurplus.com/sdi_catalog/salesItemDetails.do?id=109370</v>
      </c>
      <c r="B1026" s="2" t="s">
        <v>2645</v>
      </c>
      <c r="C1026" s="2" t="s">
        <v>2646</v>
      </c>
      <c r="D1026" s="2" t="s">
        <v>1280</v>
      </c>
      <c r="E1026" s="2" t="s">
        <v>103</v>
      </c>
      <c r="F1026" s="2" t="s">
        <v>16</v>
      </c>
      <c r="G1026" s="2" t="s">
        <v>104</v>
      </c>
      <c r="H1026" s="2"/>
      <c r="I1026" s="2"/>
      <c r="J1026" s="2" t="s">
        <v>19</v>
      </c>
      <c r="K1026" s="2"/>
      <c r="L1026" s="2" t="s">
        <v>2647</v>
      </c>
    </row>
    <row r="1027" customFormat="false" ht="15.65" hidden="false" customHeight="true" outlineLevel="0" collapsed="false">
      <c r="A1027" s="5" t="str">
        <f aca="false">HYPERLINK("https://www.fabsurplus.com/sdi_catalog/salesItemDetails.do?id=109371")</f>
        <v>https://www.fabsurplus.com/sdi_catalog/salesItemDetails.do?id=109371</v>
      </c>
      <c r="B1027" s="5" t="s">
        <v>2648</v>
      </c>
      <c r="C1027" s="5" t="s">
        <v>2646</v>
      </c>
      <c r="D1027" s="5" t="s">
        <v>1280</v>
      </c>
      <c r="E1027" s="5" t="s">
        <v>103</v>
      </c>
      <c r="F1027" s="5" t="s">
        <v>16</v>
      </c>
      <c r="G1027" s="5" t="s">
        <v>104</v>
      </c>
      <c r="H1027" s="5"/>
      <c r="I1027" s="5"/>
      <c r="J1027" s="5" t="s">
        <v>19</v>
      </c>
      <c r="K1027" s="5"/>
      <c r="L1027" s="5" t="s">
        <v>2649</v>
      </c>
    </row>
    <row r="1028" customFormat="false" ht="15.65" hidden="false" customHeight="true" outlineLevel="0" collapsed="false">
      <c r="A1028" s="2" t="str">
        <f aca="false">HYPERLINK("https://www.fabsurplus.com/sdi_catalog/salesItemDetails.do?id=100888")</f>
        <v>https://www.fabsurplus.com/sdi_catalog/salesItemDetails.do?id=100888</v>
      </c>
      <c r="B1028" s="2" t="s">
        <v>2650</v>
      </c>
      <c r="C1028" s="2" t="s">
        <v>14</v>
      </c>
      <c r="D1028" s="2" t="s">
        <v>2651</v>
      </c>
      <c r="E1028" s="2" t="s">
        <v>2652</v>
      </c>
      <c r="F1028" s="2" t="s">
        <v>16</v>
      </c>
      <c r="G1028" s="2" t="s">
        <v>31</v>
      </c>
      <c r="H1028" s="2" t="s">
        <v>32</v>
      </c>
      <c r="I1028" s="3" t="n">
        <v>39599.9166666667</v>
      </c>
      <c r="J1028" s="2" t="s">
        <v>19</v>
      </c>
      <c r="K1028" s="2" t="s">
        <v>20</v>
      </c>
      <c r="L1028" s="2" t="s">
        <v>2653</v>
      </c>
    </row>
    <row r="1029" customFormat="false" ht="15.65" hidden="false" customHeight="true" outlineLevel="0" collapsed="false">
      <c r="A1029" s="5" t="str">
        <f aca="false">HYPERLINK("https://www.fabsurplus.com/sdi_catalog/salesItemDetails.do?id=56142")</f>
        <v>https://www.fabsurplus.com/sdi_catalog/salesItemDetails.do?id=56142</v>
      </c>
      <c r="B1029" s="5" t="s">
        <v>2654</v>
      </c>
      <c r="C1029" s="5" t="s">
        <v>14</v>
      </c>
      <c r="D1029" s="5" t="s">
        <v>2655</v>
      </c>
      <c r="E1029" s="5" t="s">
        <v>2656</v>
      </c>
      <c r="F1029" s="5" t="s">
        <v>16</v>
      </c>
      <c r="G1029" s="5" t="s">
        <v>17</v>
      </c>
      <c r="H1029" s="5" t="s">
        <v>18</v>
      </c>
      <c r="I1029" s="6" t="n">
        <v>37043</v>
      </c>
      <c r="J1029" s="5" t="s">
        <v>19</v>
      </c>
      <c r="K1029" s="5" t="s">
        <v>20</v>
      </c>
      <c r="L1029" s="7" t="s">
        <v>2657</v>
      </c>
    </row>
    <row r="1030" customFormat="false" ht="15.65" hidden="false" customHeight="true" outlineLevel="0" collapsed="false">
      <c r="A1030" s="2" t="str">
        <f aca="false">HYPERLINK("https://www.fabsurplus.com/sdi_catalog/salesItemDetails.do?id=56145")</f>
        <v>https://www.fabsurplus.com/sdi_catalog/salesItemDetails.do?id=56145</v>
      </c>
      <c r="B1030" s="2" t="s">
        <v>2658</v>
      </c>
      <c r="C1030" s="2" t="s">
        <v>14</v>
      </c>
      <c r="D1030" s="2" t="s">
        <v>2659</v>
      </c>
      <c r="E1030" s="2" t="s">
        <v>2660</v>
      </c>
      <c r="F1030" s="2" t="s">
        <v>16</v>
      </c>
      <c r="G1030" s="2" t="s">
        <v>1501</v>
      </c>
      <c r="H1030" s="2" t="s">
        <v>18</v>
      </c>
      <c r="I1030" s="3" t="n">
        <v>38869</v>
      </c>
      <c r="J1030" s="2" t="s">
        <v>19</v>
      </c>
      <c r="K1030" s="2" t="s">
        <v>20</v>
      </c>
      <c r="L1030" s="4" t="s">
        <v>2661</v>
      </c>
    </row>
    <row r="1031" customFormat="false" ht="15.65" hidden="false" customHeight="true" outlineLevel="0" collapsed="false">
      <c r="A1031" s="5" t="str">
        <f aca="false">HYPERLINK("https://www.fabsurplus.com/sdi_catalog/salesItemDetails.do?id=56146")</f>
        <v>https://www.fabsurplus.com/sdi_catalog/salesItemDetails.do?id=56146</v>
      </c>
      <c r="B1031" s="5" t="s">
        <v>2662</v>
      </c>
      <c r="C1031" s="5" t="s">
        <v>14</v>
      </c>
      <c r="D1031" s="5" t="s">
        <v>2663</v>
      </c>
      <c r="E1031" s="5" t="s">
        <v>2664</v>
      </c>
      <c r="F1031" s="5" t="s">
        <v>16</v>
      </c>
      <c r="G1031" s="5" t="s">
        <v>17</v>
      </c>
      <c r="H1031" s="5" t="s">
        <v>18</v>
      </c>
      <c r="I1031" s="6" t="n">
        <v>38869</v>
      </c>
      <c r="J1031" s="5" t="s">
        <v>19</v>
      </c>
      <c r="K1031" s="5" t="s">
        <v>20</v>
      </c>
      <c r="L1031" s="7" t="s">
        <v>2665</v>
      </c>
    </row>
    <row r="1032" customFormat="false" ht="15.65" hidden="false" customHeight="true" outlineLevel="0" collapsed="false">
      <c r="A1032" s="2" t="str">
        <f aca="false">HYPERLINK("https://www.fabsurplus.com/sdi_catalog/salesItemDetails.do?id=98708")</f>
        <v>https://www.fabsurplus.com/sdi_catalog/salesItemDetails.do?id=98708</v>
      </c>
      <c r="B1032" s="2" t="s">
        <v>2666</v>
      </c>
      <c r="C1032" s="2" t="s">
        <v>14</v>
      </c>
      <c r="D1032" s="2" t="s">
        <v>2667</v>
      </c>
      <c r="E1032" s="2" t="s">
        <v>2652</v>
      </c>
      <c r="F1032" s="2" t="s">
        <v>16</v>
      </c>
      <c r="G1032" s="2" t="s">
        <v>31</v>
      </c>
      <c r="H1032" s="2" t="s">
        <v>32</v>
      </c>
      <c r="I1032" s="3" t="n">
        <v>39599.9166666667</v>
      </c>
      <c r="J1032" s="2" t="s">
        <v>19</v>
      </c>
      <c r="K1032" s="2" t="s">
        <v>20</v>
      </c>
      <c r="L1032" s="2" t="s">
        <v>2653</v>
      </c>
    </row>
    <row r="1033" customFormat="false" ht="15.65" hidden="false" customHeight="true" outlineLevel="0" collapsed="false">
      <c r="A1033" s="5" t="str">
        <f aca="false">HYPERLINK("https://www.fabsurplus.com/sdi_catalog/salesItemDetails.do?id=98709")</f>
        <v>https://www.fabsurplus.com/sdi_catalog/salesItemDetails.do?id=98709</v>
      </c>
      <c r="B1033" s="5" t="s">
        <v>2668</v>
      </c>
      <c r="C1033" s="5" t="s">
        <v>14</v>
      </c>
      <c r="D1033" s="5" t="s">
        <v>2669</v>
      </c>
      <c r="E1033" s="5" t="s">
        <v>2652</v>
      </c>
      <c r="F1033" s="5" t="s">
        <v>16</v>
      </c>
      <c r="G1033" s="5" t="s">
        <v>31</v>
      </c>
      <c r="H1033" s="5"/>
      <c r="I1033" s="6" t="n">
        <v>39599.9166666667</v>
      </c>
      <c r="J1033" s="5" t="s">
        <v>19</v>
      </c>
      <c r="K1033" s="5"/>
      <c r="L1033" s="5" t="s">
        <v>2653</v>
      </c>
    </row>
    <row r="1034" customFormat="false" ht="15.65" hidden="false" customHeight="true" outlineLevel="0" collapsed="false">
      <c r="A1034" s="2" t="str">
        <f aca="false">HYPERLINK("https://www.fabsurplus.com/sdi_catalog/salesItemDetails.do?id=98710")</f>
        <v>https://www.fabsurplus.com/sdi_catalog/salesItemDetails.do?id=98710</v>
      </c>
      <c r="B1034" s="2" t="s">
        <v>2670</v>
      </c>
      <c r="C1034" s="2" t="s">
        <v>14</v>
      </c>
      <c r="D1034" s="2" t="s">
        <v>2671</v>
      </c>
      <c r="E1034" s="2" t="s">
        <v>2672</v>
      </c>
      <c r="F1034" s="2" t="s">
        <v>16</v>
      </c>
      <c r="G1034" s="2" t="s">
        <v>31</v>
      </c>
      <c r="H1034" s="2" t="s">
        <v>32</v>
      </c>
      <c r="I1034" s="3" t="n">
        <v>39599.9166666667</v>
      </c>
      <c r="J1034" s="2" t="s">
        <v>19</v>
      </c>
      <c r="K1034" s="2" t="s">
        <v>20</v>
      </c>
      <c r="L1034" s="2" t="s">
        <v>2673</v>
      </c>
    </row>
    <row r="1035" customFormat="false" ht="15.65" hidden="false" customHeight="true" outlineLevel="0" collapsed="false">
      <c r="A1035" s="5" t="str">
        <f aca="false">HYPERLINK("https://www.fabsurplus.com/sdi_catalog/salesItemDetails.do?id=98711")</f>
        <v>https://www.fabsurplus.com/sdi_catalog/salesItemDetails.do?id=98711</v>
      </c>
      <c r="B1035" s="5" t="s">
        <v>2674</v>
      </c>
      <c r="C1035" s="5" t="s">
        <v>14</v>
      </c>
      <c r="D1035" s="5" t="s">
        <v>2675</v>
      </c>
      <c r="E1035" s="5" t="s">
        <v>2676</v>
      </c>
      <c r="F1035" s="5" t="s">
        <v>16</v>
      </c>
      <c r="G1035" s="5" t="s">
        <v>31</v>
      </c>
      <c r="H1035" s="5" t="s">
        <v>32</v>
      </c>
      <c r="I1035" s="6" t="n">
        <v>39599.9166666667</v>
      </c>
      <c r="J1035" s="5" t="s">
        <v>19</v>
      </c>
      <c r="K1035" s="5" t="s">
        <v>20</v>
      </c>
      <c r="L1035" s="5" t="s">
        <v>2677</v>
      </c>
    </row>
    <row r="1036" customFormat="false" ht="15.65" hidden="false" customHeight="true" outlineLevel="0" collapsed="false">
      <c r="A1036" s="2" t="str">
        <f aca="false">HYPERLINK("https://www.fabsurplus.com/sdi_catalog/salesItemDetails.do?id=98712")</f>
        <v>https://www.fabsurplus.com/sdi_catalog/salesItemDetails.do?id=98712</v>
      </c>
      <c r="B1036" s="2" t="s">
        <v>2678</v>
      </c>
      <c r="C1036" s="2" t="s">
        <v>14</v>
      </c>
      <c r="D1036" s="2" t="s">
        <v>2679</v>
      </c>
      <c r="E1036" s="2" t="s">
        <v>2680</v>
      </c>
      <c r="F1036" s="2" t="s">
        <v>16</v>
      </c>
      <c r="G1036" s="2" t="s">
        <v>31</v>
      </c>
      <c r="H1036" s="2" t="s">
        <v>32</v>
      </c>
      <c r="I1036" s="3" t="n">
        <v>39599.9166666667</v>
      </c>
      <c r="J1036" s="2" t="s">
        <v>19</v>
      </c>
      <c r="K1036" s="2" t="s">
        <v>20</v>
      </c>
      <c r="L1036" s="4" t="s">
        <v>2681</v>
      </c>
    </row>
    <row r="1037" customFormat="false" ht="15.65" hidden="false" customHeight="true" outlineLevel="0" collapsed="false">
      <c r="A1037" s="5" t="str">
        <f aca="false">HYPERLINK("https://www.fabsurplus.com/sdi_catalog/salesItemDetails.do?id=98713")</f>
        <v>https://www.fabsurplus.com/sdi_catalog/salesItemDetails.do?id=98713</v>
      </c>
      <c r="B1037" s="5" t="s">
        <v>2682</v>
      </c>
      <c r="C1037" s="5" t="s">
        <v>14</v>
      </c>
      <c r="D1037" s="5" t="s">
        <v>2683</v>
      </c>
      <c r="E1037" s="5" t="s">
        <v>2684</v>
      </c>
      <c r="F1037" s="5" t="s">
        <v>2685</v>
      </c>
      <c r="G1037" s="5" t="s">
        <v>31</v>
      </c>
      <c r="H1037" s="5" t="s">
        <v>32</v>
      </c>
      <c r="I1037" s="6" t="n">
        <v>39569</v>
      </c>
      <c r="J1037" s="5" t="s">
        <v>19</v>
      </c>
      <c r="K1037" s="5" t="s">
        <v>20</v>
      </c>
      <c r="L1037" s="7" t="s">
        <v>2686</v>
      </c>
    </row>
    <row r="1038" customFormat="false" ht="15.65" hidden="false" customHeight="true" outlineLevel="0" collapsed="false">
      <c r="A1038" s="2" t="str">
        <f aca="false">HYPERLINK("https://www.fabsurplus.com/sdi_catalog/salesItemDetails.do?id=98715")</f>
        <v>https://www.fabsurplus.com/sdi_catalog/salesItemDetails.do?id=98715</v>
      </c>
      <c r="B1038" s="2" t="s">
        <v>2687</v>
      </c>
      <c r="C1038" s="2" t="s">
        <v>2688</v>
      </c>
      <c r="D1038" s="2" t="s">
        <v>2689</v>
      </c>
      <c r="E1038" s="2" t="s">
        <v>2690</v>
      </c>
      <c r="F1038" s="2" t="s">
        <v>16</v>
      </c>
      <c r="G1038" s="2" t="s">
        <v>31</v>
      </c>
      <c r="H1038" s="2" t="s">
        <v>18</v>
      </c>
      <c r="I1038" s="3" t="n">
        <v>39599.9166666667</v>
      </c>
      <c r="J1038" s="2" t="s">
        <v>19</v>
      </c>
      <c r="K1038" s="2" t="s">
        <v>20</v>
      </c>
      <c r="L1038" s="4" t="s">
        <v>2691</v>
      </c>
    </row>
    <row r="1039" customFormat="false" ht="15.65" hidden="false" customHeight="true" outlineLevel="0" collapsed="false">
      <c r="A1039" s="5" t="str">
        <f aca="false">HYPERLINK("https://www.fabsurplus.com/sdi_catalog/salesItemDetails.do?id=98716")</f>
        <v>https://www.fabsurplus.com/sdi_catalog/salesItemDetails.do?id=98716</v>
      </c>
      <c r="B1039" s="5" t="s">
        <v>2692</v>
      </c>
      <c r="C1039" s="5" t="s">
        <v>2688</v>
      </c>
      <c r="D1039" s="5" t="s">
        <v>2693</v>
      </c>
      <c r="E1039" s="5" t="s">
        <v>2690</v>
      </c>
      <c r="F1039" s="5" t="s">
        <v>16</v>
      </c>
      <c r="G1039" s="5" t="s">
        <v>31</v>
      </c>
      <c r="H1039" s="5" t="s">
        <v>32</v>
      </c>
      <c r="I1039" s="6" t="n">
        <v>39599.9166666667</v>
      </c>
      <c r="J1039" s="5" t="s">
        <v>19</v>
      </c>
      <c r="K1039" s="5" t="s">
        <v>20</v>
      </c>
      <c r="L1039" s="5" t="s">
        <v>2694</v>
      </c>
    </row>
    <row r="1040" customFormat="false" ht="15.65" hidden="false" customHeight="true" outlineLevel="0" collapsed="false">
      <c r="A1040" s="2" t="str">
        <f aca="false">HYPERLINK("https://www.fabsurplus.com/sdi_catalog/salesItemDetails.do?id=98717")</f>
        <v>https://www.fabsurplus.com/sdi_catalog/salesItemDetails.do?id=98717</v>
      </c>
      <c r="B1040" s="2" t="s">
        <v>2695</v>
      </c>
      <c r="C1040" s="2" t="s">
        <v>2688</v>
      </c>
      <c r="D1040" s="2" t="s">
        <v>2696</v>
      </c>
      <c r="E1040" s="2" t="s">
        <v>2690</v>
      </c>
      <c r="F1040" s="2" t="s">
        <v>16</v>
      </c>
      <c r="G1040" s="2" t="s">
        <v>31</v>
      </c>
      <c r="H1040" s="2" t="s">
        <v>32</v>
      </c>
      <c r="I1040" s="3" t="n">
        <v>39599.9166666667</v>
      </c>
      <c r="J1040" s="2" t="s">
        <v>19</v>
      </c>
      <c r="K1040" s="2" t="s">
        <v>20</v>
      </c>
      <c r="L1040" s="4" t="s">
        <v>2697</v>
      </c>
    </row>
    <row r="1041" customFormat="false" ht="15.65" hidden="false" customHeight="true" outlineLevel="0" collapsed="false">
      <c r="A1041" s="5" t="str">
        <f aca="false">HYPERLINK("https://www.fabsurplus.com/sdi_catalog/salesItemDetails.do?id=108703")</f>
        <v>https://www.fabsurplus.com/sdi_catalog/salesItemDetails.do?id=108703</v>
      </c>
      <c r="B1041" s="5" t="s">
        <v>2698</v>
      </c>
      <c r="C1041" s="5" t="s">
        <v>14</v>
      </c>
      <c r="D1041" s="5" t="s">
        <v>2699</v>
      </c>
      <c r="E1041" s="5" t="s">
        <v>2700</v>
      </c>
      <c r="F1041" s="5" t="s">
        <v>16</v>
      </c>
      <c r="G1041" s="5" t="s">
        <v>31</v>
      </c>
      <c r="H1041" s="5" t="s">
        <v>18</v>
      </c>
      <c r="I1041" s="6" t="n">
        <v>39965</v>
      </c>
      <c r="J1041" s="5" t="s">
        <v>42</v>
      </c>
      <c r="K1041" s="5" t="s">
        <v>20</v>
      </c>
      <c r="L1041" s="7" t="s">
        <v>2701</v>
      </c>
    </row>
    <row r="1042" customFormat="false" ht="15.65" hidden="false" customHeight="true" outlineLevel="0" collapsed="false">
      <c r="A1042" s="2" t="str">
        <f aca="false">HYPERLINK("https://www.fabsurplus.com/sdi_catalog/salesItemDetails.do?id=77009")</f>
        <v>https://www.fabsurplus.com/sdi_catalog/salesItemDetails.do?id=77009</v>
      </c>
      <c r="B1042" s="2" t="s">
        <v>2702</v>
      </c>
      <c r="C1042" s="2" t="s">
        <v>14</v>
      </c>
      <c r="D1042" s="2" t="s">
        <v>2703</v>
      </c>
      <c r="E1042" s="2" t="s">
        <v>2704</v>
      </c>
      <c r="F1042" s="2" t="s">
        <v>16</v>
      </c>
      <c r="G1042" s="2" t="s">
        <v>17</v>
      </c>
      <c r="H1042" s="2" t="s">
        <v>18</v>
      </c>
      <c r="I1042" s="3" t="n">
        <v>37042.9166666667</v>
      </c>
      <c r="J1042" s="2" t="s">
        <v>19</v>
      </c>
      <c r="K1042" s="2" t="s">
        <v>20</v>
      </c>
      <c r="L1042" s="4" t="s">
        <v>2705</v>
      </c>
    </row>
    <row r="1043" customFormat="false" ht="15.65" hidden="false" customHeight="true" outlineLevel="0" collapsed="false">
      <c r="A1043" s="5" t="str">
        <f aca="false">HYPERLINK("https://www.fabsurplus.com/sdi_catalog/salesItemDetails.do?id=77010")</f>
        <v>https://www.fabsurplus.com/sdi_catalog/salesItemDetails.do?id=77010</v>
      </c>
      <c r="B1043" s="5" t="s">
        <v>2706</v>
      </c>
      <c r="C1043" s="5" t="s">
        <v>14</v>
      </c>
      <c r="D1043" s="5" t="s">
        <v>2707</v>
      </c>
      <c r="E1043" s="5" t="s">
        <v>2704</v>
      </c>
      <c r="F1043" s="5" t="s">
        <v>16</v>
      </c>
      <c r="G1043" s="5" t="s">
        <v>17</v>
      </c>
      <c r="H1043" s="5" t="s">
        <v>18</v>
      </c>
      <c r="I1043" s="6" t="n">
        <v>37195.9583333333</v>
      </c>
      <c r="J1043" s="5" t="s">
        <v>19</v>
      </c>
      <c r="K1043" s="5" t="s">
        <v>20</v>
      </c>
      <c r="L1043" s="7" t="s">
        <v>2708</v>
      </c>
    </row>
    <row r="1044" customFormat="false" ht="15.65" hidden="false" customHeight="true" outlineLevel="0" collapsed="false">
      <c r="A1044" s="2" t="str">
        <f aca="false">HYPERLINK("https://www.fabsurplus.com/sdi_catalog/salesItemDetails.do?id=77012")</f>
        <v>https://www.fabsurplus.com/sdi_catalog/salesItemDetails.do?id=77012</v>
      </c>
      <c r="B1044" s="2" t="s">
        <v>2709</v>
      </c>
      <c r="C1044" s="2" t="s">
        <v>14</v>
      </c>
      <c r="D1044" s="2" t="s">
        <v>2710</v>
      </c>
      <c r="E1044" s="2" t="s">
        <v>2704</v>
      </c>
      <c r="F1044" s="2" t="s">
        <v>16</v>
      </c>
      <c r="G1044" s="2" t="s">
        <v>17</v>
      </c>
      <c r="H1044" s="2" t="s">
        <v>18</v>
      </c>
      <c r="I1044" s="3" t="n">
        <v>37196</v>
      </c>
      <c r="J1044" s="2" t="s">
        <v>19</v>
      </c>
      <c r="K1044" s="2" t="s">
        <v>20</v>
      </c>
      <c r="L1044" s="4" t="s">
        <v>2711</v>
      </c>
    </row>
    <row r="1045" customFormat="false" ht="15.65" hidden="false" customHeight="true" outlineLevel="0" collapsed="false">
      <c r="A1045" s="5" t="str">
        <f aca="false">HYPERLINK("https://www.fabsurplus.com/sdi_catalog/salesItemDetails.do?id=77013")</f>
        <v>https://www.fabsurplus.com/sdi_catalog/salesItemDetails.do?id=77013</v>
      </c>
      <c r="B1045" s="5" t="s">
        <v>2712</v>
      </c>
      <c r="C1045" s="5" t="s">
        <v>14</v>
      </c>
      <c r="D1045" s="5" t="s">
        <v>2713</v>
      </c>
      <c r="E1045" s="5" t="s">
        <v>2714</v>
      </c>
      <c r="F1045" s="5" t="s">
        <v>16</v>
      </c>
      <c r="G1045" s="5" t="s">
        <v>17</v>
      </c>
      <c r="H1045" s="5" t="s">
        <v>18</v>
      </c>
      <c r="I1045" s="6" t="n">
        <v>39233.9166666667</v>
      </c>
      <c r="J1045" s="5" t="s">
        <v>19</v>
      </c>
      <c r="K1045" s="5" t="s">
        <v>20</v>
      </c>
      <c r="L1045" s="7" t="s">
        <v>2715</v>
      </c>
    </row>
    <row r="1046" customFormat="false" ht="15.65" hidden="false" customHeight="true" outlineLevel="0" collapsed="false">
      <c r="A1046" s="2" t="str">
        <f aca="false">HYPERLINK("https://www.fabsurplus.com/sdi_catalog/salesItemDetails.do?id=77017")</f>
        <v>https://www.fabsurplus.com/sdi_catalog/salesItemDetails.do?id=77017</v>
      </c>
      <c r="B1046" s="2" t="s">
        <v>2716</v>
      </c>
      <c r="C1046" s="2" t="s">
        <v>14</v>
      </c>
      <c r="D1046" s="2" t="s">
        <v>2717</v>
      </c>
      <c r="E1046" s="2" t="s">
        <v>2718</v>
      </c>
      <c r="F1046" s="2" t="s">
        <v>16</v>
      </c>
      <c r="G1046" s="2" t="s">
        <v>17</v>
      </c>
      <c r="H1046" s="2" t="s">
        <v>18</v>
      </c>
      <c r="I1046" s="3" t="n">
        <v>38868.9166666667</v>
      </c>
      <c r="J1046" s="2" t="s">
        <v>19</v>
      </c>
      <c r="K1046" s="2" t="s">
        <v>20</v>
      </c>
      <c r="L1046" s="4" t="s">
        <v>2719</v>
      </c>
    </row>
    <row r="1047" customFormat="false" ht="15.65" hidden="false" customHeight="true" outlineLevel="0" collapsed="false">
      <c r="A1047" s="5" t="str">
        <f aca="false">HYPERLINK("https://www.fabsurplus.com/sdi_catalog/salesItemDetails.do?id=77018")</f>
        <v>https://www.fabsurplus.com/sdi_catalog/salesItemDetails.do?id=77018</v>
      </c>
      <c r="B1047" s="5" t="s">
        <v>2720</v>
      </c>
      <c r="C1047" s="5" t="s">
        <v>14</v>
      </c>
      <c r="D1047" s="5" t="s">
        <v>2721</v>
      </c>
      <c r="E1047" s="5" t="s">
        <v>2722</v>
      </c>
      <c r="F1047" s="5" t="s">
        <v>16</v>
      </c>
      <c r="G1047" s="5" t="s">
        <v>17</v>
      </c>
      <c r="H1047" s="5" t="s">
        <v>18</v>
      </c>
      <c r="I1047" s="6" t="n">
        <v>38869</v>
      </c>
      <c r="J1047" s="5" t="s">
        <v>19</v>
      </c>
      <c r="K1047" s="5" t="s">
        <v>20</v>
      </c>
      <c r="L1047" s="7" t="s">
        <v>2723</v>
      </c>
    </row>
    <row r="1048" customFormat="false" ht="15.65" hidden="false" customHeight="true" outlineLevel="0" collapsed="false">
      <c r="A1048" s="2" t="str">
        <f aca="false">HYPERLINK("https://www.fabsurplus.com/sdi_catalog/salesItemDetails.do?id=77019")</f>
        <v>https://www.fabsurplus.com/sdi_catalog/salesItemDetails.do?id=77019</v>
      </c>
      <c r="B1048" s="2" t="s">
        <v>2724</v>
      </c>
      <c r="C1048" s="2" t="s">
        <v>14</v>
      </c>
      <c r="D1048" s="2" t="s">
        <v>2725</v>
      </c>
      <c r="E1048" s="2" t="s">
        <v>2726</v>
      </c>
      <c r="F1048" s="2" t="s">
        <v>16</v>
      </c>
      <c r="G1048" s="2" t="s">
        <v>17</v>
      </c>
      <c r="H1048" s="2" t="s">
        <v>18</v>
      </c>
      <c r="I1048" s="3" t="n">
        <v>38869</v>
      </c>
      <c r="J1048" s="2" t="s">
        <v>19</v>
      </c>
      <c r="K1048" s="2" t="s">
        <v>20</v>
      </c>
      <c r="L1048" s="4" t="s">
        <v>2727</v>
      </c>
    </row>
    <row r="1049" customFormat="false" ht="15.65" hidden="false" customHeight="true" outlineLevel="0" collapsed="false">
      <c r="A1049" s="5" t="str">
        <f aca="false">HYPERLINK("https://www.fabsurplus.com/sdi_catalog/salesItemDetails.do?id=77020")</f>
        <v>https://www.fabsurplus.com/sdi_catalog/salesItemDetails.do?id=77020</v>
      </c>
      <c r="B1049" s="5" t="s">
        <v>2728</v>
      </c>
      <c r="C1049" s="5" t="s">
        <v>14</v>
      </c>
      <c r="D1049" s="5" t="s">
        <v>2659</v>
      </c>
      <c r="E1049" s="5" t="s">
        <v>2660</v>
      </c>
      <c r="F1049" s="5" t="s">
        <v>16</v>
      </c>
      <c r="G1049" s="5" t="s">
        <v>17</v>
      </c>
      <c r="H1049" s="5" t="s">
        <v>18</v>
      </c>
      <c r="I1049" s="6" t="n">
        <v>38869</v>
      </c>
      <c r="J1049" s="5" t="s">
        <v>19</v>
      </c>
      <c r="K1049" s="5" t="s">
        <v>20</v>
      </c>
      <c r="L1049" s="7" t="s">
        <v>2729</v>
      </c>
    </row>
    <row r="1050" customFormat="false" ht="15.65" hidden="false" customHeight="true" outlineLevel="0" collapsed="false">
      <c r="A1050" s="2" t="str">
        <f aca="false">HYPERLINK("https://www.fabsurplus.com/sdi_catalog/salesItemDetails.do?id=103388")</f>
        <v>https://www.fabsurplus.com/sdi_catalog/salesItemDetails.do?id=103388</v>
      </c>
      <c r="B1050" s="2" t="s">
        <v>2730</v>
      </c>
      <c r="C1050" s="2" t="s">
        <v>2688</v>
      </c>
      <c r="D1050" s="2" t="s">
        <v>2731</v>
      </c>
      <c r="E1050" s="2" t="s">
        <v>2732</v>
      </c>
      <c r="F1050" s="2" t="s">
        <v>16</v>
      </c>
      <c r="G1050" s="2" t="s">
        <v>31</v>
      </c>
      <c r="H1050" s="2" t="s">
        <v>32</v>
      </c>
      <c r="I1050" s="3" t="n">
        <v>39599.9166666667</v>
      </c>
      <c r="J1050" s="2" t="s">
        <v>19</v>
      </c>
      <c r="K1050" s="2" t="s">
        <v>20</v>
      </c>
      <c r="L1050" s="4" t="s">
        <v>2733</v>
      </c>
    </row>
    <row r="1051" customFormat="false" ht="15.65" hidden="false" customHeight="true" outlineLevel="0" collapsed="false">
      <c r="A1051" s="5" t="str">
        <f aca="false">HYPERLINK("https://www.fabsurplus.com/sdi_catalog/salesItemDetails.do?id=77021")</f>
        <v>https://www.fabsurplus.com/sdi_catalog/salesItemDetails.do?id=77021</v>
      </c>
      <c r="B1051" s="5" t="s">
        <v>2734</v>
      </c>
      <c r="C1051" s="5" t="s">
        <v>14</v>
      </c>
      <c r="D1051" s="5" t="s">
        <v>2735</v>
      </c>
      <c r="E1051" s="5" t="s">
        <v>2735</v>
      </c>
      <c r="F1051" s="5" t="s">
        <v>16</v>
      </c>
      <c r="G1051" s="5" t="s">
        <v>17</v>
      </c>
      <c r="H1051" s="5" t="s">
        <v>18</v>
      </c>
      <c r="I1051" s="6" t="n">
        <v>37195.9583333333</v>
      </c>
      <c r="J1051" s="5" t="s">
        <v>19</v>
      </c>
      <c r="K1051" s="5" t="s">
        <v>20</v>
      </c>
      <c r="L1051" s="7" t="s">
        <v>2736</v>
      </c>
    </row>
    <row r="1052" customFormat="false" ht="15.65" hidden="false" customHeight="true" outlineLevel="0" collapsed="false">
      <c r="A1052" s="2" t="str">
        <f aca="false">HYPERLINK("https://www.fabsurplus.com/sdi_catalog/salesItemDetails.do?id=77022")</f>
        <v>https://www.fabsurplus.com/sdi_catalog/salesItemDetails.do?id=77022</v>
      </c>
      <c r="B1052" s="2" t="s">
        <v>2737</v>
      </c>
      <c r="C1052" s="2" t="s">
        <v>14</v>
      </c>
      <c r="D1052" s="2" t="s">
        <v>2738</v>
      </c>
      <c r="E1052" s="2" t="s">
        <v>2735</v>
      </c>
      <c r="F1052" s="2" t="s">
        <v>16</v>
      </c>
      <c r="G1052" s="2" t="s">
        <v>17</v>
      </c>
      <c r="H1052" s="2" t="s">
        <v>18</v>
      </c>
      <c r="I1052" s="3" t="n">
        <v>37195.9583333333</v>
      </c>
      <c r="J1052" s="2" t="s">
        <v>19</v>
      </c>
      <c r="K1052" s="2" t="s">
        <v>20</v>
      </c>
      <c r="L1052" s="4" t="s">
        <v>2739</v>
      </c>
    </row>
    <row r="1053" customFormat="false" ht="15.65" hidden="false" customHeight="true" outlineLevel="0" collapsed="false">
      <c r="A1053" s="5" t="str">
        <f aca="false">HYPERLINK("https://www.fabsurplus.com/sdi_catalog/salesItemDetails.do?id=108730")</f>
        <v>https://www.fabsurplus.com/sdi_catalog/salesItemDetails.do?id=108730</v>
      </c>
      <c r="B1053" s="5" t="s">
        <v>2740</v>
      </c>
      <c r="C1053" s="5" t="s">
        <v>2741</v>
      </c>
      <c r="D1053" s="5" t="s">
        <v>2742</v>
      </c>
      <c r="E1053" s="5" t="s">
        <v>2743</v>
      </c>
      <c r="F1053" s="5" t="s">
        <v>16</v>
      </c>
      <c r="G1053" s="5"/>
      <c r="H1053" s="5"/>
      <c r="I1053" s="5"/>
      <c r="J1053" s="5" t="s">
        <v>19</v>
      </c>
      <c r="K1053" s="5"/>
      <c r="L1053" s="5"/>
    </row>
    <row r="1054" customFormat="false" ht="15.65" hidden="false" customHeight="true" outlineLevel="0" collapsed="false">
      <c r="A1054" s="2" t="str">
        <f aca="false">HYPERLINK("https://www.fabsurplus.com/sdi_catalog/salesItemDetails.do?id=108731")</f>
        <v>https://www.fabsurplus.com/sdi_catalog/salesItemDetails.do?id=108731</v>
      </c>
      <c r="B1054" s="2" t="s">
        <v>2744</v>
      </c>
      <c r="C1054" s="2" t="s">
        <v>2741</v>
      </c>
      <c r="D1054" s="2" t="s">
        <v>2742</v>
      </c>
      <c r="E1054" s="2" t="s">
        <v>2745</v>
      </c>
      <c r="F1054" s="2" t="s">
        <v>16</v>
      </c>
      <c r="G1054" s="2"/>
      <c r="H1054" s="2"/>
      <c r="I1054" s="2"/>
      <c r="J1054" s="2" t="s">
        <v>19</v>
      </c>
      <c r="K1054" s="2"/>
      <c r="L1054" s="2"/>
    </row>
    <row r="1055" customFormat="false" ht="15.65" hidden="false" customHeight="true" outlineLevel="0" collapsed="false">
      <c r="A1055" s="5" t="str">
        <f aca="false">HYPERLINK("https://www.fabsurplus.com/sdi_catalog/salesItemDetails.do?id=108732")</f>
        <v>https://www.fabsurplus.com/sdi_catalog/salesItemDetails.do?id=108732</v>
      </c>
      <c r="B1055" s="5" t="s">
        <v>2746</v>
      </c>
      <c r="C1055" s="5" t="s">
        <v>2741</v>
      </c>
      <c r="D1055" s="5" t="s">
        <v>2747</v>
      </c>
      <c r="E1055" s="5" t="s">
        <v>2748</v>
      </c>
      <c r="F1055" s="5" t="s">
        <v>16</v>
      </c>
      <c r="G1055" s="5"/>
      <c r="H1055" s="5"/>
      <c r="I1055" s="5"/>
      <c r="J1055" s="5" t="s">
        <v>19</v>
      </c>
      <c r="K1055" s="5"/>
      <c r="L1055" s="5"/>
    </row>
    <row r="1056" customFormat="false" ht="15.65" hidden="false" customHeight="true" outlineLevel="0" collapsed="false">
      <c r="A1056" s="2" t="str">
        <f aca="false">HYPERLINK("https://www.fabsurplus.com/sdi_catalog/salesItemDetails.do?id=108733")</f>
        <v>https://www.fabsurplus.com/sdi_catalog/salesItemDetails.do?id=108733</v>
      </c>
      <c r="B1056" s="2" t="s">
        <v>2749</v>
      </c>
      <c r="C1056" s="2" t="s">
        <v>2741</v>
      </c>
      <c r="D1056" s="2" t="s">
        <v>2750</v>
      </c>
      <c r="E1056" s="2" t="s">
        <v>2751</v>
      </c>
      <c r="F1056" s="2" t="s">
        <v>16</v>
      </c>
      <c r="G1056" s="2"/>
      <c r="H1056" s="2"/>
      <c r="I1056" s="2"/>
      <c r="J1056" s="2" t="s">
        <v>19</v>
      </c>
      <c r="K1056" s="2"/>
      <c r="L1056" s="2"/>
    </row>
    <row r="1057" customFormat="false" ht="15.65" hidden="false" customHeight="true" outlineLevel="0" collapsed="false">
      <c r="A1057" s="5" t="str">
        <f aca="false">HYPERLINK("https://www.fabsurplus.com/sdi_catalog/salesItemDetails.do?id=109949")</f>
        <v>https://www.fabsurplus.com/sdi_catalog/salesItemDetails.do?id=109949</v>
      </c>
      <c r="B1057" s="5" t="s">
        <v>2752</v>
      </c>
      <c r="C1057" s="5" t="s">
        <v>2753</v>
      </c>
      <c r="D1057" s="5" t="s">
        <v>2754</v>
      </c>
      <c r="E1057" s="5" t="s">
        <v>2755</v>
      </c>
      <c r="F1057" s="5" t="s">
        <v>16</v>
      </c>
      <c r="G1057" s="5" t="s">
        <v>165</v>
      </c>
      <c r="H1057" s="5"/>
      <c r="I1057" s="5"/>
      <c r="J1057" s="5" t="s">
        <v>42</v>
      </c>
      <c r="K1057" s="5"/>
      <c r="L1057" s="5" t="s">
        <v>2756</v>
      </c>
    </row>
    <row r="1058" customFormat="false" ht="15.65" hidden="false" customHeight="true" outlineLevel="0" collapsed="false">
      <c r="A1058" s="2" t="str">
        <f aca="false">HYPERLINK("https://www.fabsurplus.com/sdi_catalog/salesItemDetails.do?id=109950")</f>
        <v>https://www.fabsurplus.com/sdi_catalog/salesItemDetails.do?id=109950</v>
      </c>
      <c r="B1058" s="2" t="s">
        <v>2757</v>
      </c>
      <c r="C1058" s="2" t="s">
        <v>2753</v>
      </c>
      <c r="D1058" s="2" t="s">
        <v>2754</v>
      </c>
      <c r="E1058" s="2" t="s">
        <v>2755</v>
      </c>
      <c r="F1058" s="2" t="s">
        <v>16</v>
      </c>
      <c r="G1058" s="2" t="s">
        <v>165</v>
      </c>
      <c r="H1058" s="2"/>
      <c r="I1058" s="2"/>
      <c r="J1058" s="2" t="s">
        <v>42</v>
      </c>
      <c r="K1058" s="2"/>
      <c r="L1058" s="2" t="s">
        <v>2756</v>
      </c>
    </row>
    <row r="1059" customFormat="false" ht="15.65" hidden="false" customHeight="true" outlineLevel="0" collapsed="false">
      <c r="A1059" s="5" t="str">
        <f aca="false">HYPERLINK("https://www.fabsurplus.com/sdi_catalog/salesItemDetails.do?id=109951")</f>
        <v>https://www.fabsurplus.com/sdi_catalog/salesItemDetails.do?id=109951</v>
      </c>
      <c r="B1059" s="5" t="s">
        <v>2758</v>
      </c>
      <c r="C1059" s="5" t="s">
        <v>2753</v>
      </c>
      <c r="D1059" s="5" t="s">
        <v>2754</v>
      </c>
      <c r="E1059" s="5" t="s">
        <v>2755</v>
      </c>
      <c r="F1059" s="5" t="s">
        <v>16</v>
      </c>
      <c r="G1059" s="5" t="s">
        <v>165</v>
      </c>
      <c r="H1059" s="5"/>
      <c r="I1059" s="5"/>
      <c r="J1059" s="5" t="s">
        <v>42</v>
      </c>
      <c r="K1059" s="5"/>
      <c r="L1059" s="5" t="s">
        <v>2756</v>
      </c>
    </row>
    <row r="1060" customFormat="false" ht="15.65" hidden="false" customHeight="true" outlineLevel="0" collapsed="false">
      <c r="A1060" s="2" t="str">
        <f aca="false">HYPERLINK("https://www.fabsurplus.com/sdi_catalog/salesItemDetails.do?id=109952")</f>
        <v>https://www.fabsurplus.com/sdi_catalog/salesItemDetails.do?id=109952</v>
      </c>
      <c r="B1060" s="2" t="s">
        <v>2759</v>
      </c>
      <c r="C1060" s="2" t="s">
        <v>2753</v>
      </c>
      <c r="D1060" s="2" t="s">
        <v>2754</v>
      </c>
      <c r="E1060" s="2" t="s">
        <v>2755</v>
      </c>
      <c r="F1060" s="2" t="s">
        <v>16</v>
      </c>
      <c r="G1060" s="2" t="s">
        <v>165</v>
      </c>
      <c r="H1060" s="2"/>
      <c r="I1060" s="2"/>
      <c r="J1060" s="2" t="s">
        <v>42</v>
      </c>
      <c r="K1060" s="2"/>
      <c r="L1060" s="2" t="s">
        <v>2756</v>
      </c>
    </row>
    <row r="1061" customFormat="false" ht="15.65" hidden="false" customHeight="true" outlineLevel="0" collapsed="false">
      <c r="A1061" s="5" t="str">
        <f aca="false">HYPERLINK("https://www.fabsurplus.com/sdi_catalog/salesItemDetails.do?id=83589")</f>
        <v>https://www.fabsurplus.com/sdi_catalog/salesItemDetails.do?id=83589</v>
      </c>
      <c r="B1061" s="5" t="s">
        <v>2760</v>
      </c>
      <c r="C1061" s="5" t="s">
        <v>2761</v>
      </c>
      <c r="D1061" s="5" t="s">
        <v>2762</v>
      </c>
      <c r="E1061" s="5" t="s">
        <v>2763</v>
      </c>
      <c r="F1061" s="5" t="s">
        <v>16</v>
      </c>
      <c r="G1061" s="5" t="s">
        <v>104</v>
      </c>
      <c r="H1061" s="5" t="s">
        <v>32</v>
      </c>
      <c r="I1061" s="5"/>
      <c r="J1061" s="5" t="s">
        <v>19</v>
      </c>
      <c r="K1061" s="5" t="s">
        <v>20</v>
      </c>
      <c r="L1061" s="7" t="s">
        <v>2764</v>
      </c>
    </row>
    <row r="1062" customFormat="false" ht="15.65" hidden="false" customHeight="true" outlineLevel="0" collapsed="false">
      <c r="A1062" s="2" t="str">
        <f aca="false">HYPERLINK("https://www.fabsurplus.com/sdi_catalog/salesItemDetails.do?id=83594")</f>
        <v>https://www.fabsurplus.com/sdi_catalog/salesItemDetails.do?id=83594</v>
      </c>
      <c r="B1062" s="2" t="s">
        <v>2765</v>
      </c>
      <c r="C1062" s="2" t="s">
        <v>2761</v>
      </c>
      <c r="D1062" s="2" t="s">
        <v>2766</v>
      </c>
      <c r="E1062" s="2" t="s">
        <v>1352</v>
      </c>
      <c r="F1062" s="2" t="s">
        <v>16</v>
      </c>
      <c r="G1062" s="2"/>
      <c r="H1062" s="2" t="s">
        <v>18</v>
      </c>
      <c r="I1062" s="2"/>
      <c r="J1062" s="2" t="s">
        <v>19</v>
      </c>
      <c r="K1062" s="2" t="s">
        <v>20</v>
      </c>
      <c r="L1062" s="2" t="s">
        <v>2767</v>
      </c>
    </row>
    <row r="1063" customFormat="false" ht="15.65" hidden="false" customHeight="true" outlineLevel="0" collapsed="false">
      <c r="A1063" s="5" t="str">
        <f aca="false">HYPERLINK("https://www.fabsurplus.com/sdi_catalog/salesItemDetails.do?id=84213")</f>
        <v>https://www.fabsurplus.com/sdi_catalog/salesItemDetails.do?id=84213</v>
      </c>
      <c r="B1063" s="5" t="s">
        <v>2768</v>
      </c>
      <c r="C1063" s="5" t="s">
        <v>2761</v>
      </c>
      <c r="D1063" s="5" t="s">
        <v>2769</v>
      </c>
      <c r="E1063" s="5" t="s">
        <v>2770</v>
      </c>
      <c r="F1063" s="5" t="s">
        <v>151</v>
      </c>
      <c r="G1063" s="5" t="s">
        <v>104</v>
      </c>
      <c r="H1063" s="5" t="s">
        <v>32</v>
      </c>
      <c r="I1063" s="5"/>
      <c r="J1063" s="5" t="s">
        <v>19</v>
      </c>
      <c r="K1063" s="5" t="s">
        <v>20</v>
      </c>
      <c r="L1063" s="7" t="s">
        <v>2771</v>
      </c>
    </row>
    <row r="1064" customFormat="false" ht="15.65" hidden="false" customHeight="true" outlineLevel="0" collapsed="false">
      <c r="A1064" s="2" t="str">
        <f aca="false">HYPERLINK("https://www.fabsurplus.com/sdi_catalog/salesItemDetails.do?id=84379")</f>
        <v>https://www.fabsurplus.com/sdi_catalog/salesItemDetails.do?id=84379</v>
      </c>
      <c r="B1064" s="2" t="s">
        <v>2772</v>
      </c>
      <c r="C1064" s="2" t="s">
        <v>2773</v>
      </c>
      <c r="D1064" s="2" t="s">
        <v>2774</v>
      </c>
      <c r="E1064" s="2" t="s">
        <v>2775</v>
      </c>
      <c r="F1064" s="2" t="s">
        <v>16</v>
      </c>
      <c r="G1064" s="2"/>
      <c r="H1064" s="2" t="s">
        <v>18</v>
      </c>
      <c r="I1064" s="2"/>
      <c r="J1064" s="2" t="s">
        <v>19</v>
      </c>
      <c r="K1064" s="2" t="s">
        <v>20</v>
      </c>
      <c r="L1064" s="4" t="s">
        <v>2776</v>
      </c>
    </row>
    <row r="1065" customFormat="false" ht="15.65" hidden="false" customHeight="true" outlineLevel="0" collapsed="false">
      <c r="A1065" s="5" t="str">
        <f aca="false">HYPERLINK("https://www.fabsurplus.com/sdi_catalog/salesItemDetails.do?id=77095")</f>
        <v>https://www.fabsurplus.com/sdi_catalog/salesItemDetails.do?id=77095</v>
      </c>
      <c r="B1065" s="5" t="s">
        <v>2777</v>
      </c>
      <c r="C1065" s="5" t="s">
        <v>2778</v>
      </c>
      <c r="D1065" s="5" t="s">
        <v>2779</v>
      </c>
      <c r="E1065" s="5" t="s">
        <v>2780</v>
      </c>
      <c r="F1065" s="5" t="s">
        <v>16</v>
      </c>
      <c r="G1065" s="5"/>
      <c r="H1065" s="5"/>
      <c r="I1065" s="5"/>
      <c r="J1065" s="5" t="s">
        <v>19</v>
      </c>
      <c r="K1065" s="5"/>
      <c r="L1065" s="5"/>
    </row>
    <row r="1066" customFormat="false" ht="15.65" hidden="false" customHeight="true" outlineLevel="0" collapsed="false">
      <c r="A1066" s="2" t="str">
        <f aca="false">HYPERLINK("https://www.fabsurplus.com/sdi_catalog/salesItemDetails.do?id=98718")</f>
        <v>https://www.fabsurplus.com/sdi_catalog/salesItemDetails.do?id=98718</v>
      </c>
      <c r="B1066" s="2" t="s">
        <v>2781</v>
      </c>
      <c r="C1066" s="2" t="s">
        <v>2782</v>
      </c>
      <c r="D1066" s="2" t="s">
        <v>2783</v>
      </c>
      <c r="E1066" s="2" t="s">
        <v>2784</v>
      </c>
      <c r="F1066" s="2" t="s">
        <v>16</v>
      </c>
      <c r="G1066" s="2" t="s">
        <v>31</v>
      </c>
      <c r="H1066" s="2" t="s">
        <v>2785</v>
      </c>
      <c r="I1066" s="3" t="n">
        <v>39599.9166666667</v>
      </c>
      <c r="J1066" s="2" t="s">
        <v>19</v>
      </c>
      <c r="K1066" s="2" t="s">
        <v>20</v>
      </c>
      <c r="L1066" s="2" t="s">
        <v>2786</v>
      </c>
    </row>
    <row r="1067" customFormat="false" ht="15.65" hidden="false" customHeight="true" outlineLevel="0" collapsed="false">
      <c r="A1067" s="5" t="str">
        <f aca="false">HYPERLINK("https://www.fabsurplus.com/sdi_catalog/salesItemDetails.do?id=108266")</f>
        <v>https://www.fabsurplus.com/sdi_catalog/salesItemDetails.do?id=108266</v>
      </c>
      <c r="B1067" s="5" t="s">
        <v>2787</v>
      </c>
      <c r="C1067" s="5" t="s">
        <v>2788</v>
      </c>
      <c r="D1067" s="5" t="s">
        <v>2789</v>
      </c>
      <c r="E1067" s="5" t="s">
        <v>2790</v>
      </c>
      <c r="F1067" s="5" t="s">
        <v>16</v>
      </c>
      <c r="G1067" s="5" t="s">
        <v>2327</v>
      </c>
      <c r="H1067" s="5"/>
      <c r="I1067" s="6" t="n">
        <v>41791</v>
      </c>
      <c r="J1067" s="5" t="s">
        <v>19</v>
      </c>
      <c r="K1067" s="5"/>
      <c r="L1067" s="5" t="s">
        <v>2791</v>
      </c>
    </row>
    <row r="1068" customFormat="false" ht="15.65" hidden="false" customHeight="true" outlineLevel="0" collapsed="false">
      <c r="A1068" s="2" t="str">
        <f aca="false">HYPERLINK("https://www.fabsurplus.com/sdi_catalog/salesItemDetails.do?id=77169")</f>
        <v>https://www.fabsurplus.com/sdi_catalog/salesItemDetails.do?id=77169</v>
      </c>
      <c r="B1068" s="2" t="s">
        <v>2792</v>
      </c>
      <c r="C1068" s="2" t="s">
        <v>2793</v>
      </c>
      <c r="D1068" s="2" t="s">
        <v>2794</v>
      </c>
      <c r="E1068" s="2" t="s">
        <v>2795</v>
      </c>
      <c r="F1068" s="2" t="s">
        <v>16</v>
      </c>
      <c r="G1068" s="2" t="s">
        <v>104</v>
      </c>
      <c r="H1068" s="2" t="s">
        <v>1395</v>
      </c>
      <c r="I1068" s="2"/>
      <c r="J1068" s="2" t="s">
        <v>19</v>
      </c>
      <c r="K1068" s="2" t="s">
        <v>20</v>
      </c>
      <c r="L1068" s="4" t="s">
        <v>2796</v>
      </c>
    </row>
    <row r="1069" customFormat="false" ht="15.65" hidden="false" customHeight="true" outlineLevel="0" collapsed="false">
      <c r="A1069" s="5" t="str">
        <f aca="false">HYPERLINK("https://www.fabsurplus.com/sdi_catalog/salesItemDetails.do?id=77170")</f>
        <v>https://www.fabsurplus.com/sdi_catalog/salesItemDetails.do?id=77170</v>
      </c>
      <c r="B1069" s="5" t="s">
        <v>2797</v>
      </c>
      <c r="C1069" s="5" t="s">
        <v>2793</v>
      </c>
      <c r="D1069" s="5" t="s">
        <v>2798</v>
      </c>
      <c r="E1069" s="5" t="s">
        <v>2795</v>
      </c>
      <c r="F1069" s="5" t="s">
        <v>16</v>
      </c>
      <c r="G1069" s="5" t="s">
        <v>104</v>
      </c>
      <c r="H1069" s="5" t="s">
        <v>1395</v>
      </c>
      <c r="I1069" s="5"/>
      <c r="J1069" s="5" t="s">
        <v>19</v>
      </c>
      <c r="K1069" s="5" t="s">
        <v>20</v>
      </c>
      <c r="L1069" s="7" t="s">
        <v>2796</v>
      </c>
    </row>
    <row r="1070" customFormat="false" ht="15.65" hidden="false" customHeight="true" outlineLevel="0" collapsed="false">
      <c r="A1070" s="2" t="str">
        <f aca="false">HYPERLINK("https://www.fabsurplus.com/sdi_catalog/salesItemDetails.do?id=110597")</f>
        <v>https://www.fabsurplus.com/sdi_catalog/salesItemDetails.do?id=110597</v>
      </c>
      <c r="B1070" s="2" t="s">
        <v>2799</v>
      </c>
      <c r="C1070" s="2" t="s">
        <v>2800</v>
      </c>
      <c r="D1070" s="2" t="s">
        <v>2801</v>
      </c>
      <c r="E1070" s="2" t="s">
        <v>2802</v>
      </c>
      <c r="F1070" s="2" t="s">
        <v>16</v>
      </c>
      <c r="G1070" s="2" t="s">
        <v>2803</v>
      </c>
      <c r="H1070" s="2" t="s">
        <v>32</v>
      </c>
      <c r="I1070" s="2"/>
      <c r="J1070" s="2"/>
      <c r="K1070" s="2"/>
      <c r="L1070" s="4" t="s">
        <v>2804</v>
      </c>
    </row>
    <row r="1071" customFormat="false" ht="15.65" hidden="false" customHeight="true" outlineLevel="0" collapsed="false">
      <c r="A1071" s="5" t="str">
        <f aca="false">HYPERLINK("https://www.fabsurplus.com/sdi_catalog/salesItemDetails.do?id=108800")</f>
        <v>https://www.fabsurplus.com/sdi_catalog/salesItemDetails.do?id=108800</v>
      </c>
      <c r="B1071" s="5" t="s">
        <v>2805</v>
      </c>
      <c r="C1071" s="5" t="s">
        <v>2806</v>
      </c>
      <c r="D1071" s="5" t="s">
        <v>2807</v>
      </c>
      <c r="E1071" s="5" t="s">
        <v>2808</v>
      </c>
      <c r="F1071" s="5" t="s">
        <v>16</v>
      </c>
      <c r="G1071" s="5"/>
      <c r="H1071" s="5"/>
      <c r="I1071" s="5"/>
      <c r="J1071" s="5" t="s">
        <v>42</v>
      </c>
      <c r="K1071" s="5"/>
      <c r="L1071" s="5" t="s">
        <v>131</v>
      </c>
    </row>
    <row r="1072" customFormat="false" ht="15.65" hidden="false" customHeight="true" outlineLevel="0" collapsed="false">
      <c r="A1072" s="2" t="str">
        <f aca="false">HYPERLINK("https://www.fabsurplus.com/sdi_catalog/salesItemDetails.do?id=108801")</f>
        <v>https://www.fabsurplus.com/sdi_catalog/salesItemDetails.do?id=108801</v>
      </c>
      <c r="B1072" s="2" t="s">
        <v>2809</v>
      </c>
      <c r="C1072" s="2" t="s">
        <v>2806</v>
      </c>
      <c r="D1072" s="2" t="s">
        <v>2810</v>
      </c>
      <c r="E1072" s="2" t="s">
        <v>2811</v>
      </c>
      <c r="F1072" s="2" t="s">
        <v>16</v>
      </c>
      <c r="G1072" s="2"/>
      <c r="H1072" s="2"/>
      <c r="I1072" s="2"/>
      <c r="J1072" s="2" t="s">
        <v>42</v>
      </c>
      <c r="K1072" s="2"/>
      <c r="L1072" s="2" t="s">
        <v>131</v>
      </c>
    </row>
    <row r="1073" customFormat="false" ht="15.65" hidden="false" customHeight="true" outlineLevel="0" collapsed="false">
      <c r="A1073" s="5" t="str">
        <f aca="false">HYPERLINK("https://www.fabsurplus.com/sdi_catalog/salesItemDetails.do?id=108802")</f>
        <v>https://www.fabsurplus.com/sdi_catalog/salesItemDetails.do?id=108802</v>
      </c>
      <c r="B1073" s="5" t="s">
        <v>2812</v>
      </c>
      <c r="C1073" s="5" t="s">
        <v>2806</v>
      </c>
      <c r="D1073" s="5" t="s">
        <v>2813</v>
      </c>
      <c r="E1073" s="5" t="s">
        <v>2814</v>
      </c>
      <c r="F1073" s="5" t="s">
        <v>16</v>
      </c>
      <c r="G1073" s="5"/>
      <c r="H1073" s="5"/>
      <c r="I1073" s="5"/>
      <c r="J1073" s="5" t="s">
        <v>42</v>
      </c>
      <c r="K1073" s="5"/>
      <c r="L1073" s="5" t="s">
        <v>131</v>
      </c>
    </row>
    <row r="1074" customFormat="false" ht="15.65" hidden="false" customHeight="true" outlineLevel="0" collapsed="false">
      <c r="A1074" s="2" t="str">
        <f aca="false">HYPERLINK("https://www.fabsurplus.com/sdi_catalog/salesItemDetails.do?id=108734")</f>
        <v>https://www.fabsurplus.com/sdi_catalog/salesItemDetails.do?id=108734</v>
      </c>
      <c r="B1074" s="2" t="s">
        <v>2815</v>
      </c>
      <c r="C1074" s="2" t="s">
        <v>2816</v>
      </c>
      <c r="D1074" s="2" t="s">
        <v>2813</v>
      </c>
      <c r="E1074" s="2" t="s">
        <v>2817</v>
      </c>
      <c r="F1074" s="2" t="s">
        <v>16</v>
      </c>
      <c r="G1074" s="2"/>
      <c r="H1074" s="2" t="s">
        <v>275</v>
      </c>
      <c r="I1074" s="2"/>
      <c r="J1074" s="2" t="s">
        <v>286</v>
      </c>
      <c r="K1074" s="2" t="s">
        <v>1560</v>
      </c>
      <c r="L1074" s="2"/>
    </row>
    <row r="1075" customFormat="false" ht="15.65" hidden="false" customHeight="true" outlineLevel="0" collapsed="false">
      <c r="A1075" s="5" t="str">
        <f aca="false">HYPERLINK("https://www.fabsurplus.com/sdi_catalog/salesItemDetails.do?id=108735")</f>
        <v>https://www.fabsurplus.com/sdi_catalog/salesItemDetails.do?id=108735</v>
      </c>
      <c r="B1075" s="5" t="s">
        <v>2818</v>
      </c>
      <c r="C1075" s="5" t="s">
        <v>2816</v>
      </c>
      <c r="D1075" s="5" t="s">
        <v>2819</v>
      </c>
      <c r="E1075" s="5" t="s">
        <v>2820</v>
      </c>
      <c r="F1075" s="5" t="s">
        <v>16</v>
      </c>
      <c r="G1075" s="5" t="s">
        <v>2821</v>
      </c>
      <c r="H1075" s="5" t="s">
        <v>18</v>
      </c>
      <c r="I1075" s="6" t="n">
        <v>38108</v>
      </c>
      <c r="J1075" s="5" t="s">
        <v>19</v>
      </c>
      <c r="K1075" s="5" t="s">
        <v>20</v>
      </c>
      <c r="L1075" s="7" t="s">
        <v>2822</v>
      </c>
    </row>
    <row r="1076" customFormat="false" ht="15.65" hidden="false" customHeight="true" outlineLevel="0" collapsed="false">
      <c r="A1076" s="2" t="str">
        <f aca="false">HYPERLINK("https://www.fabsurplus.com/sdi_catalog/salesItemDetails.do?id=108736")</f>
        <v>https://www.fabsurplus.com/sdi_catalog/salesItemDetails.do?id=108736</v>
      </c>
      <c r="B1076" s="2" t="s">
        <v>2823</v>
      </c>
      <c r="C1076" s="2" t="s">
        <v>2816</v>
      </c>
      <c r="D1076" s="2" t="s">
        <v>2824</v>
      </c>
      <c r="E1076" s="2" t="s">
        <v>2820</v>
      </c>
      <c r="F1076" s="2" t="s">
        <v>16</v>
      </c>
      <c r="G1076" s="2"/>
      <c r="H1076" s="2" t="s">
        <v>32</v>
      </c>
      <c r="I1076" s="2"/>
      <c r="J1076" s="2" t="s">
        <v>19</v>
      </c>
      <c r="K1076" s="2" t="s">
        <v>20</v>
      </c>
      <c r="L1076" s="4" t="s">
        <v>2825</v>
      </c>
    </row>
    <row r="1077" customFormat="false" ht="15.65" hidden="false" customHeight="true" outlineLevel="0" collapsed="false">
      <c r="A1077" s="5" t="str">
        <f aca="false">HYPERLINK("https://www.fabsurplus.com/sdi_catalog/salesItemDetails.do?id=108737")</f>
        <v>https://www.fabsurplus.com/sdi_catalog/salesItemDetails.do?id=108737</v>
      </c>
      <c r="B1077" s="5" t="s">
        <v>2826</v>
      </c>
      <c r="C1077" s="5" t="s">
        <v>2827</v>
      </c>
      <c r="D1077" s="5" t="s">
        <v>2828</v>
      </c>
      <c r="E1077" s="5" t="s">
        <v>2811</v>
      </c>
      <c r="F1077" s="5" t="s">
        <v>151</v>
      </c>
      <c r="G1077" s="5" t="s">
        <v>38</v>
      </c>
      <c r="H1077" s="5" t="s">
        <v>32</v>
      </c>
      <c r="I1077" s="5"/>
      <c r="J1077" s="5" t="s">
        <v>19</v>
      </c>
      <c r="K1077" s="5" t="s">
        <v>20</v>
      </c>
      <c r="L1077" s="5" t="s">
        <v>2811</v>
      </c>
    </row>
    <row r="1078" customFormat="false" ht="15.65" hidden="false" customHeight="true" outlineLevel="0" collapsed="false">
      <c r="A1078" s="2" t="str">
        <f aca="false">HYPERLINK("https://www.fabsurplus.com/sdi_catalog/salesItemDetails.do?id=109953")</f>
        <v>https://www.fabsurplus.com/sdi_catalog/salesItemDetails.do?id=109953</v>
      </c>
      <c r="B1078" s="2" t="s">
        <v>2829</v>
      </c>
      <c r="C1078" s="2" t="s">
        <v>2830</v>
      </c>
      <c r="D1078" s="2" t="s">
        <v>2831</v>
      </c>
      <c r="E1078" s="2" t="s">
        <v>164</v>
      </c>
      <c r="F1078" s="2" t="s">
        <v>16</v>
      </c>
      <c r="G1078" s="2" t="s">
        <v>165</v>
      </c>
      <c r="H1078" s="2"/>
      <c r="I1078" s="2"/>
      <c r="J1078" s="2" t="s">
        <v>42</v>
      </c>
      <c r="K1078" s="2"/>
      <c r="L1078" s="2" t="s">
        <v>2832</v>
      </c>
    </row>
    <row r="1079" customFormat="false" ht="15.65" hidden="false" customHeight="true" outlineLevel="0" collapsed="false">
      <c r="A1079" s="5" t="str">
        <f aca="false">HYPERLINK("https://www.fabsurplus.com/sdi_catalog/salesItemDetails.do?id=109954")</f>
        <v>https://www.fabsurplus.com/sdi_catalog/salesItemDetails.do?id=109954</v>
      </c>
      <c r="B1079" s="5" t="s">
        <v>2833</v>
      </c>
      <c r="C1079" s="5" t="s">
        <v>2830</v>
      </c>
      <c r="D1079" s="5" t="s">
        <v>1371</v>
      </c>
      <c r="E1079" s="5" t="s">
        <v>164</v>
      </c>
      <c r="F1079" s="5" t="s">
        <v>16</v>
      </c>
      <c r="G1079" s="5" t="s">
        <v>165</v>
      </c>
      <c r="H1079" s="5"/>
      <c r="I1079" s="5"/>
      <c r="J1079" s="5" t="s">
        <v>42</v>
      </c>
      <c r="K1079" s="5"/>
      <c r="L1079" s="5" t="s">
        <v>2834</v>
      </c>
    </row>
    <row r="1080" customFormat="false" ht="15.65" hidden="false" customHeight="true" outlineLevel="0" collapsed="false">
      <c r="A1080" s="2" t="str">
        <f aca="false">HYPERLINK("https://www.fabsurplus.com/sdi_catalog/salesItemDetails.do?id=109955")</f>
        <v>https://www.fabsurplus.com/sdi_catalog/salesItemDetails.do?id=109955</v>
      </c>
      <c r="B1080" s="2" t="s">
        <v>2835</v>
      </c>
      <c r="C1080" s="2" t="s">
        <v>2836</v>
      </c>
      <c r="D1080" s="2" t="s">
        <v>2837</v>
      </c>
      <c r="E1080" s="2" t="s">
        <v>164</v>
      </c>
      <c r="F1080" s="2" t="s">
        <v>16</v>
      </c>
      <c r="G1080" s="2" t="s">
        <v>165</v>
      </c>
      <c r="H1080" s="2"/>
      <c r="I1080" s="2"/>
      <c r="J1080" s="2" t="s">
        <v>42</v>
      </c>
      <c r="K1080" s="2"/>
      <c r="L1080" s="2" t="s">
        <v>2838</v>
      </c>
    </row>
    <row r="1081" customFormat="false" ht="15.65" hidden="false" customHeight="true" outlineLevel="0" collapsed="false">
      <c r="A1081" s="5" t="str">
        <f aca="false">HYPERLINK("https://www.fabsurplus.com/sdi_catalog/salesItemDetails.do?id=109956")</f>
        <v>https://www.fabsurplus.com/sdi_catalog/salesItemDetails.do?id=109956</v>
      </c>
      <c r="B1081" s="5" t="s">
        <v>2839</v>
      </c>
      <c r="C1081" s="5" t="s">
        <v>2830</v>
      </c>
      <c r="D1081" s="5" t="s">
        <v>2837</v>
      </c>
      <c r="E1081" s="5" t="s">
        <v>164</v>
      </c>
      <c r="F1081" s="5" t="s">
        <v>16</v>
      </c>
      <c r="G1081" s="5" t="s">
        <v>165</v>
      </c>
      <c r="H1081" s="5"/>
      <c r="I1081" s="5"/>
      <c r="J1081" s="5" t="s">
        <v>42</v>
      </c>
      <c r="K1081" s="5"/>
      <c r="L1081" s="5" t="s">
        <v>2840</v>
      </c>
    </row>
    <row r="1082" customFormat="false" ht="15.65" hidden="false" customHeight="true" outlineLevel="0" collapsed="false">
      <c r="A1082" s="2" t="str">
        <f aca="false">HYPERLINK("https://www.fabsurplus.com/sdi_catalog/salesItemDetails.do?id=109957")</f>
        <v>https://www.fabsurplus.com/sdi_catalog/salesItemDetails.do?id=109957</v>
      </c>
      <c r="B1082" s="2" t="s">
        <v>2841</v>
      </c>
      <c r="C1082" s="2" t="s">
        <v>2830</v>
      </c>
      <c r="D1082" s="2" t="s">
        <v>2837</v>
      </c>
      <c r="E1082" s="2" t="s">
        <v>164</v>
      </c>
      <c r="F1082" s="2" t="s">
        <v>16</v>
      </c>
      <c r="G1082" s="2" t="s">
        <v>165</v>
      </c>
      <c r="H1082" s="2"/>
      <c r="I1082" s="2"/>
      <c r="J1082" s="2" t="s">
        <v>42</v>
      </c>
      <c r="K1082" s="2"/>
      <c r="L1082" s="2" t="s">
        <v>2842</v>
      </c>
    </row>
    <row r="1083" customFormat="false" ht="15.65" hidden="false" customHeight="true" outlineLevel="0" collapsed="false">
      <c r="A1083" s="5" t="str">
        <f aca="false">HYPERLINK("https://www.fabsurplus.com/sdi_catalog/salesItemDetails.do?id=109958")</f>
        <v>https://www.fabsurplus.com/sdi_catalog/salesItemDetails.do?id=109958</v>
      </c>
      <c r="B1083" s="5" t="s">
        <v>2843</v>
      </c>
      <c r="C1083" s="5" t="s">
        <v>2836</v>
      </c>
      <c r="D1083" s="5" t="s">
        <v>662</v>
      </c>
      <c r="E1083" s="5" t="s">
        <v>164</v>
      </c>
      <c r="F1083" s="5" t="s">
        <v>16</v>
      </c>
      <c r="G1083" s="5" t="s">
        <v>165</v>
      </c>
      <c r="H1083" s="5"/>
      <c r="I1083" s="5"/>
      <c r="J1083" s="5" t="s">
        <v>42</v>
      </c>
      <c r="K1083" s="5"/>
      <c r="L1083" s="5" t="s">
        <v>2844</v>
      </c>
    </row>
    <row r="1084" customFormat="false" ht="15.65" hidden="false" customHeight="true" outlineLevel="0" collapsed="false">
      <c r="A1084" s="2" t="str">
        <f aca="false">HYPERLINK("https://www.fabsurplus.com/sdi_catalog/salesItemDetails.do?id=109959")</f>
        <v>https://www.fabsurplus.com/sdi_catalog/salesItemDetails.do?id=109959</v>
      </c>
      <c r="B1084" s="2" t="s">
        <v>2845</v>
      </c>
      <c r="C1084" s="2" t="s">
        <v>2830</v>
      </c>
      <c r="D1084" s="2" t="s">
        <v>662</v>
      </c>
      <c r="E1084" s="2" t="s">
        <v>164</v>
      </c>
      <c r="F1084" s="2" t="s">
        <v>16</v>
      </c>
      <c r="G1084" s="2" t="s">
        <v>165</v>
      </c>
      <c r="H1084" s="2"/>
      <c r="I1084" s="2"/>
      <c r="J1084" s="2" t="s">
        <v>42</v>
      </c>
      <c r="K1084" s="2"/>
      <c r="L1084" s="2" t="s">
        <v>2844</v>
      </c>
    </row>
    <row r="1085" customFormat="false" ht="15.65" hidden="false" customHeight="true" outlineLevel="0" collapsed="false">
      <c r="A1085" s="5" t="str">
        <f aca="false">HYPERLINK("https://www.fabsurplus.com/sdi_catalog/salesItemDetails.do?id=109960")</f>
        <v>https://www.fabsurplus.com/sdi_catalog/salesItemDetails.do?id=109960</v>
      </c>
      <c r="B1085" s="5" t="s">
        <v>2846</v>
      </c>
      <c r="C1085" s="5" t="s">
        <v>2830</v>
      </c>
      <c r="D1085" s="5" t="s">
        <v>662</v>
      </c>
      <c r="E1085" s="5" t="s">
        <v>164</v>
      </c>
      <c r="F1085" s="5" t="s">
        <v>16</v>
      </c>
      <c r="G1085" s="5" t="s">
        <v>165</v>
      </c>
      <c r="H1085" s="5"/>
      <c r="I1085" s="5"/>
      <c r="J1085" s="5" t="s">
        <v>42</v>
      </c>
      <c r="K1085" s="5"/>
      <c r="L1085" s="5" t="s">
        <v>2844</v>
      </c>
    </row>
    <row r="1086" customFormat="false" ht="15.65" hidden="false" customHeight="true" outlineLevel="0" collapsed="false">
      <c r="A1086" s="2" t="str">
        <f aca="false">HYPERLINK("https://www.fabsurplus.com/sdi_catalog/salesItemDetails.do?id=109961")</f>
        <v>https://www.fabsurplus.com/sdi_catalog/salesItemDetails.do?id=109961</v>
      </c>
      <c r="B1086" s="2" t="s">
        <v>2847</v>
      </c>
      <c r="C1086" s="2" t="s">
        <v>2830</v>
      </c>
      <c r="D1086" s="2" t="s">
        <v>662</v>
      </c>
      <c r="E1086" s="2" t="s">
        <v>164</v>
      </c>
      <c r="F1086" s="2" t="s">
        <v>16</v>
      </c>
      <c r="G1086" s="2" t="s">
        <v>165</v>
      </c>
      <c r="H1086" s="2"/>
      <c r="I1086" s="2"/>
      <c r="J1086" s="2" t="s">
        <v>42</v>
      </c>
      <c r="K1086" s="2"/>
      <c r="L1086" s="2" t="s">
        <v>2844</v>
      </c>
    </row>
    <row r="1087" customFormat="false" ht="15.65" hidden="false" customHeight="true" outlineLevel="0" collapsed="false">
      <c r="A1087" s="5" t="str">
        <f aca="false">HYPERLINK("https://www.fabsurplus.com/sdi_catalog/salesItemDetails.do?id=109962")</f>
        <v>https://www.fabsurplus.com/sdi_catalog/salesItemDetails.do?id=109962</v>
      </c>
      <c r="B1087" s="5" t="s">
        <v>2848</v>
      </c>
      <c r="C1087" s="5" t="s">
        <v>2830</v>
      </c>
      <c r="D1087" s="5" t="s">
        <v>662</v>
      </c>
      <c r="E1087" s="5" t="s">
        <v>164</v>
      </c>
      <c r="F1087" s="5" t="s">
        <v>16</v>
      </c>
      <c r="G1087" s="5" t="s">
        <v>165</v>
      </c>
      <c r="H1087" s="5"/>
      <c r="I1087" s="5"/>
      <c r="J1087" s="5" t="s">
        <v>42</v>
      </c>
      <c r="K1087" s="5"/>
      <c r="L1087" s="5" t="s">
        <v>2844</v>
      </c>
    </row>
    <row r="1088" customFormat="false" ht="15.65" hidden="false" customHeight="true" outlineLevel="0" collapsed="false">
      <c r="A1088" s="2" t="str">
        <f aca="false">HYPERLINK("https://www.fabsurplus.com/sdi_catalog/salesItemDetails.do?id=109963")</f>
        <v>https://www.fabsurplus.com/sdi_catalog/salesItemDetails.do?id=109963</v>
      </c>
      <c r="B1088" s="2" t="s">
        <v>2849</v>
      </c>
      <c r="C1088" s="2" t="s">
        <v>2830</v>
      </c>
      <c r="D1088" s="2" t="s">
        <v>662</v>
      </c>
      <c r="E1088" s="2" t="s">
        <v>164</v>
      </c>
      <c r="F1088" s="2" t="s">
        <v>16</v>
      </c>
      <c r="G1088" s="2" t="s">
        <v>165</v>
      </c>
      <c r="H1088" s="2"/>
      <c r="I1088" s="2"/>
      <c r="J1088" s="2" t="s">
        <v>42</v>
      </c>
      <c r="K1088" s="2"/>
      <c r="L1088" s="2" t="s">
        <v>2850</v>
      </c>
    </row>
    <row r="1089" customFormat="false" ht="15.65" hidden="false" customHeight="true" outlineLevel="0" collapsed="false">
      <c r="A1089" s="5" t="str">
        <f aca="false">HYPERLINK("https://www.fabsurplus.com/sdi_catalog/salesItemDetails.do?id=109964")</f>
        <v>https://www.fabsurplus.com/sdi_catalog/salesItemDetails.do?id=109964</v>
      </c>
      <c r="B1089" s="5" t="s">
        <v>2851</v>
      </c>
      <c r="C1089" s="5" t="s">
        <v>2830</v>
      </c>
      <c r="D1089" s="5" t="s">
        <v>662</v>
      </c>
      <c r="E1089" s="5" t="s">
        <v>164</v>
      </c>
      <c r="F1089" s="5" t="s">
        <v>16</v>
      </c>
      <c r="G1089" s="5" t="s">
        <v>165</v>
      </c>
      <c r="H1089" s="5"/>
      <c r="I1089" s="5"/>
      <c r="J1089" s="5" t="s">
        <v>42</v>
      </c>
      <c r="K1089" s="5"/>
      <c r="L1089" s="5" t="s">
        <v>2850</v>
      </c>
    </row>
    <row r="1090" customFormat="false" ht="15.65" hidden="false" customHeight="true" outlineLevel="0" collapsed="false">
      <c r="A1090" s="2" t="str">
        <f aca="false">HYPERLINK("https://www.fabsurplus.com/sdi_catalog/salesItemDetails.do?id=109965")</f>
        <v>https://www.fabsurplus.com/sdi_catalog/salesItemDetails.do?id=109965</v>
      </c>
      <c r="B1090" s="2" t="s">
        <v>2852</v>
      </c>
      <c r="C1090" s="2" t="s">
        <v>2830</v>
      </c>
      <c r="D1090" s="2" t="s">
        <v>662</v>
      </c>
      <c r="E1090" s="2" t="s">
        <v>164</v>
      </c>
      <c r="F1090" s="2" t="s">
        <v>16</v>
      </c>
      <c r="G1090" s="2" t="s">
        <v>165</v>
      </c>
      <c r="H1090" s="2"/>
      <c r="I1090" s="2"/>
      <c r="J1090" s="2" t="s">
        <v>42</v>
      </c>
      <c r="K1090" s="2"/>
      <c r="L1090" s="2" t="s">
        <v>2850</v>
      </c>
    </row>
    <row r="1091" customFormat="false" ht="15.65" hidden="false" customHeight="true" outlineLevel="0" collapsed="false">
      <c r="A1091" s="5" t="str">
        <f aca="false">HYPERLINK("https://www.fabsurplus.com/sdi_catalog/salesItemDetails.do?id=109966")</f>
        <v>https://www.fabsurplus.com/sdi_catalog/salesItemDetails.do?id=109966</v>
      </c>
      <c r="B1091" s="5" t="s">
        <v>2853</v>
      </c>
      <c r="C1091" s="5" t="s">
        <v>2830</v>
      </c>
      <c r="D1091" s="5" t="s">
        <v>662</v>
      </c>
      <c r="E1091" s="5" t="s">
        <v>164</v>
      </c>
      <c r="F1091" s="5" t="s">
        <v>16</v>
      </c>
      <c r="G1091" s="5" t="s">
        <v>165</v>
      </c>
      <c r="H1091" s="5"/>
      <c r="I1091" s="5"/>
      <c r="J1091" s="5" t="s">
        <v>42</v>
      </c>
      <c r="K1091" s="5"/>
      <c r="L1091" s="5" t="s">
        <v>2850</v>
      </c>
    </row>
    <row r="1092" customFormat="false" ht="15.65" hidden="false" customHeight="true" outlineLevel="0" collapsed="false">
      <c r="A1092" s="2" t="str">
        <f aca="false">HYPERLINK("https://www.fabsurplus.com/sdi_catalog/salesItemDetails.do?id=106427")</f>
        <v>https://www.fabsurplus.com/sdi_catalog/salesItemDetails.do?id=106427</v>
      </c>
      <c r="B1092" s="2" t="s">
        <v>2854</v>
      </c>
      <c r="C1092" s="2" t="s">
        <v>2855</v>
      </c>
      <c r="D1092" s="2" t="s">
        <v>2856</v>
      </c>
      <c r="E1092" s="2" t="s">
        <v>2857</v>
      </c>
      <c r="F1092" s="2" t="s">
        <v>16</v>
      </c>
      <c r="G1092" s="2" t="s">
        <v>2858</v>
      </c>
      <c r="H1092" s="2"/>
      <c r="I1092" s="2"/>
      <c r="J1092" s="2" t="s">
        <v>19</v>
      </c>
      <c r="K1092" s="2"/>
      <c r="L1092" s="2" t="s">
        <v>2859</v>
      </c>
    </row>
    <row r="1093" customFormat="false" ht="15.65" hidden="false" customHeight="true" outlineLevel="0" collapsed="false">
      <c r="A1093" s="5" t="str">
        <f aca="false">HYPERLINK("https://www.fabsurplus.com/sdi_catalog/salesItemDetails.do?id=106430")</f>
        <v>https://www.fabsurplus.com/sdi_catalog/salesItemDetails.do?id=106430</v>
      </c>
      <c r="B1093" s="5" t="s">
        <v>2860</v>
      </c>
      <c r="C1093" s="5" t="s">
        <v>2855</v>
      </c>
      <c r="D1093" s="5" t="s">
        <v>2861</v>
      </c>
      <c r="E1093" s="5" t="s">
        <v>2862</v>
      </c>
      <c r="F1093" s="5" t="s">
        <v>16</v>
      </c>
      <c r="G1093" s="5" t="s">
        <v>2858</v>
      </c>
      <c r="H1093" s="5" t="s">
        <v>18</v>
      </c>
      <c r="I1093" s="5"/>
      <c r="J1093" s="5" t="s">
        <v>19</v>
      </c>
      <c r="K1093" s="5" t="s">
        <v>20</v>
      </c>
      <c r="L1093" s="5" t="s">
        <v>2863</v>
      </c>
    </row>
    <row r="1094" customFormat="false" ht="15.65" hidden="false" customHeight="true" outlineLevel="0" collapsed="false">
      <c r="A1094" s="2" t="str">
        <f aca="false">HYPERLINK("https://www.fabsurplus.com/sdi_catalog/salesItemDetails.do?id=106641")</f>
        <v>https://www.fabsurplus.com/sdi_catalog/salesItemDetails.do?id=106641</v>
      </c>
      <c r="B1094" s="2" t="s">
        <v>2864</v>
      </c>
      <c r="C1094" s="2" t="s">
        <v>2865</v>
      </c>
      <c r="D1094" s="2" t="s">
        <v>2866</v>
      </c>
      <c r="E1094" s="2" t="s">
        <v>2867</v>
      </c>
      <c r="F1094" s="2" t="s">
        <v>16</v>
      </c>
      <c r="G1094" s="2" t="s">
        <v>2868</v>
      </c>
      <c r="H1094" s="2"/>
      <c r="I1094" s="3" t="n">
        <v>38869</v>
      </c>
      <c r="J1094" s="2" t="s">
        <v>19</v>
      </c>
      <c r="K1094" s="2"/>
      <c r="L1094" s="2" t="s">
        <v>518</v>
      </c>
    </row>
    <row r="1095" customFormat="false" ht="15.65" hidden="false" customHeight="true" outlineLevel="0" collapsed="false">
      <c r="A1095" s="5" t="str">
        <f aca="false">HYPERLINK("https://www.fabsurplus.com/sdi_catalog/salesItemDetails.do?id=108803")</f>
        <v>https://www.fabsurplus.com/sdi_catalog/salesItemDetails.do?id=108803</v>
      </c>
      <c r="B1095" s="5" t="s">
        <v>2869</v>
      </c>
      <c r="C1095" s="5" t="s">
        <v>2870</v>
      </c>
      <c r="D1095" s="5" t="s">
        <v>2871</v>
      </c>
      <c r="E1095" s="5" t="s">
        <v>2872</v>
      </c>
      <c r="F1095" s="5" t="s">
        <v>16</v>
      </c>
      <c r="G1095" s="5" t="s">
        <v>165</v>
      </c>
      <c r="H1095" s="5"/>
      <c r="I1095" s="5"/>
      <c r="J1095" s="5" t="s">
        <v>42</v>
      </c>
      <c r="K1095" s="5"/>
      <c r="L1095" s="5" t="s">
        <v>131</v>
      </c>
    </row>
    <row r="1096" customFormat="false" ht="15.65" hidden="false" customHeight="true" outlineLevel="0" collapsed="false">
      <c r="A1096" s="2" t="str">
        <f aca="false">HYPERLINK("https://www.fabsurplus.com/sdi_catalog/salesItemDetails.do?id=102643")</f>
        <v>https://www.fabsurplus.com/sdi_catalog/salesItemDetails.do?id=102643</v>
      </c>
      <c r="B1096" s="2" t="s">
        <v>2873</v>
      </c>
      <c r="C1096" s="2" t="s">
        <v>2874</v>
      </c>
      <c r="D1096" s="2" t="s">
        <v>2875</v>
      </c>
      <c r="E1096" s="2" t="s">
        <v>2876</v>
      </c>
      <c r="F1096" s="2" t="s">
        <v>16</v>
      </c>
      <c r="G1096" s="2" t="s">
        <v>2877</v>
      </c>
      <c r="H1096" s="2" t="s">
        <v>32</v>
      </c>
      <c r="I1096" s="3" t="n">
        <v>36311.9166666667</v>
      </c>
      <c r="J1096" s="2" t="s">
        <v>42</v>
      </c>
      <c r="K1096" s="2" t="s">
        <v>20</v>
      </c>
      <c r="L1096" s="4" t="s">
        <v>2878</v>
      </c>
    </row>
    <row r="1097" customFormat="false" ht="15.65" hidden="false" customHeight="true" outlineLevel="0" collapsed="false">
      <c r="A1097" s="5" t="str">
        <f aca="false">HYPERLINK("https://www.fabsurplus.com/sdi_catalog/salesItemDetails.do?id=108804")</f>
        <v>https://www.fabsurplus.com/sdi_catalog/salesItemDetails.do?id=108804</v>
      </c>
      <c r="B1097" s="5" t="s">
        <v>2879</v>
      </c>
      <c r="C1097" s="5" t="s">
        <v>2880</v>
      </c>
      <c r="D1097" s="5" t="s">
        <v>2881</v>
      </c>
      <c r="E1097" s="5" t="s">
        <v>2882</v>
      </c>
      <c r="F1097" s="5" t="s">
        <v>16</v>
      </c>
      <c r="G1097" s="5"/>
      <c r="H1097" s="5"/>
      <c r="I1097" s="5"/>
      <c r="J1097" s="5" t="s">
        <v>42</v>
      </c>
      <c r="K1097" s="5"/>
      <c r="L1097" s="5" t="s">
        <v>131</v>
      </c>
    </row>
    <row r="1098" customFormat="false" ht="15.65" hidden="false" customHeight="true" outlineLevel="0" collapsed="false">
      <c r="A1098" s="2" t="str">
        <f aca="false">HYPERLINK("https://www.fabsurplus.com/sdi_catalog/salesItemDetails.do?id=108738")</f>
        <v>https://www.fabsurplus.com/sdi_catalog/salesItemDetails.do?id=108738</v>
      </c>
      <c r="B1098" s="2" t="s">
        <v>2883</v>
      </c>
      <c r="C1098" s="2" t="s">
        <v>2880</v>
      </c>
      <c r="D1098" s="2" t="s">
        <v>2884</v>
      </c>
      <c r="E1098" s="2" t="s">
        <v>2885</v>
      </c>
      <c r="F1098" s="2" t="s">
        <v>16</v>
      </c>
      <c r="G1098" s="2"/>
      <c r="H1098" s="2"/>
      <c r="I1098" s="2"/>
      <c r="J1098" s="2" t="s">
        <v>19</v>
      </c>
      <c r="K1098" s="2"/>
      <c r="L1098" s="2"/>
    </row>
    <row r="1099" customFormat="false" ht="15.65" hidden="false" customHeight="true" outlineLevel="0" collapsed="false">
      <c r="A1099" s="5" t="str">
        <f aca="false">HYPERLINK("https://www.fabsurplus.com/sdi_catalog/salesItemDetails.do?id=109073")</f>
        <v>https://www.fabsurplus.com/sdi_catalog/salesItemDetails.do?id=109073</v>
      </c>
      <c r="B1099" s="5" t="s">
        <v>2886</v>
      </c>
      <c r="C1099" s="5" t="s">
        <v>2887</v>
      </c>
      <c r="D1099" s="5" t="s">
        <v>2888</v>
      </c>
      <c r="E1099" s="5" t="s">
        <v>2889</v>
      </c>
      <c r="F1099" s="5" t="s">
        <v>16</v>
      </c>
      <c r="G1099" s="5" t="s">
        <v>2890</v>
      </c>
      <c r="H1099" s="5" t="s">
        <v>18</v>
      </c>
      <c r="I1099" s="5"/>
      <c r="J1099" s="5" t="s">
        <v>286</v>
      </c>
      <c r="K1099" s="5" t="s">
        <v>2891</v>
      </c>
      <c r="L1099" s="5" t="s">
        <v>2892</v>
      </c>
    </row>
    <row r="1100" customFormat="false" ht="15.65" hidden="false" customHeight="true" outlineLevel="0" collapsed="false">
      <c r="A1100" s="2" t="str">
        <f aca="false">HYPERLINK("https://www.fabsurplus.com/sdi_catalog/salesItemDetails.do?id=109078")</f>
        <v>https://www.fabsurplus.com/sdi_catalog/salesItemDetails.do?id=109078</v>
      </c>
      <c r="B1100" s="2" t="s">
        <v>2893</v>
      </c>
      <c r="C1100" s="2" t="s">
        <v>2887</v>
      </c>
      <c r="D1100" s="2" t="s">
        <v>2894</v>
      </c>
      <c r="E1100" s="2" t="s">
        <v>2895</v>
      </c>
      <c r="F1100" s="2" t="s">
        <v>16</v>
      </c>
      <c r="G1100" s="2" t="s">
        <v>2896</v>
      </c>
      <c r="H1100" s="2" t="s">
        <v>18</v>
      </c>
      <c r="I1100" s="3" t="n">
        <v>42156</v>
      </c>
      <c r="J1100" s="2" t="s">
        <v>19</v>
      </c>
      <c r="K1100" s="2" t="s">
        <v>20</v>
      </c>
      <c r="L1100" s="4" t="s">
        <v>2897</v>
      </c>
    </row>
    <row r="1101" customFormat="false" ht="15.65" hidden="false" customHeight="true" outlineLevel="0" collapsed="false">
      <c r="A1101" s="5" t="str">
        <f aca="false">HYPERLINK("https://www.fabsurplus.com/sdi_catalog/salesItemDetails.do?id=109079")</f>
        <v>https://www.fabsurplus.com/sdi_catalog/salesItemDetails.do?id=109079</v>
      </c>
      <c r="B1101" s="5" t="s">
        <v>2898</v>
      </c>
      <c r="C1101" s="5" t="s">
        <v>2887</v>
      </c>
      <c r="D1101" s="5" t="s">
        <v>2899</v>
      </c>
      <c r="E1101" s="5" t="s">
        <v>2900</v>
      </c>
      <c r="F1101" s="5" t="s">
        <v>16</v>
      </c>
      <c r="G1101" s="5" t="s">
        <v>2896</v>
      </c>
      <c r="H1101" s="5" t="s">
        <v>18</v>
      </c>
      <c r="I1101" s="6" t="n">
        <v>42156</v>
      </c>
      <c r="J1101" s="5" t="s">
        <v>19</v>
      </c>
      <c r="K1101" s="5" t="s">
        <v>20</v>
      </c>
      <c r="L1101" s="7" t="s">
        <v>2901</v>
      </c>
    </row>
    <row r="1102" customFormat="false" ht="15.65" hidden="false" customHeight="true" outlineLevel="0" collapsed="false">
      <c r="A1102" s="2" t="str">
        <f aca="false">HYPERLINK("https://www.fabsurplus.com/sdi_catalog/salesItemDetails.do?id=109080")</f>
        <v>https://www.fabsurplus.com/sdi_catalog/salesItemDetails.do?id=109080</v>
      </c>
      <c r="B1102" s="2" t="s">
        <v>2902</v>
      </c>
      <c r="C1102" s="2" t="s">
        <v>2887</v>
      </c>
      <c r="D1102" s="2" t="s">
        <v>2903</v>
      </c>
      <c r="E1102" s="2" t="s">
        <v>2904</v>
      </c>
      <c r="F1102" s="2" t="s">
        <v>16</v>
      </c>
      <c r="G1102" s="2" t="s">
        <v>2905</v>
      </c>
      <c r="H1102" s="2" t="s">
        <v>18</v>
      </c>
      <c r="I1102" s="3" t="n">
        <v>42156</v>
      </c>
      <c r="J1102" s="2" t="s">
        <v>19</v>
      </c>
      <c r="K1102" s="2" t="s">
        <v>20</v>
      </c>
      <c r="L1102" s="4" t="s">
        <v>2906</v>
      </c>
    </row>
    <row r="1103" customFormat="false" ht="15.65" hidden="false" customHeight="true" outlineLevel="0" collapsed="false">
      <c r="A1103" s="5" t="str">
        <f aca="false">HYPERLINK("https://www.fabsurplus.com/sdi_catalog/salesItemDetails.do?id=106804")</f>
        <v>https://www.fabsurplus.com/sdi_catalog/salesItemDetails.do?id=106804</v>
      </c>
      <c r="B1103" s="5" t="s">
        <v>2907</v>
      </c>
      <c r="C1103" s="5" t="s">
        <v>2887</v>
      </c>
      <c r="D1103" s="5" t="s">
        <v>2908</v>
      </c>
      <c r="E1103" s="5" t="s">
        <v>2909</v>
      </c>
      <c r="F1103" s="5" t="s">
        <v>16</v>
      </c>
      <c r="G1103" s="5" t="s">
        <v>84</v>
      </c>
      <c r="H1103" s="5" t="s">
        <v>32</v>
      </c>
      <c r="I1103" s="5"/>
      <c r="J1103" s="5" t="s">
        <v>19</v>
      </c>
      <c r="K1103" s="5" t="s">
        <v>20</v>
      </c>
      <c r="L1103" s="7" t="s">
        <v>2910</v>
      </c>
    </row>
    <row r="1104" customFormat="false" ht="15.65" hidden="false" customHeight="true" outlineLevel="0" collapsed="false">
      <c r="A1104" s="2" t="str">
        <f aca="false">HYPERLINK("https://www.fabsurplus.com/sdi_catalog/salesItemDetails.do?id=106805")</f>
        <v>https://www.fabsurplus.com/sdi_catalog/salesItemDetails.do?id=106805</v>
      </c>
      <c r="B1104" s="2" t="s">
        <v>2911</v>
      </c>
      <c r="C1104" s="2" t="s">
        <v>2912</v>
      </c>
      <c r="D1104" s="2" t="s">
        <v>2913</v>
      </c>
      <c r="E1104" s="2" t="s">
        <v>2914</v>
      </c>
      <c r="F1104" s="2" t="s">
        <v>250</v>
      </c>
      <c r="G1104" s="2" t="s">
        <v>84</v>
      </c>
      <c r="H1104" s="2"/>
      <c r="I1104" s="2"/>
      <c r="J1104" s="2" t="s">
        <v>42</v>
      </c>
      <c r="K1104" s="2"/>
      <c r="L1104" s="2" t="s">
        <v>142</v>
      </c>
    </row>
    <row r="1105" customFormat="false" ht="15.65" hidden="false" customHeight="true" outlineLevel="0" collapsed="false">
      <c r="A1105" s="5" t="str">
        <f aca="false">HYPERLINK("https://www.fabsurplus.com/sdi_catalog/salesItemDetails.do?id=106851")</f>
        <v>https://www.fabsurplus.com/sdi_catalog/salesItemDetails.do?id=106851</v>
      </c>
      <c r="B1105" s="5" t="s">
        <v>2915</v>
      </c>
      <c r="C1105" s="5" t="s">
        <v>2887</v>
      </c>
      <c r="D1105" s="5" t="s">
        <v>2916</v>
      </c>
      <c r="E1105" s="5" t="s">
        <v>2917</v>
      </c>
      <c r="F1105" s="5" t="s">
        <v>16</v>
      </c>
      <c r="G1105" s="5" t="s">
        <v>104</v>
      </c>
      <c r="H1105" s="5" t="s">
        <v>18</v>
      </c>
      <c r="I1105" s="5"/>
      <c r="J1105" s="5" t="s">
        <v>19</v>
      </c>
      <c r="K1105" s="5" t="s">
        <v>20</v>
      </c>
      <c r="L1105" s="5" t="s">
        <v>2918</v>
      </c>
    </row>
    <row r="1106" customFormat="false" ht="15.65" hidden="false" customHeight="true" outlineLevel="0" collapsed="false">
      <c r="A1106" s="2" t="str">
        <f aca="false">HYPERLINK("https://www.fabsurplus.com/sdi_catalog/salesItemDetails.do?id=108392")</f>
        <v>https://www.fabsurplus.com/sdi_catalog/salesItemDetails.do?id=108392</v>
      </c>
      <c r="B1106" s="2" t="s">
        <v>2919</v>
      </c>
      <c r="C1106" s="2" t="s">
        <v>2887</v>
      </c>
      <c r="D1106" s="2" t="s">
        <v>2920</v>
      </c>
      <c r="E1106" s="2" t="s">
        <v>2545</v>
      </c>
      <c r="F1106" s="2" t="s">
        <v>16</v>
      </c>
      <c r="G1106" s="2" t="s">
        <v>61</v>
      </c>
      <c r="H1106" s="2"/>
      <c r="I1106" s="2"/>
      <c r="J1106" s="2" t="s">
        <v>19</v>
      </c>
      <c r="K1106" s="2"/>
      <c r="L1106" s="2"/>
    </row>
    <row r="1107" customFormat="false" ht="15.65" hidden="false" customHeight="true" outlineLevel="0" collapsed="false">
      <c r="A1107" s="5" t="str">
        <f aca="false">HYPERLINK("https://www.fabsurplus.com/sdi_catalog/salesItemDetails.do?id=109160")</f>
        <v>https://www.fabsurplus.com/sdi_catalog/salesItemDetails.do?id=109160</v>
      </c>
      <c r="B1107" s="5" t="s">
        <v>2921</v>
      </c>
      <c r="C1107" s="5" t="s">
        <v>2887</v>
      </c>
      <c r="D1107" s="5" t="s">
        <v>2922</v>
      </c>
      <c r="E1107" s="5" t="s">
        <v>2545</v>
      </c>
      <c r="F1107" s="5" t="s">
        <v>16</v>
      </c>
      <c r="G1107" s="5" t="s">
        <v>84</v>
      </c>
      <c r="H1107" s="5"/>
      <c r="I1107" s="5"/>
      <c r="J1107" s="5" t="s">
        <v>19</v>
      </c>
      <c r="K1107" s="5"/>
      <c r="L1107" s="5"/>
    </row>
    <row r="1108" customFormat="false" ht="15.65" hidden="false" customHeight="true" outlineLevel="0" collapsed="false">
      <c r="A1108" s="2" t="str">
        <f aca="false">HYPERLINK("https://www.fabsurplus.com/sdi_catalog/salesItemDetails.do?id=109161")</f>
        <v>https://www.fabsurplus.com/sdi_catalog/salesItemDetails.do?id=109161</v>
      </c>
      <c r="B1108" s="2" t="s">
        <v>2923</v>
      </c>
      <c r="C1108" s="2" t="s">
        <v>2887</v>
      </c>
      <c r="D1108" s="2" t="s">
        <v>2920</v>
      </c>
      <c r="E1108" s="2" t="s">
        <v>2545</v>
      </c>
      <c r="F1108" s="2" t="s">
        <v>16</v>
      </c>
      <c r="G1108" s="2" t="s">
        <v>84</v>
      </c>
      <c r="H1108" s="2"/>
      <c r="I1108" s="2"/>
      <c r="J1108" s="2" t="s">
        <v>19</v>
      </c>
      <c r="K1108" s="2"/>
      <c r="L1108" s="2"/>
    </row>
    <row r="1109" customFormat="false" ht="15.65" hidden="false" customHeight="true" outlineLevel="0" collapsed="false">
      <c r="A1109" s="5" t="str">
        <f aca="false">HYPERLINK("https://www.fabsurplus.com/sdi_catalog/salesItemDetails.do?id=109162")</f>
        <v>https://www.fabsurplus.com/sdi_catalog/salesItemDetails.do?id=109162</v>
      </c>
      <c r="B1109" s="5" t="s">
        <v>2924</v>
      </c>
      <c r="C1109" s="5" t="s">
        <v>2887</v>
      </c>
      <c r="D1109" s="5" t="s">
        <v>2920</v>
      </c>
      <c r="E1109" s="5" t="s">
        <v>2545</v>
      </c>
      <c r="F1109" s="5" t="s">
        <v>16</v>
      </c>
      <c r="G1109" s="5" t="s">
        <v>84</v>
      </c>
      <c r="H1109" s="5"/>
      <c r="I1109" s="5"/>
      <c r="J1109" s="5" t="s">
        <v>19</v>
      </c>
      <c r="K1109" s="5"/>
      <c r="L1109" s="5"/>
    </row>
    <row r="1110" customFormat="false" ht="15.65" hidden="false" customHeight="true" outlineLevel="0" collapsed="false">
      <c r="A1110" s="2" t="str">
        <f aca="false">HYPERLINK("https://www.fabsurplus.com/sdi_catalog/salesItemDetails.do?id=106892")</f>
        <v>https://www.fabsurplus.com/sdi_catalog/salesItemDetails.do?id=106892</v>
      </c>
      <c r="B1110" s="2" t="s">
        <v>2925</v>
      </c>
      <c r="C1110" s="2" t="s">
        <v>2887</v>
      </c>
      <c r="D1110" s="2" t="s">
        <v>2916</v>
      </c>
      <c r="E1110" s="2" t="s">
        <v>2926</v>
      </c>
      <c r="F1110" s="2" t="s">
        <v>151</v>
      </c>
      <c r="G1110" s="2" t="s">
        <v>104</v>
      </c>
      <c r="H1110" s="2" t="s">
        <v>18</v>
      </c>
      <c r="I1110" s="2"/>
      <c r="J1110" s="2" t="s">
        <v>19</v>
      </c>
      <c r="K1110" s="2" t="s">
        <v>20</v>
      </c>
      <c r="L1110" s="4" t="s">
        <v>2927</v>
      </c>
    </row>
    <row r="1111" customFormat="false" ht="15.65" hidden="false" customHeight="true" outlineLevel="0" collapsed="false">
      <c r="A1111" s="5" t="str">
        <f aca="false">HYPERLINK("https://www.fabsurplus.com/sdi_catalog/salesItemDetails.do?id=106642")</f>
        <v>https://www.fabsurplus.com/sdi_catalog/salesItemDetails.do?id=106642</v>
      </c>
      <c r="B1111" s="5" t="s">
        <v>2928</v>
      </c>
      <c r="C1111" s="5" t="s">
        <v>2929</v>
      </c>
      <c r="D1111" s="5" t="s">
        <v>2930</v>
      </c>
      <c r="E1111" s="5" t="s">
        <v>2931</v>
      </c>
      <c r="F1111" s="5" t="s">
        <v>16</v>
      </c>
      <c r="G1111" s="5" t="s">
        <v>38</v>
      </c>
      <c r="H1111" s="5"/>
      <c r="I1111" s="6" t="n">
        <v>35217</v>
      </c>
      <c r="J1111" s="5" t="s">
        <v>19</v>
      </c>
      <c r="K1111" s="5"/>
      <c r="L1111" s="5" t="s">
        <v>518</v>
      </c>
    </row>
    <row r="1112" customFormat="false" ht="15.65" hidden="false" customHeight="true" outlineLevel="0" collapsed="false">
      <c r="A1112" s="2" t="str">
        <f aca="false">HYPERLINK("https://www.fabsurplus.com/sdi_catalog/salesItemDetails.do?id=106643")</f>
        <v>https://www.fabsurplus.com/sdi_catalog/salesItemDetails.do?id=106643</v>
      </c>
      <c r="B1112" s="2" t="s">
        <v>2932</v>
      </c>
      <c r="C1112" s="2" t="s">
        <v>2929</v>
      </c>
      <c r="D1112" s="2" t="s">
        <v>2933</v>
      </c>
      <c r="E1112" s="2" t="s">
        <v>2934</v>
      </c>
      <c r="F1112" s="2" t="s">
        <v>16</v>
      </c>
      <c r="G1112" s="2" t="s">
        <v>38</v>
      </c>
      <c r="H1112" s="2"/>
      <c r="I1112" s="2"/>
      <c r="J1112" s="2" t="s">
        <v>19</v>
      </c>
      <c r="K1112" s="2"/>
      <c r="L1112" s="2" t="s">
        <v>518</v>
      </c>
    </row>
    <row r="1113" customFormat="false" ht="15.65" hidden="false" customHeight="true" outlineLevel="0" collapsed="false">
      <c r="A1113" s="5" t="str">
        <f aca="false">HYPERLINK("https://www.fabsurplus.com/sdi_catalog/salesItemDetails.do?id=106644")</f>
        <v>https://www.fabsurplus.com/sdi_catalog/salesItemDetails.do?id=106644</v>
      </c>
      <c r="B1113" s="5" t="s">
        <v>2935</v>
      </c>
      <c r="C1113" s="5" t="s">
        <v>2929</v>
      </c>
      <c r="D1113" s="5" t="s">
        <v>2933</v>
      </c>
      <c r="E1113" s="5" t="s">
        <v>2934</v>
      </c>
      <c r="F1113" s="5" t="s">
        <v>16</v>
      </c>
      <c r="G1113" s="5" t="s">
        <v>38</v>
      </c>
      <c r="H1113" s="5"/>
      <c r="I1113" s="5"/>
      <c r="J1113" s="5" t="s">
        <v>19</v>
      </c>
      <c r="K1113" s="5"/>
      <c r="L1113" s="5" t="s">
        <v>518</v>
      </c>
    </row>
    <row r="1114" customFormat="false" ht="15.65" hidden="false" customHeight="true" outlineLevel="0" collapsed="false">
      <c r="A1114" s="2" t="str">
        <f aca="false">HYPERLINK("https://www.fabsurplus.com/sdi_catalog/salesItemDetails.do?id=83862")</f>
        <v>https://www.fabsurplus.com/sdi_catalog/salesItemDetails.do?id=83862</v>
      </c>
      <c r="B1114" s="2" t="s">
        <v>2936</v>
      </c>
      <c r="C1114" s="2" t="s">
        <v>2887</v>
      </c>
      <c r="D1114" s="2" t="s">
        <v>2937</v>
      </c>
      <c r="E1114" s="2" t="s">
        <v>2938</v>
      </c>
      <c r="F1114" s="2" t="s">
        <v>16</v>
      </c>
      <c r="G1114" s="2" t="s">
        <v>104</v>
      </c>
      <c r="H1114" s="2" t="s">
        <v>18</v>
      </c>
      <c r="I1114" s="2"/>
      <c r="J1114" s="2" t="s">
        <v>19</v>
      </c>
      <c r="K1114" s="2" t="s">
        <v>20</v>
      </c>
      <c r="L1114" s="4" t="s">
        <v>2939</v>
      </c>
    </row>
    <row r="1115" customFormat="false" ht="15.65" hidden="false" customHeight="true" outlineLevel="0" collapsed="false">
      <c r="A1115" s="5" t="str">
        <f aca="false">HYPERLINK("https://www.fabsurplus.com/sdi_catalog/salesItemDetails.do?id=102553")</f>
        <v>https://www.fabsurplus.com/sdi_catalog/salesItemDetails.do?id=102553</v>
      </c>
      <c r="B1115" s="5" t="s">
        <v>2940</v>
      </c>
      <c r="C1115" s="5" t="s">
        <v>2912</v>
      </c>
      <c r="D1115" s="5" t="s">
        <v>2941</v>
      </c>
      <c r="E1115" s="5" t="s">
        <v>2942</v>
      </c>
      <c r="F1115" s="5" t="s">
        <v>151</v>
      </c>
      <c r="G1115" s="5" t="s">
        <v>2943</v>
      </c>
      <c r="H1115" s="5" t="s">
        <v>32</v>
      </c>
      <c r="I1115" s="5"/>
      <c r="J1115" s="5" t="s">
        <v>19</v>
      </c>
      <c r="K1115" s="5"/>
      <c r="L1115" s="5" t="s">
        <v>2944</v>
      </c>
    </row>
    <row r="1116" customFormat="false" ht="15.65" hidden="false" customHeight="true" outlineLevel="0" collapsed="false">
      <c r="A1116" s="2" t="str">
        <f aca="false">HYPERLINK("https://www.fabsurplus.com/sdi_catalog/salesItemDetails.do?id=108739")</f>
        <v>https://www.fabsurplus.com/sdi_catalog/salesItemDetails.do?id=108739</v>
      </c>
      <c r="B1116" s="2" t="s">
        <v>2945</v>
      </c>
      <c r="C1116" s="2" t="s">
        <v>2887</v>
      </c>
      <c r="D1116" s="2" t="s">
        <v>2946</v>
      </c>
      <c r="E1116" s="2" t="s">
        <v>2947</v>
      </c>
      <c r="F1116" s="2" t="s">
        <v>16</v>
      </c>
      <c r="G1116" s="2" t="s">
        <v>97</v>
      </c>
      <c r="H1116" s="2" t="s">
        <v>275</v>
      </c>
      <c r="I1116" s="2"/>
      <c r="J1116" s="2" t="s">
        <v>19</v>
      </c>
      <c r="K1116" s="2" t="s">
        <v>20</v>
      </c>
      <c r="L1116" s="4" t="s">
        <v>2948</v>
      </c>
    </row>
    <row r="1117" customFormat="false" ht="15.65" hidden="false" customHeight="true" outlineLevel="0" collapsed="false">
      <c r="A1117" s="5" t="str">
        <f aca="false">HYPERLINK("https://www.fabsurplus.com/sdi_catalog/salesItemDetails.do?id=106948")</f>
        <v>https://www.fabsurplus.com/sdi_catalog/salesItemDetails.do?id=106948</v>
      </c>
      <c r="B1117" s="5" t="s">
        <v>2949</v>
      </c>
      <c r="C1117" s="5" t="s">
        <v>2887</v>
      </c>
      <c r="D1117" s="5" t="s">
        <v>2950</v>
      </c>
      <c r="E1117" s="5" t="s">
        <v>2951</v>
      </c>
      <c r="F1117" s="5" t="s">
        <v>203</v>
      </c>
      <c r="G1117" s="5" t="s">
        <v>61</v>
      </c>
      <c r="H1117" s="5" t="s">
        <v>18</v>
      </c>
      <c r="I1117" s="5"/>
      <c r="J1117" s="5" t="s">
        <v>19</v>
      </c>
      <c r="K1117" s="5" t="s">
        <v>20</v>
      </c>
      <c r="L1117" s="5"/>
    </row>
    <row r="1118" customFormat="false" ht="15.65" hidden="false" customHeight="true" outlineLevel="0" collapsed="false">
      <c r="A1118" s="2" t="str">
        <f aca="false">HYPERLINK("https://www.fabsurplus.com/sdi_catalog/salesItemDetails.do?id=74209")</f>
        <v>https://www.fabsurplus.com/sdi_catalog/salesItemDetails.do?id=74209</v>
      </c>
      <c r="B1118" s="2" t="s">
        <v>2952</v>
      </c>
      <c r="C1118" s="2" t="s">
        <v>2887</v>
      </c>
      <c r="D1118" s="2" t="s">
        <v>2953</v>
      </c>
      <c r="E1118" s="2" t="s">
        <v>2954</v>
      </c>
      <c r="F1118" s="2" t="s">
        <v>151</v>
      </c>
      <c r="G1118" s="2" t="s">
        <v>97</v>
      </c>
      <c r="H1118" s="2" t="s">
        <v>1395</v>
      </c>
      <c r="I1118" s="3" t="n">
        <v>39814</v>
      </c>
      <c r="J1118" s="2" t="s">
        <v>19</v>
      </c>
      <c r="K1118" s="2" t="s">
        <v>20</v>
      </c>
      <c r="L1118" s="2" t="s">
        <v>2955</v>
      </c>
    </row>
    <row r="1119" customFormat="false" ht="15.65" hidden="false" customHeight="true" outlineLevel="0" collapsed="false">
      <c r="A1119" s="5" t="str">
        <f aca="false">HYPERLINK("https://www.fabsurplus.com/sdi_catalog/salesItemDetails.do?id=108268")</f>
        <v>https://www.fabsurplus.com/sdi_catalog/salesItemDetails.do?id=108268</v>
      </c>
      <c r="B1119" s="5" t="s">
        <v>2956</v>
      </c>
      <c r="C1119" s="5" t="s">
        <v>2887</v>
      </c>
      <c r="D1119" s="5" t="s">
        <v>2957</v>
      </c>
      <c r="E1119" s="5" t="s">
        <v>2958</v>
      </c>
      <c r="F1119" s="5" t="s">
        <v>16</v>
      </c>
      <c r="G1119" s="5" t="s">
        <v>61</v>
      </c>
      <c r="H1119" s="5"/>
      <c r="I1119" s="6" t="n">
        <v>37043</v>
      </c>
      <c r="J1119" s="5" t="s">
        <v>19</v>
      </c>
      <c r="K1119" s="5"/>
      <c r="L1119" s="5" t="s">
        <v>2959</v>
      </c>
    </row>
    <row r="1120" customFormat="false" ht="15.65" hidden="false" customHeight="true" outlineLevel="0" collapsed="false">
      <c r="A1120" s="2" t="str">
        <f aca="false">HYPERLINK("https://www.fabsurplus.com/sdi_catalog/salesItemDetails.do?id=108024")</f>
        <v>https://www.fabsurplus.com/sdi_catalog/salesItemDetails.do?id=108024</v>
      </c>
      <c r="B1120" s="2" t="s">
        <v>2960</v>
      </c>
      <c r="C1120" s="2" t="s">
        <v>2929</v>
      </c>
      <c r="D1120" s="2" t="s">
        <v>2920</v>
      </c>
      <c r="E1120" s="2" t="s">
        <v>2958</v>
      </c>
      <c r="F1120" s="2" t="s">
        <v>16</v>
      </c>
      <c r="G1120" s="2" t="s">
        <v>61</v>
      </c>
      <c r="H1120" s="2"/>
      <c r="I1120" s="3" t="n">
        <v>37773</v>
      </c>
      <c r="J1120" s="2" t="s">
        <v>19</v>
      </c>
      <c r="K1120" s="2"/>
      <c r="L1120" s="2" t="s">
        <v>142</v>
      </c>
    </row>
    <row r="1121" customFormat="false" ht="15.65" hidden="false" customHeight="true" outlineLevel="0" collapsed="false">
      <c r="A1121" s="5" t="str">
        <f aca="false">HYPERLINK("https://www.fabsurplus.com/sdi_catalog/salesItemDetails.do?id=106807")</f>
        <v>https://www.fabsurplus.com/sdi_catalog/salesItemDetails.do?id=106807</v>
      </c>
      <c r="B1121" s="5" t="s">
        <v>2961</v>
      </c>
      <c r="C1121" s="5" t="s">
        <v>2962</v>
      </c>
      <c r="D1121" s="5" t="s">
        <v>2963</v>
      </c>
      <c r="E1121" s="5" t="s">
        <v>2964</v>
      </c>
      <c r="F1121" s="5" t="s">
        <v>145</v>
      </c>
      <c r="G1121" s="5" t="s">
        <v>2943</v>
      </c>
      <c r="H1121" s="5" t="s">
        <v>18</v>
      </c>
      <c r="I1121" s="5"/>
      <c r="J1121" s="5" t="s">
        <v>19</v>
      </c>
      <c r="K1121" s="5" t="s">
        <v>20</v>
      </c>
      <c r="L1121" s="7" t="s">
        <v>2965</v>
      </c>
    </row>
    <row r="1122" customFormat="false" ht="15.65" hidden="false" customHeight="true" outlineLevel="0" collapsed="false">
      <c r="A1122" s="2" t="str">
        <f aca="false">HYPERLINK("https://www.fabsurplus.com/sdi_catalog/salesItemDetails.do?id=106808")</f>
        <v>https://www.fabsurplus.com/sdi_catalog/salesItemDetails.do?id=106808</v>
      </c>
      <c r="B1122" s="2" t="s">
        <v>2966</v>
      </c>
      <c r="C1122" s="2" t="s">
        <v>2962</v>
      </c>
      <c r="D1122" s="2" t="s">
        <v>2967</v>
      </c>
      <c r="E1122" s="2" t="s">
        <v>2964</v>
      </c>
      <c r="F1122" s="2" t="s">
        <v>145</v>
      </c>
      <c r="G1122" s="2" t="s">
        <v>2943</v>
      </c>
      <c r="H1122" s="2" t="s">
        <v>18</v>
      </c>
      <c r="I1122" s="2"/>
      <c r="J1122" s="2" t="s">
        <v>19</v>
      </c>
      <c r="K1122" s="2" t="s">
        <v>20</v>
      </c>
      <c r="L1122" s="4" t="s">
        <v>2968</v>
      </c>
    </row>
    <row r="1123" customFormat="false" ht="15.65" hidden="false" customHeight="true" outlineLevel="0" collapsed="false">
      <c r="A1123" s="5" t="str">
        <f aca="false">HYPERLINK("https://www.fabsurplus.com/sdi_catalog/salesItemDetails.do?id=106812")</f>
        <v>https://www.fabsurplus.com/sdi_catalog/salesItemDetails.do?id=106812</v>
      </c>
      <c r="B1123" s="5" t="s">
        <v>2969</v>
      </c>
      <c r="C1123" s="5" t="s">
        <v>2962</v>
      </c>
      <c r="D1123" s="5" t="s">
        <v>2970</v>
      </c>
      <c r="E1123" s="5" t="s">
        <v>2942</v>
      </c>
      <c r="F1123" s="5" t="s">
        <v>151</v>
      </c>
      <c r="G1123" s="5" t="s">
        <v>2943</v>
      </c>
      <c r="H1123" s="5" t="s">
        <v>18</v>
      </c>
      <c r="I1123" s="5"/>
      <c r="J1123" s="5" t="s">
        <v>19</v>
      </c>
      <c r="K1123" s="5" t="s">
        <v>20</v>
      </c>
      <c r="L1123" s="7" t="s">
        <v>2971</v>
      </c>
    </row>
    <row r="1124" customFormat="false" ht="15.65" hidden="false" customHeight="true" outlineLevel="0" collapsed="false">
      <c r="A1124" s="2" t="str">
        <f aca="false">HYPERLINK("https://www.fabsurplus.com/sdi_catalog/salesItemDetails.do?id=106814")</f>
        <v>https://www.fabsurplus.com/sdi_catalog/salesItemDetails.do?id=106814</v>
      </c>
      <c r="B1124" s="2" t="s">
        <v>2972</v>
      </c>
      <c r="C1124" s="2" t="s">
        <v>2962</v>
      </c>
      <c r="D1124" s="2" t="s">
        <v>2973</v>
      </c>
      <c r="E1124" s="2" t="s">
        <v>2974</v>
      </c>
      <c r="F1124" s="2" t="s">
        <v>151</v>
      </c>
      <c r="G1124" s="2" t="s">
        <v>1803</v>
      </c>
      <c r="H1124" s="2" t="s">
        <v>18</v>
      </c>
      <c r="I1124" s="2"/>
      <c r="J1124" s="2" t="s">
        <v>19</v>
      </c>
      <c r="K1124" s="2" t="s">
        <v>20</v>
      </c>
      <c r="L1124" s="4" t="s">
        <v>2975</v>
      </c>
    </row>
    <row r="1125" customFormat="false" ht="15.65" hidden="false" customHeight="true" outlineLevel="0" collapsed="false">
      <c r="A1125" s="5" t="str">
        <f aca="false">HYPERLINK("https://www.fabsurplus.com/sdi_catalog/salesItemDetails.do?id=106105")</f>
        <v>https://www.fabsurplus.com/sdi_catalog/salesItemDetails.do?id=106105</v>
      </c>
      <c r="B1125" s="5" t="s">
        <v>2976</v>
      </c>
      <c r="C1125" s="5" t="s">
        <v>2962</v>
      </c>
      <c r="D1125" s="5" t="s">
        <v>2977</v>
      </c>
      <c r="E1125" s="5" t="s">
        <v>2978</v>
      </c>
      <c r="F1125" s="5" t="s">
        <v>16</v>
      </c>
      <c r="G1125" s="5" t="s">
        <v>2943</v>
      </c>
      <c r="H1125" s="5" t="s">
        <v>275</v>
      </c>
      <c r="I1125" s="6" t="n">
        <v>38047</v>
      </c>
      <c r="J1125" s="5" t="s">
        <v>19</v>
      </c>
      <c r="K1125" s="5" t="s">
        <v>2891</v>
      </c>
      <c r="L1125" s="7" t="s">
        <v>2979</v>
      </c>
    </row>
    <row r="1126" customFormat="false" ht="15.65" hidden="false" customHeight="true" outlineLevel="0" collapsed="false">
      <c r="A1126" s="2" t="str">
        <f aca="false">HYPERLINK("https://www.fabsurplus.com/sdi_catalog/salesItemDetails.do?id=98449")</f>
        <v>https://www.fabsurplus.com/sdi_catalog/salesItemDetails.do?id=98449</v>
      </c>
      <c r="B1126" s="2" t="s">
        <v>2980</v>
      </c>
      <c r="C1126" s="2" t="s">
        <v>2962</v>
      </c>
      <c r="D1126" s="2" t="s">
        <v>2981</v>
      </c>
      <c r="E1126" s="2" t="s">
        <v>2964</v>
      </c>
      <c r="F1126" s="2" t="s">
        <v>86</v>
      </c>
      <c r="G1126" s="2" t="s">
        <v>2943</v>
      </c>
      <c r="H1126" s="2" t="s">
        <v>18</v>
      </c>
      <c r="I1126" s="2"/>
      <c r="J1126" s="2" t="s">
        <v>19</v>
      </c>
      <c r="K1126" s="2" t="s">
        <v>20</v>
      </c>
      <c r="L1126" s="2" t="s">
        <v>518</v>
      </c>
    </row>
    <row r="1127" customFormat="false" ht="15.65" hidden="false" customHeight="true" outlineLevel="0" collapsed="false">
      <c r="A1127" s="5" t="str">
        <f aca="false">HYPERLINK("https://www.fabsurplus.com/sdi_catalog/salesItemDetails.do?id=98453")</f>
        <v>https://www.fabsurplus.com/sdi_catalog/salesItemDetails.do?id=98453</v>
      </c>
      <c r="B1127" s="5" t="s">
        <v>2982</v>
      </c>
      <c r="C1127" s="5" t="s">
        <v>2962</v>
      </c>
      <c r="D1127" s="5" t="s">
        <v>2983</v>
      </c>
      <c r="E1127" s="5" t="s">
        <v>2942</v>
      </c>
      <c r="F1127" s="5" t="s">
        <v>108</v>
      </c>
      <c r="G1127" s="5" t="s">
        <v>2943</v>
      </c>
      <c r="H1127" s="5" t="s">
        <v>18</v>
      </c>
      <c r="I1127" s="5"/>
      <c r="J1127" s="5" t="s">
        <v>19</v>
      </c>
      <c r="K1127" s="5" t="s">
        <v>20</v>
      </c>
      <c r="L1127" s="5" t="s">
        <v>518</v>
      </c>
    </row>
    <row r="1128" customFormat="false" ht="15.65" hidden="false" customHeight="true" outlineLevel="0" collapsed="false">
      <c r="A1128" s="2" t="str">
        <f aca="false">HYPERLINK("https://www.fabsurplus.com/sdi_catalog/salesItemDetails.do?id=98456")</f>
        <v>https://www.fabsurplus.com/sdi_catalog/salesItemDetails.do?id=98456</v>
      </c>
      <c r="B1128" s="2" t="s">
        <v>2984</v>
      </c>
      <c r="C1128" s="2" t="s">
        <v>2962</v>
      </c>
      <c r="D1128" s="2" t="s">
        <v>2985</v>
      </c>
      <c r="E1128" s="2" t="s">
        <v>2986</v>
      </c>
      <c r="F1128" s="2" t="s">
        <v>16</v>
      </c>
      <c r="G1128" s="2" t="s">
        <v>61</v>
      </c>
      <c r="H1128" s="2" t="s">
        <v>32</v>
      </c>
      <c r="I1128" s="2"/>
      <c r="J1128" s="2" t="s">
        <v>19</v>
      </c>
      <c r="K1128" s="2" t="s">
        <v>20</v>
      </c>
      <c r="L1128" s="4" t="s">
        <v>2987</v>
      </c>
    </row>
    <row r="1129" customFormat="false" ht="15.65" hidden="false" customHeight="true" outlineLevel="0" collapsed="false">
      <c r="A1129" s="5" t="str">
        <f aca="false">HYPERLINK("https://www.fabsurplus.com/sdi_catalog/salesItemDetails.do?id=103821")</f>
        <v>https://www.fabsurplus.com/sdi_catalog/salesItemDetails.do?id=103821</v>
      </c>
      <c r="B1129" s="5" t="s">
        <v>2988</v>
      </c>
      <c r="C1129" s="5" t="s">
        <v>2989</v>
      </c>
      <c r="D1129" s="5" t="s">
        <v>2990</v>
      </c>
      <c r="E1129" s="5" t="s">
        <v>2991</v>
      </c>
      <c r="F1129" s="5" t="s">
        <v>16</v>
      </c>
      <c r="G1129" s="5" t="s">
        <v>104</v>
      </c>
      <c r="H1129" s="5" t="s">
        <v>32</v>
      </c>
      <c r="I1129" s="6" t="n">
        <v>39082.9583333333</v>
      </c>
      <c r="J1129" s="5" t="s">
        <v>42</v>
      </c>
      <c r="K1129" s="5" t="s">
        <v>20</v>
      </c>
      <c r="L1129" s="7" t="s">
        <v>2992</v>
      </c>
    </row>
    <row r="1130" customFormat="false" ht="15.65" hidden="false" customHeight="true" outlineLevel="0" collapsed="false">
      <c r="A1130" s="2" t="str">
        <f aca="false">HYPERLINK("https://www.fabsurplus.com/sdi_catalog/salesItemDetails.do?id=103822")</f>
        <v>https://www.fabsurplus.com/sdi_catalog/salesItemDetails.do?id=103822</v>
      </c>
      <c r="B1130" s="2" t="s">
        <v>2993</v>
      </c>
      <c r="C1130" s="2" t="s">
        <v>2989</v>
      </c>
      <c r="D1130" s="2" t="s">
        <v>2990</v>
      </c>
      <c r="E1130" s="2" t="s">
        <v>2991</v>
      </c>
      <c r="F1130" s="2" t="s">
        <v>16</v>
      </c>
      <c r="G1130" s="2" t="s">
        <v>104</v>
      </c>
      <c r="H1130" s="2" t="s">
        <v>18</v>
      </c>
      <c r="I1130" s="3" t="n">
        <v>39052</v>
      </c>
      <c r="J1130" s="2" t="s">
        <v>42</v>
      </c>
      <c r="K1130" s="2" t="s">
        <v>20</v>
      </c>
      <c r="L1130" s="4" t="s">
        <v>2994</v>
      </c>
    </row>
    <row r="1131" customFormat="false" ht="15.65" hidden="false" customHeight="true" outlineLevel="0" collapsed="false">
      <c r="A1131" s="5" t="str">
        <f aca="false">HYPERLINK("https://www.fabsurplus.com/sdi_catalog/salesItemDetails.do?id=108740")</f>
        <v>https://www.fabsurplus.com/sdi_catalog/salesItemDetails.do?id=108740</v>
      </c>
      <c r="B1131" s="5" t="s">
        <v>2995</v>
      </c>
      <c r="C1131" s="5" t="s">
        <v>2996</v>
      </c>
      <c r="D1131" s="5" t="s">
        <v>2997</v>
      </c>
      <c r="E1131" s="5" t="s">
        <v>2998</v>
      </c>
      <c r="F1131" s="5" t="s">
        <v>16</v>
      </c>
      <c r="G1131" s="5" t="s">
        <v>97</v>
      </c>
      <c r="H1131" s="5" t="s">
        <v>18</v>
      </c>
      <c r="I1131" s="5"/>
      <c r="J1131" s="5" t="s">
        <v>19</v>
      </c>
      <c r="K1131" s="5" t="s">
        <v>20</v>
      </c>
      <c r="L1131" s="7" t="s">
        <v>2999</v>
      </c>
    </row>
    <row r="1132" customFormat="false" ht="15.65" hidden="false" customHeight="true" outlineLevel="0" collapsed="false">
      <c r="A1132" s="2" t="str">
        <f aca="false">HYPERLINK("https://www.fabsurplus.com/sdi_catalog/salesItemDetails.do?id=108042")</f>
        <v>https://www.fabsurplus.com/sdi_catalog/salesItemDetails.do?id=108042</v>
      </c>
      <c r="B1132" s="2" t="s">
        <v>3000</v>
      </c>
      <c r="C1132" s="2" t="s">
        <v>3001</v>
      </c>
      <c r="D1132" s="2" t="s">
        <v>3002</v>
      </c>
      <c r="E1132" s="2" t="s">
        <v>3003</v>
      </c>
      <c r="F1132" s="2" t="s">
        <v>16</v>
      </c>
      <c r="G1132" s="2" t="s">
        <v>104</v>
      </c>
      <c r="H1132" s="2" t="s">
        <v>32</v>
      </c>
      <c r="I1132" s="2"/>
      <c r="J1132" s="2" t="s">
        <v>19</v>
      </c>
      <c r="K1132" s="2" t="s">
        <v>20</v>
      </c>
      <c r="L1132" s="4" t="s">
        <v>3004</v>
      </c>
    </row>
    <row r="1133" customFormat="false" ht="15.65" hidden="false" customHeight="true" outlineLevel="0" collapsed="false">
      <c r="A1133" s="5" t="str">
        <f aca="false">HYPERLINK("https://www.fabsurplus.com/sdi_catalog/salesItemDetails.do?id=106806")</f>
        <v>https://www.fabsurplus.com/sdi_catalog/salesItemDetails.do?id=106806</v>
      </c>
      <c r="B1133" s="5" t="s">
        <v>3005</v>
      </c>
      <c r="C1133" s="5" t="s">
        <v>3006</v>
      </c>
      <c r="D1133" s="5" t="s">
        <v>2888</v>
      </c>
      <c r="E1133" s="5" t="s">
        <v>2964</v>
      </c>
      <c r="F1133" s="5" t="s">
        <v>151</v>
      </c>
      <c r="G1133" s="5" t="s">
        <v>2943</v>
      </c>
      <c r="H1133" s="5"/>
      <c r="I1133" s="5"/>
      <c r="J1133" s="5" t="s">
        <v>42</v>
      </c>
      <c r="K1133" s="5"/>
      <c r="L1133" s="5" t="s">
        <v>142</v>
      </c>
    </row>
    <row r="1134" customFormat="false" ht="15.65" hidden="false" customHeight="true" outlineLevel="0" collapsed="false">
      <c r="A1134" s="2" t="str">
        <f aca="false">HYPERLINK("https://www.fabsurplus.com/sdi_catalog/salesItemDetails.do?id=106809")</f>
        <v>https://www.fabsurplus.com/sdi_catalog/salesItemDetails.do?id=106809</v>
      </c>
      <c r="B1134" s="2" t="s">
        <v>3007</v>
      </c>
      <c r="C1134" s="2" t="s">
        <v>3006</v>
      </c>
      <c r="D1134" s="2" t="s">
        <v>3008</v>
      </c>
      <c r="E1134" s="2" t="s">
        <v>2964</v>
      </c>
      <c r="F1134" s="2" t="s">
        <v>236</v>
      </c>
      <c r="G1134" s="2" t="s">
        <v>2943</v>
      </c>
      <c r="H1134" s="2"/>
      <c r="I1134" s="2"/>
      <c r="J1134" s="2" t="s">
        <v>42</v>
      </c>
      <c r="K1134" s="2"/>
      <c r="L1134" s="2" t="s">
        <v>142</v>
      </c>
    </row>
    <row r="1135" customFormat="false" ht="15.65" hidden="false" customHeight="true" outlineLevel="0" collapsed="false">
      <c r="A1135" s="5" t="str">
        <f aca="false">HYPERLINK("https://www.fabsurplus.com/sdi_catalog/salesItemDetails.do?id=106810")</f>
        <v>https://www.fabsurplus.com/sdi_catalog/salesItemDetails.do?id=106810</v>
      </c>
      <c r="B1135" s="5" t="s">
        <v>3009</v>
      </c>
      <c r="C1135" s="5" t="s">
        <v>3006</v>
      </c>
      <c r="D1135" s="5" t="s">
        <v>3010</v>
      </c>
      <c r="E1135" s="5" t="s">
        <v>2964</v>
      </c>
      <c r="F1135" s="5" t="s">
        <v>151</v>
      </c>
      <c r="G1135" s="5" t="s">
        <v>2943</v>
      </c>
      <c r="H1135" s="5"/>
      <c r="I1135" s="5"/>
      <c r="J1135" s="5" t="s">
        <v>42</v>
      </c>
      <c r="K1135" s="5"/>
      <c r="L1135" s="5" t="s">
        <v>142</v>
      </c>
    </row>
    <row r="1136" customFormat="false" ht="15.65" hidden="false" customHeight="true" outlineLevel="0" collapsed="false">
      <c r="A1136" s="2" t="str">
        <f aca="false">HYPERLINK("https://www.fabsurplus.com/sdi_catalog/salesItemDetails.do?id=106813")</f>
        <v>https://www.fabsurplus.com/sdi_catalog/salesItemDetails.do?id=106813</v>
      </c>
      <c r="B1136" s="2" t="s">
        <v>3011</v>
      </c>
      <c r="C1136" s="2" t="s">
        <v>3006</v>
      </c>
      <c r="D1136" s="2" t="s">
        <v>3012</v>
      </c>
      <c r="E1136" s="2" t="s">
        <v>3013</v>
      </c>
      <c r="F1136" s="2" t="s">
        <v>145</v>
      </c>
      <c r="G1136" s="2" t="s">
        <v>3014</v>
      </c>
      <c r="H1136" s="2"/>
      <c r="I1136" s="2"/>
      <c r="J1136" s="2" t="s">
        <v>42</v>
      </c>
      <c r="K1136" s="2"/>
      <c r="L1136" s="2" t="s">
        <v>142</v>
      </c>
    </row>
    <row r="1137" customFormat="false" ht="15.65" hidden="false" customHeight="true" outlineLevel="0" collapsed="false">
      <c r="A1137" s="5" t="str">
        <f aca="false">HYPERLINK("https://www.fabsurplus.com/sdi_catalog/salesItemDetails.do?id=106815")</f>
        <v>https://www.fabsurplus.com/sdi_catalog/salesItemDetails.do?id=106815</v>
      </c>
      <c r="B1137" s="5" t="s">
        <v>3015</v>
      </c>
      <c r="C1137" s="5" t="s">
        <v>3006</v>
      </c>
      <c r="D1137" s="5" t="s">
        <v>3016</v>
      </c>
      <c r="E1137" s="5" t="s">
        <v>2974</v>
      </c>
      <c r="F1137" s="5" t="s">
        <v>151</v>
      </c>
      <c r="G1137" s="5" t="s">
        <v>84</v>
      </c>
      <c r="H1137" s="5"/>
      <c r="I1137" s="5"/>
      <c r="J1137" s="5" t="s">
        <v>42</v>
      </c>
      <c r="K1137" s="5"/>
      <c r="L1137" s="5" t="s">
        <v>142</v>
      </c>
    </row>
    <row r="1138" customFormat="false" ht="15.65" hidden="false" customHeight="true" outlineLevel="0" collapsed="false">
      <c r="A1138" s="2" t="str">
        <f aca="false">HYPERLINK("https://www.fabsurplus.com/sdi_catalog/salesItemDetails.do?id=98457")</f>
        <v>https://www.fabsurplus.com/sdi_catalog/salesItemDetails.do?id=98457</v>
      </c>
      <c r="B1138" s="2" t="s">
        <v>3017</v>
      </c>
      <c r="C1138" s="2" t="s">
        <v>3006</v>
      </c>
      <c r="D1138" s="2" t="s">
        <v>3018</v>
      </c>
      <c r="E1138" s="2" t="s">
        <v>2974</v>
      </c>
      <c r="F1138" s="2" t="s">
        <v>86</v>
      </c>
      <c r="G1138" s="2" t="s">
        <v>1803</v>
      </c>
      <c r="H1138" s="2"/>
      <c r="I1138" s="2"/>
      <c r="J1138" s="2" t="s">
        <v>19</v>
      </c>
      <c r="K1138" s="2"/>
      <c r="L1138" s="2" t="s">
        <v>518</v>
      </c>
    </row>
    <row r="1139" customFormat="false" ht="15.65" hidden="false" customHeight="true" outlineLevel="0" collapsed="false">
      <c r="A1139" s="5" t="str">
        <f aca="false">HYPERLINK("https://www.fabsurplus.com/sdi_catalog/salesItemDetails.do?id=102555")</f>
        <v>https://www.fabsurplus.com/sdi_catalog/salesItemDetails.do?id=102555</v>
      </c>
      <c r="B1139" s="5" t="s">
        <v>3019</v>
      </c>
      <c r="C1139" s="5" t="s">
        <v>3006</v>
      </c>
      <c r="D1139" s="5" t="s">
        <v>3020</v>
      </c>
      <c r="E1139" s="5" t="s">
        <v>3021</v>
      </c>
      <c r="F1139" s="5" t="s">
        <v>250</v>
      </c>
      <c r="G1139" s="5" t="s">
        <v>3014</v>
      </c>
      <c r="H1139" s="5"/>
      <c r="I1139" s="5"/>
      <c r="J1139" s="5" t="s">
        <v>42</v>
      </c>
      <c r="K1139" s="5"/>
      <c r="L1139" s="5"/>
    </row>
    <row r="1140" customFormat="false" ht="15.65" hidden="false" customHeight="true" outlineLevel="0" collapsed="false">
      <c r="A1140" s="2" t="str">
        <f aca="false">HYPERLINK("https://www.fabsurplus.com/sdi_catalog/salesItemDetails.do?id=108270")</f>
        <v>https://www.fabsurplus.com/sdi_catalog/salesItemDetails.do?id=108270</v>
      </c>
      <c r="B1140" s="2" t="s">
        <v>3022</v>
      </c>
      <c r="C1140" s="2" t="s">
        <v>3023</v>
      </c>
      <c r="D1140" s="2" t="s">
        <v>3024</v>
      </c>
      <c r="E1140" s="2" t="s">
        <v>3025</v>
      </c>
      <c r="F1140" s="2" t="s">
        <v>16</v>
      </c>
      <c r="G1140" s="2" t="s">
        <v>38</v>
      </c>
      <c r="H1140" s="2"/>
      <c r="I1140" s="3" t="n">
        <v>37043</v>
      </c>
      <c r="J1140" s="2" t="s">
        <v>19</v>
      </c>
      <c r="K1140" s="2"/>
      <c r="L1140" s="4" t="s">
        <v>3026</v>
      </c>
    </row>
    <row r="1141" customFormat="false" ht="15.65" hidden="false" customHeight="true" outlineLevel="0" collapsed="false">
      <c r="A1141" s="5" t="str">
        <f aca="false">HYPERLINK("https://www.fabsurplus.com/sdi_catalog/salesItemDetails.do?id=109557")</f>
        <v>https://www.fabsurplus.com/sdi_catalog/salesItemDetails.do?id=109557</v>
      </c>
      <c r="B1141" s="5" t="s">
        <v>3027</v>
      </c>
      <c r="C1141" s="5" t="s">
        <v>3028</v>
      </c>
      <c r="D1141" s="5" t="s">
        <v>3029</v>
      </c>
      <c r="E1141" s="5" t="s">
        <v>3030</v>
      </c>
      <c r="F1141" s="5" t="s">
        <v>16</v>
      </c>
      <c r="G1141" s="5" t="s">
        <v>3031</v>
      </c>
      <c r="H1141" s="5" t="s">
        <v>32</v>
      </c>
      <c r="I1141" s="5"/>
      <c r="J1141" s="5" t="s">
        <v>19</v>
      </c>
      <c r="K1141" s="5" t="s">
        <v>20</v>
      </c>
      <c r="L1141" s="5"/>
    </row>
    <row r="1142" customFormat="false" ht="15.65" hidden="false" customHeight="true" outlineLevel="0" collapsed="false">
      <c r="A1142" s="2" t="str">
        <f aca="false">HYPERLINK("https://www.fabsurplus.com/sdi_catalog/salesItemDetails.do?id=108025")</f>
        <v>https://www.fabsurplus.com/sdi_catalog/salesItemDetails.do?id=108025</v>
      </c>
      <c r="B1142" s="2" t="s">
        <v>3032</v>
      </c>
      <c r="C1142" s="2" t="s">
        <v>3028</v>
      </c>
      <c r="D1142" s="2" t="s">
        <v>3033</v>
      </c>
      <c r="E1142" s="2" t="s">
        <v>2820</v>
      </c>
      <c r="F1142" s="2" t="s">
        <v>16</v>
      </c>
      <c r="G1142" s="2"/>
      <c r="H1142" s="2"/>
      <c r="I1142" s="2"/>
      <c r="J1142" s="2" t="s">
        <v>19</v>
      </c>
      <c r="K1142" s="2"/>
      <c r="L1142" s="2" t="s">
        <v>142</v>
      </c>
    </row>
    <row r="1143" customFormat="false" ht="15.65" hidden="false" customHeight="true" outlineLevel="0" collapsed="false">
      <c r="A1143" s="5" t="str">
        <f aca="false">HYPERLINK("https://www.fabsurplus.com/sdi_catalog/salesItemDetails.do?id=108702")</f>
        <v>https://www.fabsurplus.com/sdi_catalog/salesItemDetails.do?id=108702</v>
      </c>
      <c r="B1143" s="5" t="s">
        <v>3034</v>
      </c>
      <c r="C1143" s="5" t="s">
        <v>3035</v>
      </c>
      <c r="D1143" s="5" t="s">
        <v>3036</v>
      </c>
      <c r="E1143" s="5" t="s">
        <v>3037</v>
      </c>
      <c r="F1143" s="5" t="s">
        <v>16</v>
      </c>
      <c r="G1143" s="5" t="s">
        <v>31</v>
      </c>
      <c r="H1143" s="5" t="s">
        <v>32</v>
      </c>
      <c r="I1143" s="6" t="n">
        <v>41426</v>
      </c>
      <c r="J1143" s="5" t="s">
        <v>19</v>
      </c>
      <c r="K1143" s="5" t="s">
        <v>20</v>
      </c>
      <c r="L1143" s="7" t="s">
        <v>3038</v>
      </c>
    </row>
    <row r="1144" customFormat="false" ht="15.65" hidden="false" customHeight="true" outlineLevel="0" collapsed="false">
      <c r="A1144" s="2" t="str">
        <f aca="false">HYPERLINK("https://www.fabsurplus.com/sdi_catalog/salesItemDetails.do?id=108644")</f>
        <v>https://www.fabsurplus.com/sdi_catalog/salesItemDetails.do?id=108644</v>
      </c>
      <c r="B1144" s="2" t="s">
        <v>3039</v>
      </c>
      <c r="C1144" s="2" t="s">
        <v>3040</v>
      </c>
      <c r="D1144" s="2" t="s">
        <v>3041</v>
      </c>
      <c r="E1144" s="2" t="s">
        <v>3042</v>
      </c>
      <c r="F1144" s="2" t="s">
        <v>16</v>
      </c>
      <c r="G1144" s="2" t="s">
        <v>2858</v>
      </c>
      <c r="H1144" s="2" t="s">
        <v>32</v>
      </c>
      <c r="I1144" s="3" t="n">
        <v>38869</v>
      </c>
      <c r="J1144" s="2" t="s">
        <v>19</v>
      </c>
      <c r="K1144" s="2" t="s">
        <v>20</v>
      </c>
      <c r="L1144" s="2" t="s">
        <v>3043</v>
      </c>
    </row>
    <row r="1145" customFormat="false" ht="15.65" hidden="false" customHeight="true" outlineLevel="0" collapsed="false">
      <c r="A1145" s="5" t="str">
        <f aca="false">HYPERLINK("https://www.fabsurplus.com/sdi_catalog/salesItemDetails.do?id=84378")</f>
        <v>https://www.fabsurplus.com/sdi_catalog/salesItemDetails.do?id=84378</v>
      </c>
      <c r="B1145" s="5" t="s">
        <v>3044</v>
      </c>
      <c r="C1145" s="5" t="s">
        <v>3045</v>
      </c>
      <c r="D1145" s="5"/>
      <c r="E1145" s="5"/>
      <c r="F1145" s="5" t="s">
        <v>86</v>
      </c>
      <c r="G1145" s="5"/>
      <c r="H1145" s="5" t="s">
        <v>18</v>
      </c>
      <c r="I1145" s="5"/>
      <c r="J1145" s="5" t="s">
        <v>19</v>
      </c>
      <c r="K1145" s="5" t="s">
        <v>20</v>
      </c>
      <c r="L1145" s="7" t="s">
        <v>3046</v>
      </c>
    </row>
    <row r="1146" customFormat="false" ht="15.65" hidden="false" customHeight="true" outlineLevel="0" collapsed="false">
      <c r="A1146" s="2" t="str">
        <f aca="false">HYPERLINK("https://www.fabsurplus.com/sdi_catalog/salesItemDetails.do?id=80256")</f>
        <v>https://www.fabsurplus.com/sdi_catalog/salesItemDetails.do?id=80256</v>
      </c>
      <c r="B1146" s="2" t="s">
        <v>3047</v>
      </c>
      <c r="C1146" s="2" t="s">
        <v>3048</v>
      </c>
      <c r="D1146" s="2" t="s">
        <v>3049</v>
      </c>
      <c r="E1146" s="2" t="s">
        <v>3050</v>
      </c>
      <c r="F1146" s="2" t="s">
        <v>3051</v>
      </c>
      <c r="G1146" s="2"/>
      <c r="H1146" s="2" t="s">
        <v>18</v>
      </c>
      <c r="I1146" s="2"/>
      <c r="J1146" s="2" t="s">
        <v>19</v>
      </c>
      <c r="K1146" s="2" t="s">
        <v>20</v>
      </c>
      <c r="L1146" s="2"/>
    </row>
    <row r="1147" customFormat="false" ht="15.65" hidden="false" customHeight="true" outlineLevel="0" collapsed="false">
      <c r="A1147" s="5" t="str">
        <f aca="false">HYPERLINK("https://www.fabsurplus.com/sdi_catalog/salesItemDetails.do?id=80258")</f>
        <v>https://www.fabsurplus.com/sdi_catalog/salesItemDetails.do?id=80258</v>
      </c>
      <c r="B1147" s="5" t="s">
        <v>3052</v>
      </c>
      <c r="C1147" s="5" t="s">
        <v>3048</v>
      </c>
      <c r="D1147" s="5" t="s">
        <v>3053</v>
      </c>
      <c r="E1147" s="5" t="s">
        <v>3050</v>
      </c>
      <c r="F1147" s="5" t="s">
        <v>145</v>
      </c>
      <c r="G1147" s="5"/>
      <c r="H1147" s="5" t="s">
        <v>18</v>
      </c>
      <c r="I1147" s="5"/>
      <c r="J1147" s="5" t="s">
        <v>19</v>
      </c>
      <c r="K1147" s="5" t="s">
        <v>20</v>
      </c>
      <c r="L1147" s="5"/>
    </row>
    <row r="1148" customFormat="false" ht="15.65" hidden="false" customHeight="true" outlineLevel="0" collapsed="false">
      <c r="A1148" s="2" t="str">
        <f aca="false">HYPERLINK("https://www.fabsurplus.com/sdi_catalog/salesItemDetails.do?id=77154")</f>
        <v>https://www.fabsurplus.com/sdi_catalog/salesItemDetails.do?id=77154</v>
      </c>
      <c r="B1148" s="2" t="s">
        <v>3054</v>
      </c>
      <c r="C1148" s="2" t="s">
        <v>3055</v>
      </c>
      <c r="D1148" s="2" t="s">
        <v>3056</v>
      </c>
      <c r="E1148" s="2" t="s">
        <v>3057</v>
      </c>
      <c r="F1148" s="2" t="s">
        <v>16</v>
      </c>
      <c r="G1148" s="2" t="s">
        <v>104</v>
      </c>
      <c r="H1148" s="2" t="s">
        <v>18</v>
      </c>
      <c r="I1148" s="2"/>
      <c r="J1148" s="2" t="s">
        <v>19</v>
      </c>
      <c r="K1148" s="2" t="s">
        <v>20</v>
      </c>
      <c r="L1148" s="4" t="s">
        <v>3058</v>
      </c>
    </row>
    <row r="1149" customFormat="false" ht="15.65" hidden="false" customHeight="true" outlineLevel="0" collapsed="false">
      <c r="A1149" s="5" t="str">
        <f aca="false">HYPERLINK("https://www.fabsurplus.com/sdi_catalog/salesItemDetails.do?id=108063")</f>
        <v>https://www.fabsurplus.com/sdi_catalog/salesItemDetails.do?id=108063</v>
      </c>
      <c r="B1149" s="5" t="s">
        <v>3059</v>
      </c>
      <c r="C1149" s="5" t="s">
        <v>3060</v>
      </c>
      <c r="D1149" s="5" t="s">
        <v>3061</v>
      </c>
      <c r="E1149" s="5" t="s">
        <v>3062</v>
      </c>
      <c r="F1149" s="5" t="s">
        <v>16</v>
      </c>
      <c r="G1149" s="5"/>
      <c r="H1149" s="5"/>
      <c r="I1149" s="5"/>
      <c r="J1149" s="5" t="s">
        <v>19</v>
      </c>
      <c r="K1149" s="5"/>
      <c r="L1149" s="5" t="s">
        <v>3063</v>
      </c>
    </row>
    <row r="1150" customFormat="false" ht="15.65" hidden="false" customHeight="true" outlineLevel="0" collapsed="false">
      <c r="A1150" s="2" t="str">
        <f aca="false">HYPERLINK("https://www.fabsurplus.com/sdi_catalog/salesItemDetails.do?id=108394")</f>
        <v>https://www.fabsurplus.com/sdi_catalog/salesItemDetails.do?id=108394</v>
      </c>
      <c r="B1150" s="2" t="s">
        <v>3064</v>
      </c>
      <c r="C1150" s="2" t="s">
        <v>3065</v>
      </c>
      <c r="D1150" s="2" t="s">
        <v>3066</v>
      </c>
      <c r="E1150" s="2" t="s">
        <v>3067</v>
      </c>
      <c r="F1150" s="2" t="s">
        <v>16</v>
      </c>
      <c r="G1150" s="2" t="s">
        <v>61</v>
      </c>
      <c r="H1150" s="2"/>
      <c r="I1150" s="2"/>
      <c r="J1150" s="2" t="s">
        <v>19</v>
      </c>
      <c r="K1150" s="2"/>
      <c r="L1150" s="2"/>
    </row>
    <row r="1151" customFormat="false" ht="15.65" hidden="false" customHeight="true" outlineLevel="0" collapsed="false">
      <c r="A1151" s="5" t="str">
        <f aca="false">HYPERLINK("https://www.fabsurplus.com/sdi_catalog/salesItemDetails.do?id=106645")</f>
        <v>https://www.fabsurplus.com/sdi_catalog/salesItemDetails.do?id=106645</v>
      </c>
      <c r="B1151" s="5" t="s">
        <v>3068</v>
      </c>
      <c r="C1151" s="5" t="s">
        <v>3065</v>
      </c>
      <c r="D1151" s="5" t="s">
        <v>3069</v>
      </c>
      <c r="E1151" s="5" t="s">
        <v>3070</v>
      </c>
      <c r="F1151" s="5" t="s">
        <v>16</v>
      </c>
      <c r="G1151" s="5" t="s">
        <v>61</v>
      </c>
      <c r="H1151" s="5"/>
      <c r="I1151" s="5"/>
      <c r="J1151" s="5" t="s">
        <v>19</v>
      </c>
      <c r="K1151" s="5"/>
      <c r="L1151" s="5" t="s">
        <v>518</v>
      </c>
    </row>
    <row r="1152" customFormat="false" ht="15.65" hidden="false" customHeight="true" outlineLevel="0" collapsed="false">
      <c r="A1152" s="2" t="str">
        <f aca="false">HYPERLINK("https://www.fabsurplus.com/sdi_catalog/salesItemDetails.do?id=84244")</f>
        <v>https://www.fabsurplus.com/sdi_catalog/salesItemDetails.do?id=84244</v>
      </c>
      <c r="B1152" s="2" t="s">
        <v>3071</v>
      </c>
      <c r="C1152" s="2" t="s">
        <v>3072</v>
      </c>
      <c r="D1152" s="2" t="s">
        <v>3073</v>
      </c>
      <c r="E1152" s="2" t="s">
        <v>3074</v>
      </c>
      <c r="F1152" s="2" t="s">
        <v>151</v>
      </c>
      <c r="G1152" s="2" t="s">
        <v>104</v>
      </c>
      <c r="H1152" s="2" t="s">
        <v>1969</v>
      </c>
      <c r="I1152" s="2"/>
      <c r="J1152" s="2" t="s">
        <v>19</v>
      </c>
      <c r="K1152" s="2" t="s">
        <v>20</v>
      </c>
      <c r="L1152" s="4" t="s">
        <v>3075</v>
      </c>
    </row>
    <row r="1153" customFormat="false" ht="15.65" hidden="false" customHeight="true" outlineLevel="0" collapsed="false">
      <c r="A1153" s="5" t="str">
        <f aca="false">HYPERLINK("https://www.fabsurplus.com/sdi_catalog/salesItemDetails.do?id=110603")</f>
        <v>https://www.fabsurplus.com/sdi_catalog/salesItemDetails.do?id=110603</v>
      </c>
      <c r="B1153" s="5" t="s">
        <v>3076</v>
      </c>
      <c r="C1153" s="5" t="s">
        <v>3077</v>
      </c>
      <c r="D1153" s="5" t="s">
        <v>3078</v>
      </c>
      <c r="E1153" s="5" t="s">
        <v>3079</v>
      </c>
      <c r="F1153" s="5" t="s">
        <v>16</v>
      </c>
      <c r="G1153" s="5" t="s">
        <v>3031</v>
      </c>
      <c r="H1153" s="5" t="s">
        <v>18</v>
      </c>
      <c r="I1153" s="5"/>
      <c r="J1153" s="5" t="s">
        <v>42</v>
      </c>
      <c r="K1153" s="5" t="s">
        <v>20</v>
      </c>
      <c r="L1153" s="7" t="s">
        <v>3080</v>
      </c>
    </row>
    <row r="1154" customFormat="false" ht="15.65" hidden="false" customHeight="true" outlineLevel="0" collapsed="false">
      <c r="A1154" s="2" t="str">
        <f aca="false">HYPERLINK("https://www.fabsurplus.com/sdi_catalog/salesItemDetails.do?id=110604")</f>
        <v>https://www.fabsurplus.com/sdi_catalog/salesItemDetails.do?id=110604</v>
      </c>
      <c r="B1154" s="2" t="s">
        <v>3081</v>
      </c>
      <c r="C1154" s="2" t="s">
        <v>3082</v>
      </c>
      <c r="D1154" s="2" t="s">
        <v>3083</v>
      </c>
      <c r="E1154" s="2" t="s">
        <v>3084</v>
      </c>
      <c r="F1154" s="2" t="s">
        <v>16</v>
      </c>
      <c r="G1154" s="2" t="s">
        <v>3031</v>
      </c>
      <c r="H1154" s="2" t="s">
        <v>18</v>
      </c>
      <c r="I1154" s="3" t="n">
        <v>40695</v>
      </c>
      <c r="J1154" s="2" t="s">
        <v>19</v>
      </c>
      <c r="K1154" s="2" t="s">
        <v>20</v>
      </c>
      <c r="L1154" s="4" t="s">
        <v>3085</v>
      </c>
    </row>
    <row r="1155" customFormat="false" ht="15.65" hidden="false" customHeight="true" outlineLevel="0" collapsed="false">
      <c r="A1155" s="5" t="str">
        <f aca="false">HYPERLINK("https://www.fabsurplus.com/sdi_catalog/salesItemDetails.do?id=53020")</f>
        <v>https://www.fabsurplus.com/sdi_catalog/salesItemDetails.do?id=53020</v>
      </c>
      <c r="B1155" s="5" t="s">
        <v>3086</v>
      </c>
      <c r="C1155" s="5" t="s">
        <v>3087</v>
      </c>
      <c r="D1155" s="5" t="s">
        <v>3088</v>
      </c>
      <c r="E1155" s="5" t="s">
        <v>3089</v>
      </c>
      <c r="F1155" s="5" t="s">
        <v>16</v>
      </c>
      <c r="G1155" s="5" t="s">
        <v>97</v>
      </c>
      <c r="H1155" s="5" t="s">
        <v>18</v>
      </c>
      <c r="I1155" s="6" t="n">
        <v>36341.9166666667</v>
      </c>
      <c r="J1155" s="5" t="s">
        <v>19</v>
      </c>
      <c r="K1155" s="5" t="s">
        <v>20</v>
      </c>
      <c r="L1155" s="5" t="s">
        <v>3090</v>
      </c>
    </row>
    <row r="1156" customFormat="false" ht="15.65" hidden="false" customHeight="true" outlineLevel="0" collapsed="false">
      <c r="A1156" s="2" t="str">
        <f aca="false">HYPERLINK("https://www.fabsurplus.com/sdi_catalog/salesItemDetails.do?id=53021")</f>
        <v>https://www.fabsurplus.com/sdi_catalog/salesItemDetails.do?id=53021</v>
      </c>
      <c r="B1156" s="2" t="s">
        <v>3091</v>
      </c>
      <c r="C1156" s="2" t="s">
        <v>3092</v>
      </c>
      <c r="D1156" s="2" t="s">
        <v>3093</v>
      </c>
      <c r="E1156" s="2" t="s">
        <v>3089</v>
      </c>
      <c r="F1156" s="2" t="s">
        <v>16</v>
      </c>
      <c r="G1156" s="2" t="s">
        <v>97</v>
      </c>
      <c r="H1156" s="2" t="s">
        <v>18</v>
      </c>
      <c r="I1156" s="3" t="n">
        <v>36341.9166666667</v>
      </c>
      <c r="J1156" s="2" t="s">
        <v>19</v>
      </c>
      <c r="K1156" s="2" t="s">
        <v>20</v>
      </c>
      <c r="L1156" s="2" t="s">
        <v>3094</v>
      </c>
    </row>
    <row r="1157" customFormat="false" ht="15.65" hidden="false" customHeight="true" outlineLevel="0" collapsed="false">
      <c r="A1157" s="5" t="str">
        <f aca="false">HYPERLINK("https://www.fabsurplus.com/sdi_catalog/salesItemDetails.do?id=110623")</f>
        <v>https://www.fabsurplus.com/sdi_catalog/salesItemDetails.do?id=110623</v>
      </c>
      <c r="B1157" s="5" t="s">
        <v>3095</v>
      </c>
      <c r="C1157" s="5" t="s">
        <v>3092</v>
      </c>
      <c r="D1157" s="5" t="s">
        <v>3096</v>
      </c>
      <c r="E1157" s="5" t="s">
        <v>3097</v>
      </c>
      <c r="F1157" s="5" t="s">
        <v>16</v>
      </c>
      <c r="G1157" s="5" t="s">
        <v>61</v>
      </c>
      <c r="H1157" s="5"/>
      <c r="I1157" s="5"/>
      <c r="J1157" s="5" t="s">
        <v>19</v>
      </c>
      <c r="K1157" s="5"/>
      <c r="L1157" s="7" t="s">
        <v>1617</v>
      </c>
    </row>
    <row r="1158" customFormat="false" ht="15.65" hidden="false" customHeight="true" outlineLevel="0" collapsed="false">
      <c r="A1158" s="2" t="str">
        <f aca="false">HYPERLINK("https://www.fabsurplus.com/sdi_catalog/salesItemDetails.do?id=53023")</f>
        <v>https://www.fabsurplus.com/sdi_catalog/salesItemDetails.do?id=53023</v>
      </c>
      <c r="B1158" s="2" t="s">
        <v>3098</v>
      </c>
      <c r="C1158" s="2" t="s">
        <v>3092</v>
      </c>
      <c r="D1158" s="2" t="s">
        <v>3093</v>
      </c>
      <c r="E1158" s="2" t="s">
        <v>3089</v>
      </c>
      <c r="F1158" s="2" t="s">
        <v>16</v>
      </c>
      <c r="G1158" s="2" t="s">
        <v>97</v>
      </c>
      <c r="H1158" s="2" t="s">
        <v>18</v>
      </c>
      <c r="I1158" s="3" t="n">
        <v>36341.9166666667</v>
      </c>
      <c r="J1158" s="2" t="s">
        <v>19</v>
      </c>
      <c r="K1158" s="2" t="s">
        <v>20</v>
      </c>
      <c r="L1158" s="2" t="s">
        <v>3099</v>
      </c>
    </row>
    <row r="1159" customFormat="false" ht="15.65" hidden="false" customHeight="true" outlineLevel="0" collapsed="false">
      <c r="A1159" s="5" t="str">
        <f aca="false">HYPERLINK("https://www.fabsurplus.com/sdi_catalog/salesItemDetails.do?id=109090")</f>
        <v>https://www.fabsurplus.com/sdi_catalog/salesItemDetails.do?id=109090</v>
      </c>
      <c r="B1159" s="5" t="s">
        <v>3100</v>
      </c>
      <c r="C1159" s="5" t="s">
        <v>3092</v>
      </c>
      <c r="D1159" s="5" t="s">
        <v>3101</v>
      </c>
      <c r="E1159" s="5" t="s">
        <v>3102</v>
      </c>
      <c r="F1159" s="5" t="s">
        <v>16</v>
      </c>
      <c r="G1159" s="5" t="s">
        <v>104</v>
      </c>
      <c r="H1159" s="5" t="s">
        <v>32</v>
      </c>
      <c r="I1159" s="5"/>
      <c r="J1159" s="5" t="s">
        <v>19</v>
      </c>
      <c r="K1159" s="5" t="s">
        <v>2891</v>
      </c>
      <c r="L1159" s="7" t="s">
        <v>3103</v>
      </c>
    </row>
    <row r="1160" customFormat="false" ht="15.65" hidden="false" customHeight="true" outlineLevel="0" collapsed="false">
      <c r="A1160" s="2" t="str">
        <f aca="false">HYPERLINK("https://www.fabsurplus.com/sdi_catalog/salesItemDetails.do?id=109091")</f>
        <v>https://www.fabsurplus.com/sdi_catalog/salesItemDetails.do?id=109091</v>
      </c>
      <c r="B1160" s="2" t="s">
        <v>3104</v>
      </c>
      <c r="C1160" s="2" t="s">
        <v>3092</v>
      </c>
      <c r="D1160" s="2" t="s">
        <v>3105</v>
      </c>
      <c r="E1160" s="2" t="s">
        <v>3106</v>
      </c>
      <c r="F1160" s="2" t="s">
        <v>16</v>
      </c>
      <c r="G1160" s="2" t="s">
        <v>104</v>
      </c>
      <c r="H1160" s="2" t="s">
        <v>32</v>
      </c>
      <c r="I1160" s="2"/>
      <c r="J1160" s="2" t="s">
        <v>19</v>
      </c>
      <c r="K1160" s="2" t="s">
        <v>20</v>
      </c>
      <c r="L1160" s="2" t="s">
        <v>3107</v>
      </c>
    </row>
    <row r="1161" customFormat="false" ht="15.65" hidden="false" customHeight="true" outlineLevel="0" collapsed="false">
      <c r="A1161" s="5" t="str">
        <f aca="false">HYPERLINK("https://www.fabsurplus.com/sdi_catalog/salesItemDetails.do?id=106020")</f>
        <v>https://www.fabsurplus.com/sdi_catalog/salesItemDetails.do?id=106020</v>
      </c>
      <c r="B1161" s="5" t="s">
        <v>3108</v>
      </c>
      <c r="C1161" s="5" t="s">
        <v>3092</v>
      </c>
      <c r="D1161" s="5" t="s">
        <v>3109</v>
      </c>
      <c r="E1161" s="5" t="s">
        <v>3110</v>
      </c>
      <c r="F1161" s="5" t="s">
        <v>16</v>
      </c>
      <c r="G1161" s="5" t="s">
        <v>104</v>
      </c>
      <c r="H1161" s="5" t="s">
        <v>32</v>
      </c>
      <c r="I1161" s="6" t="n">
        <v>36312</v>
      </c>
      <c r="J1161" s="5" t="s">
        <v>19</v>
      </c>
      <c r="K1161" s="5" t="s">
        <v>20</v>
      </c>
      <c r="L1161" s="7" t="s">
        <v>3111</v>
      </c>
    </row>
    <row r="1162" customFormat="false" ht="15.65" hidden="false" customHeight="true" outlineLevel="0" collapsed="false">
      <c r="A1162" s="2" t="str">
        <f aca="false">HYPERLINK("https://www.fabsurplus.com/sdi_catalog/salesItemDetails.do?id=109092")</f>
        <v>https://www.fabsurplus.com/sdi_catalog/salesItemDetails.do?id=109092</v>
      </c>
      <c r="B1162" s="2" t="s">
        <v>3112</v>
      </c>
      <c r="C1162" s="2" t="s">
        <v>3092</v>
      </c>
      <c r="D1162" s="2" t="s">
        <v>3113</v>
      </c>
      <c r="E1162" s="2" t="s">
        <v>3114</v>
      </c>
      <c r="F1162" s="2" t="s">
        <v>16</v>
      </c>
      <c r="G1162" s="2" t="s">
        <v>104</v>
      </c>
      <c r="H1162" s="2" t="s">
        <v>32</v>
      </c>
      <c r="I1162" s="2"/>
      <c r="J1162" s="2" t="s">
        <v>19</v>
      </c>
      <c r="K1162" s="2" t="s">
        <v>20</v>
      </c>
      <c r="L1162" s="2" t="s">
        <v>3115</v>
      </c>
    </row>
    <row r="1163" customFormat="false" ht="15.65" hidden="false" customHeight="true" outlineLevel="0" collapsed="false">
      <c r="A1163" s="5" t="str">
        <f aca="false">HYPERLINK("https://www.fabsurplus.com/sdi_catalog/salesItemDetails.do?id=84774")</f>
        <v>https://www.fabsurplus.com/sdi_catalog/salesItemDetails.do?id=84774</v>
      </c>
      <c r="B1163" s="5" t="s">
        <v>3116</v>
      </c>
      <c r="C1163" s="5" t="s">
        <v>3092</v>
      </c>
      <c r="D1163" s="5" t="s">
        <v>3117</v>
      </c>
      <c r="E1163" s="5" t="s">
        <v>3118</v>
      </c>
      <c r="F1163" s="5" t="s">
        <v>16</v>
      </c>
      <c r="G1163" s="5" t="s">
        <v>38</v>
      </c>
      <c r="H1163" s="5" t="s">
        <v>18</v>
      </c>
      <c r="I1163" s="6" t="n">
        <v>36280.9166666667</v>
      </c>
      <c r="J1163" s="5" t="s">
        <v>19</v>
      </c>
      <c r="K1163" s="5" t="s">
        <v>20</v>
      </c>
      <c r="L1163" s="7" t="s">
        <v>3119</v>
      </c>
    </row>
    <row r="1164" customFormat="false" ht="15.65" hidden="false" customHeight="true" outlineLevel="0" collapsed="false">
      <c r="A1164" s="2" t="str">
        <f aca="false">HYPERLINK("https://www.fabsurplus.com/sdi_catalog/salesItemDetails.do?id=109094")</f>
        <v>https://www.fabsurplus.com/sdi_catalog/salesItemDetails.do?id=109094</v>
      </c>
      <c r="B1164" s="2" t="s">
        <v>3120</v>
      </c>
      <c r="C1164" s="2" t="s">
        <v>3087</v>
      </c>
      <c r="D1164" s="2" t="s">
        <v>3121</v>
      </c>
      <c r="E1164" s="2" t="s">
        <v>3122</v>
      </c>
      <c r="F1164" s="2" t="s">
        <v>16</v>
      </c>
      <c r="G1164" s="2" t="s">
        <v>104</v>
      </c>
      <c r="H1164" s="2" t="s">
        <v>32</v>
      </c>
      <c r="I1164" s="2"/>
      <c r="J1164" s="2" t="s">
        <v>19</v>
      </c>
      <c r="K1164" s="2" t="s">
        <v>2891</v>
      </c>
      <c r="L1164" s="4" t="s">
        <v>3123</v>
      </c>
    </row>
    <row r="1165" customFormat="false" ht="15.65" hidden="false" customHeight="true" outlineLevel="0" collapsed="false">
      <c r="A1165" s="5" t="str">
        <f aca="false">HYPERLINK("https://www.fabsurplus.com/sdi_catalog/salesItemDetails.do?id=52262")</f>
        <v>https://www.fabsurplus.com/sdi_catalog/salesItemDetails.do?id=52262</v>
      </c>
      <c r="B1165" s="5" t="s">
        <v>3124</v>
      </c>
      <c r="C1165" s="5" t="s">
        <v>3092</v>
      </c>
      <c r="D1165" s="5" t="s">
        <v>3125</v>
      </c>
      <c r="E1165" s="5" t="s">
        <v>3126</v>
      </c>
      <c r="F1165" s="5" t="s">
        <v>16</v>
      </c>
      <c r="G1165" s="5" t="s">
        <v>97</v>
      </c>
      <c r="H1165" s="5" t="s">
        <v>18</v>
      </c>
      <c r="I1165" s="6" t="n">
        <v>36341.9166666667</v>
      </c>
      <c r="J1165" s="5" t="s">
        <v>19</v>
      </c>
      <c r="K1165" s="5" t="s">
        <v>20</v>
      </c>
      <c r="L1165" s="5" t="s">
        <v>3127</v>
      </c>
    </row>
    <row r="1166" customFormat="false" ht="15.65" hidden="false" customHeight="true" outlineLevel="0" collapsed="false">
      <c r="A1166" s="2" t="str">
        <f aca="false">HYPERLINK("https://www.fabsurplus.com/sdi_catalog/salesItemDetails.do?id=53032")</f>
        <v>https://www.fabsurplus.com/sdi_catalog/salesItemDetails.do?id=53032</v>
      </c>
      <c r="B1166" s="2" t="s">
        <v>3128</v>
      </c>
      <c r="C1166" s="2" t="s">
        <v>3092</v>
      </c>
      <c r="D1166" s="2" t="s">
        <v>3129</v>
      </c>
      <c r="E1166" s="2" t="s">
        <v>3130</v>
      </c>
      <c r="F1166" s="2" t="s">
        <v>16</v>
      </c>
      <c r="G1166" s="2" t="s">
        <v>97</v>
      </c>
      <c r="H1166" s="2" t="s">
        <v>18</v>
      </c>
      <c r="I1166" s="2"/>
      <c r="J1166" s="2" t="s">
        <v>19</v>
      </c>
      <c r="K1166" s="2" t="s">
        <v>20</v>
      </c>
      <c r="L1166" s="4" t="s">
        <v>3131</v>
      </c>
    </row>
    <row r="1167" customFormat="false" ht="15.65" hidden="false" customHeight="true" outlineLevel="0" collapsed="false">
      <c r="A1167" s="5" t="str">
        <f aca="false">HYPERLINK("https://www.fabsurplus.com/sdi_catalog/salesItemDetails.do?id=52265")</f>
        <v>https://www.fabsurplus.com/sdi_catalog/salesItemDetails.do?id=52265</v>
      </c>
      <c r="B1167" s="5" t="s">
        <v>3132</v>
      </c>
      <c r="C1167" s="5" t="s">
        <v>3092</v>
      </c>
      <c r="D1167" s="5" t="s">
        <v>3133</v>
      </c>
      <c r="E1167" s="5" t="s">
        <v>3134</v>
      </c>
      <c r="F1167" s="5" t="s">
        <v>16</v>
      </c>
      <c r="G1167" s="5" t="s">
        <v>97</v>
      </c>
      <c r="H1167" s="5" t="s">
        <v>18</v>
      </c>
      <c r="I1167" s="6" t="n">
        <v>36341.9166666667</v>
      </c>
      <c r="J1167" s="5" t="s">
        <v>19</v>
      </c>
      <c r="K1167" s="5" t="s">
        <v>20</v>
      </c>
      <c r="L1167" s="7" t="s">
        <v>3135</v>
      </c>
    </row>
    <row r="1168" customFormat="false" ht="15.65" hidden="false" customHeight="true" outlineLevel="0" collapsed="false">
      <c r="A1168" s="2" t="str">
        <f aca="false">HYPERLINK("https://www.fabsurplus.com/sdi_catalog/salesItemDetails.do?id=109098")</f>
        <v>https://www.fabsurplus.com/sdi_catalog/salesItemDetails.do?id=109098</v>
      </c>
      <c r="B1168" s="2" t="s">
        <v>3136</v>
      </c>
      <c r="C1168" s="2" t="s">
        <v>3092</v>
      </c>
      <c r="D1168" s="2" t="s">
        <v>3137</v>
      </c>
      <c r="E1168" s="2" t="s">
        <v>3138</v>
      </c>
      <c r="F1168" s="2" t="s">
        <v>16</v>
      </c>
      <c r="G1168" s="2" t="s">
        <v>3139</v>
      </c>
      <c r="H1168" s="2" t="s">
        <v>32</v>
      </c>
      <c r="I1168" s="3" t="n">
        <v>35217</v>
      </c>
      <c r="J1168" s="2" t="s">
        <v>19</v>
      </c>
      <c r="K1168" s="2" t="s">
        <v>20</v>
      </c>
      <c r="L1168" s="4" t="s">
        <v>3140</v>
      </c>
    </row>
    <row r="1169" customFormat="false" ht="15.65" hidden="false" customHeight="true" outlineLevel="0" collapsed="false">
      <c r="A1169" s="5" t="str">
        <f aca="false">HYPERLINK("https://www.fabsurplus.com/sdi_catalog/salesItemDetails.do?id=109099")</f>
        <v>https://www.fabsurplus.com/sdi_catalog/salesItemDetails.do?id=109099</v>
      </c>
      <c r="B1169" s="5" t="s">
        <v>3141</v>
      </c>
      <c r="C1169" s="5" t="s">
        <v>3092</v>
      </c>
      <c r="D1169" s="5" t="s">
        <v>3142</v>
      </c>
      <c r="E1169" s="5" t="s">
        <v>3143</v>
      </c>
      <c r="F1169" s="5" t="s">
        <v>16</v>
      </c>
      <c r="G1169" s="5" t="s">
        <v>3139</v>
      </c>
      <c r="H1169" s="5" t="s">
        <v>32</v>
      </c>
      <c r="I1169" s="6" t="n">
        <v>35217</v>
      </c>
      <c r="J1169" s="5" t="s">
        <v>19</v>
      </c>
      <c r="K1169" s="5" t="s">
        <v>20</v>
      </c>
      <c r="L1169" s="7" t="s">
        <v>3140</v>
      </c>
    </row>
    <row r="1170" customFormat="false" ht="15.65" hidden="false" customHeight="true" outlineLevel="0" collapsed="false">
      <c r="A1170" s="2" t="str">
        <f aca="false">HYPERLINK("https://www.fabsurplus.com/sdi_catalog/salesItemDetails.do?id=99884")</f>
        <v>https://www.fabsurplus.com/sdi_catalog/salesItemDetails.do?id=99884</v>
      </c>
      <c r="B1170" s="2" t="s">
        <v>3144</v>
      </c>
      <c r="C1170" s="2" t="s">
        <v>3092</v>
      </c>
      <c r="D1170" s="2" t="s">
        <v>3145</v>
      </c>
      <c r="E1170" s="2" t="s">
        <v>3002</v>
      </c>
      <c r="F1170" s="2" t="s">
        <v>16</v>
      </c>
      <c r="G1170" s="2" t="s">
        <v>61</v>
      </c>
      <c r="H1170" s="2" t="s">
        <v>453</v>
      </c>
      <c r="I1170" s="2"/>
      <c r="J1170" s="2" t="s">
        <v>19</v>
      </c>
      <c r="K1170" s="2" t="s">
        <v>20</v>
      </c>
      <c r="L1170" s="4" t="s">
        <v>3146</v>
      </c>
    </row>
    <row r="1171" customFormat="false" ht="15.65" hidden="false" customHeight="true" outlineLevel="0" collapsed="false">
      <c r="A1171" s="5" t="str">
        <f aca="false">HYPERLINK("https://www.fabsurplus.com/sdi_catalog/salesItemDetails.do?id=109100")</f>
        <v>https://www.fabsurplus.com/sdi_catalog/salesItemDetails.do?id=109100</v>
      </c>
      <c r="B1171" s="5" t="s">
        <v>3147</v>
      </c>
      <c r="C1171" s="5" t="s">
        <v>3092</v>
      </c>
      <c r="D1171" s="5" t="s">
        <v>3148</v>
      </c>
      <c r="E1171" s="5" t="s">
        <v>3149</v>
      </c>
      <c r="F1171" s="5" t="s">
        <v>16</v>
      </c>
      <c r="G1171" s="5" t="s">
        <v>3139</v>
      </c>
      <c r="H1171" s="5" t="s">
        <v>32</v>
      </c>
      <c r="I1171" s="6" t="n">
        <v>35217</v>
      </c>
      <c r="J1171" s="5" t="s">
        <v>19</v>
      </c>
      <c r="K1171" s="5" t="s">
        <v>20</v>
      </c>
      <c r="L1171" s="7" t="s">
        <v>3140</v>
      </c>
    </row>
    <row r="1172" customFormat="false" ht="15.65" hidden="false" customHeight="true" outlineLevel="0" collapsed="false">
      <c r="A1172" s="2" t="str">
        <f aca="false">HYPERLINK("https://www.fabsurplus.com/sdi_catalog/salesItemDetails.do?id=109101")</f>
        <v>https://www.fabsurplus.com/sdi_catalog/salesItemDetails.do?id=109101</v>
      </c>
      <c r="B1172" s="2" t="s">
        <v>3150</v>
      </c>
      <c r="C1172" s="2" t="s">
        <v>3092</v>
      </c>
      <c r="D1172" s="2" t="s">
        <v>3151</v>
      </c>
      <c r="E1172" s="2" t="s">
        <v>3152</v>
      </c>
      <c r="F1172" s="2" t="s">
        <v>16</v>
      </c>
      <c r="G1172" s="2" t="s">
        <v>3139</v>
      </c>
      <c r="H1172" s="2" t="s">
        <v>32</v>
      </c>
      <c r="I1172" s="3" t="n">
        <v>35217</v>
      </c>
      <c r="J1172" s="2" t="s">
        <v>19</v>
      </c>
      <c r="K1172" s="2" t="s">
        <v>20</v>
      </c>
      <c r="L1172" s="4" t="s">
        <v>3140</v>
      </c>
    </row>
    <row r="1173" customFormat="false" ht="15.65" hidden="false" customHeight="true" outlineLevel="0" collapsed="false">
      <c r="A1173" s="5" t="str">
        <f aca="false">HYPERLINK("https://www.fabsurplus.com/sdi_catalog/salesItemDetails.do?id=109102")</f>
        <v>https://www.fabsurplus.com/sdi_catalog/salesItemDetails.do?id=109102</v>
      </c>
      <c r="B1173" s="5" t="s">
        <v>3153</v>
      </c>
      <c r="C1173" s="5" t="s">
        <v>3092</v>
      </c>
      <c r="D1173" s="5" t="s">
        <v>3154</v>
      </c>
      <c r="E1173" s="5" t="s">
        <v>3155</v>
      </c>
      <c r="F1173" s="5" t="s">
        <v>16</v>
      </c>
      <c r="G1173" s="5" t="s">
        <v>3139</v>
      </c>
      <c r="H1173" s="5" t="s">
        <v>32</v>
      </c>
      <c r="I1173" s="6" t="n">
        <v>35217</v>
      </c>
      <c r="J1173" s="5" t="s">
        <v>19</v>
      </c>
      <c r="K1173" s="5" t="s">
        <v>20</v>
      </c>
      <c r="L1173" s="7" t="s">
        <v>3140</v>
      </c>
    </row>
    <row r="1174" customFormat="false" ht="15.65" hidden="false" customHeight="true" outlineLevel="0" collapsed="false">
      <c r="A1174" s="2" t="str">
        <f aca="false">HYPERLINK("https://www.fabsurplus.com/sdi_catalog/salesItemDetails.do?id=109103")</f>
        <v>https://www.fabsurplus.com/sdi_catalog/salesItemDetails.do?id=109103</v>
      </c>
      <c r="B1174" s="2" t="s">
        <v>3156</v>
      </c>
      <c r="C1174" s="2" t="s">
        <v>3092</v>
      </c>
      <c r="D1174" s="2" t="s">
        <v>3157</v>
      </c>
      <c r="E1174" s="2" t="s">
        <v>3158</v>
      </c>
      <c r="F1174" s="2" t="s">
        <v>16</v>
      </c>
      <c r="G1174" s="2" t="s">
        <v>3139</v>
      </c>
      <c r="H1174" s="2" t="s">
        <v>32</v>
      </c>
      <c r="I1174" s="3" t="n">
        <v>35217</v>
      </c>
      <c r="J1174" s="2" t="s">
        <v>19</v>
      </c>
      <c r="K1174" s="2" t="s">
        <v>20</v>
      </c>
      <c r="L1174" s="4" t="s">
        <v>3140</v>
      </c>
    </row>
    <row r="1175" customFormat="false" ht="15.65" hidden="false" customHeight="true" outlineLevel="0" collapsed="false">
      <c r="A1175" s="5" t="str">
        <f aca="false">HYPERLINK("https://www.fabsurplus.com/sdi_catalog/salesItemDetails.do?id=109105")</f>
        <v>https://www.fabsurplus.com/sdi_catalog/salesItemDetails.do?id=109105</v>
      </c>
      <c r="B1175" s="5" t="s">
        <v>3159</v>
      </c>
      <c r="C1175" s="5" t="s">
        <v>3092</v>
      </c>
      <c r="D1175" s="5" t="s">
        <v>3160</v>
      </c>
      <c r="E1175" s="5" t="s">
        <v>3161</v>
      </c>
      <c r="F1175" s="5" t="s">
        <v>16</v>
      </c>
      <c r="G1175" s="5" t="s">
        <v>61</v>
      </c>
      <c r="H1175" s="5" t="s">
        <v>453</v>
      </c>
      <c r="I1175" s="6" t="n">
        <v>37043</v>
      </c>
      <c r="J1175" s="5" t="s">
        <v>19</v>
      </c>
      <c r="K1175" s="5" t="s">
        <v>20</v>
      </c>
      <c r="L1175" s="7" t="s">
        <v>3162</v>
      </c>
    </row>
    <row r="1176" customFormat="false" ht="15.65" hidden="false" customHeight="true" outlineLevel="0" collapsed="false">
      <c r="A1176" s="2" t="str">
        <f aca="false">HYPERLINK("https://www.fabsurplus.com/sdi_catalog/salesItemDetails.do?id=53041")</f>
        <v>https://www.fabsurplus.com/sdi_catalog/salesItemDetails.do?id=53041</v>
      </c>
      <c r="B1176" s="2" t="s">
        <v>3163</v>
      </c>
      <c r="C1176" s="2" t="s">
        <v>3092</v>
      </c>
      <c r="D1176" s="2" t="s">
        <v>97</v>
      </c>
      <c r="E1176" s="2" t="s">
        <v>3164</v>
      </c>
      <c r="F1176" s="2" t="s">
        <v>16</v>
      </c>
      <c r="G1176" s="2" t="s">
        <v>97</v>
      </c>
      <c r="H1176" s="2" t="s">
        <v>18</v>
      </c>
      <c r="I1176" s="2"/>
      <c r="J1176" s="2" t="s">
        <v>19</v>
      </c>
      <c r="K1176" s="2" t="s">
        <v>20</v>
      </c>
      <c r="L1176" s="2" t="s">
        <v>3165</v>
      </c>
    </row>
    <row r="1177" customFormat="false" ht="15.65" hidden="false" customHeight="true" outlineLevel="0" collapsed="false">
      <c r="A1177" s="5" t="str">
        <f aca="false">HYPERLINK("https://www.fabsurplus.com/sdi_catalog/salesItemDetails.do?id=53042")</f>
        <v>https://www.fabsurplus.com/sdi_catalog/salesItemDetails.do?id=53042</v>
      </c>
      <c r="B1177" s="5" t="s">
        <v>3166</v>
      </c>
      <c r="C1177" s="5" t="s">
        <v>3092</v>
      </c>
      <c r="D1177" s="5" t="s">
        <v>3167</v>
      </c>
      <c r="E1177" s="5" t="s">
        <v>3168</v>
      </c>
      <c r="F1177" s="5" t="s">
        <v>16</v>
      </c>
      <c r="G1177" s="5" t="s">
        <v>97</v>
      </c>
      <c r="H1177" s="5" t="s">
        <v>18</v>
      </c>
      <c r="I1177" s="5"/>
      <c r="J1177" s="5" t="s">
        <v>19</v>
      </c>
      <c r="K1177" s="5" t="s">
        <v>20</v>
      </c>
      <c r="L1177" s="5" t="s">
        <v>3169</v>
      </c>
    </row>
    <row r="1178" customFormat="false" ht="15.65" hidden="false" customHeight="true" outlineLevel="0" collapsed="false">
      <c r="A1178" s="2" t="str">
        <f aca="false">HYPERLINK("https://www.fabsurplus.com/sdi_catalog/salesItemDetails.do?id=53045")</f>
        <v>https://www.fabsurplus.com/sdi_catalog/salesItemDetails.do?id=53045</v>
      </c>
      <c r="B1178" s="2" t="s">
        <v>3170</v>
      </c>
      <c r="C1178" s="2" t="s">
        <v>3092</v>
      </c>
      <c r="D1178" s="2" t="s">
        <v>3171</v>
      </c>
      <c r="E1178" s="2" t="s">
        <v>3172</v>
      </c>
      <c r="F1178" s="2" t="s">
        <v>86</v>
      </c>
      <c r="G1178" s="2" t="s">
        <v>97</v>
      </c>
      <c r="H1178" s="2" t="s">
        <v>18</v>
      </c>
      <c r="I1178" s="2"/>
      <c r="J1178" s="2" t="s">
        <v>19</v>
      </c>
      <c r="K1178" s="2" t="s">
        <v>20</v>
      </c>
      <c r="L1178" s="4" t="s">
        <v>3173</v>
      </c>
    </row>
    <row r="1179" customFormat="false" ht="15.65" hidden="false" customHeight="true" outlineLevel="0" collapsed="false">
      <c r="A1179" s="5" t="str">
        <f aca="false">HYPERLINK("https://www.fabsurplus.com/sdi_catalog/salesItemDetails.do?id=53046")</f>
        <v>https://www.fabsurplus.com/sdi_catalog/salesItemDetails.do?id=53046</v>
      </c>
      <c r="B1179" s="5" t="s">
        <v>3174</v>
      </c>
      <c r="C1179" s="5" t="s">
        <v>3092</v>
      </c>
      <c r="D1179" s="5" t="s">
        <v>3171</v>
      </c>
      <c r="E1179" s="5" t="s">
        <v>3172</v>
      </c>
      <c r="F1179" s="5" t="s">
        <v>16</v>
      </c>
      <c r="G1179" s="5" t="s">
        <v>97</v>
      </c>
      <c r="H1179" s="5" t="s">
        <v>18</v>
      </c>
      <c r="I1179" s="5"/>
      <c r="J1179" s="5" t="s">
        <v>19</v>
      </c>
      <c r="K1179" s="5" t="s">
        <v>20</v>
      </c>
      <c r="L1179" s="7" t="s">
        <v>3175</v>
      </c>
    </row>
    <row r="1180" customFormat="false" ht="15.65" hidden="false" customHeight="true" outlineLevel="0" collapsed="false">
      <c r="A1180" s="2" t="str">
        <f aca="false">HYPERLINK("https://www.fabsurplus.com/sdi_catalog/salesItemDetails.do?id=53047")</f>
        <v>https://www.fabsurplus.com/sdi_catalog/salesItemDetails.do?id=53047</v>
      </c>
      <c r="B1180" s="2" t="s">
        <v>3176</v>
      </c>
      <c r="C1180" s="2" t="s">
        <v>3092</v>
      </c>
      <c r="D1180" s="2" t="s">
        <v>3171</v>
      </c>
      <c r="E1180" s="2" t="s">
        <v>3172</v>
      </c>
      <c r="F1180" s="2" t="s">
        <v>16</v>
      </c>
      <c r="G1180" s="2" t="s">
        <v>97</v>
      </c>
      <c r="H1180" s="2" t="s">
        <v>18</v>
      </c>
      <c r="I1180" s="2"/>
      <c r="J1180" s="2" t="s">
        <v>19</v>
      </c>
      <c r="K1180" s="2" t="s">
        <v>20</v>
      </c>
      <c r="L1180" s="4" t="s">
        <v>3175</v>
      </c>
    </row>
    <row r="1181" customFormat="false" ht="15.65" hidden="false" customHeight="true" outlineLevel="0" collapsed="false">
      <c r="A1181" s="5" t="str">
        <f aca="false">HYPERLINK("https://www.fabsurplus.com/sdi_catalog/salesItemDetails.do?id=53049")</f>
        <v>https://www.fabsurplus.com/sdi_catalog/salesItemDetails.do?id=53049</v>
      </c>
      <c r="B1181" s="5" t="s">
        <v>3177</v>
      </c>
      <c r="C1181" s="5" t="s">
        <v>3092</v>
      </c>
      <c r="D1181" s="5" t="s">
        <v>3178</v>
      </c>
      <c r="E1181" s="5" t="s">
        <v>3179</v>
      </c>
      <c r="F1181" s="5" t="s">
        <v>16</v>
      </c>
      <c r="G1181" s="5" t="s">
        <v>97</v>
      </c>
      <c r="H1181" s="5" t="s">
        <v>18</v>
      </c>
      <c r="I1181" s="6" t="n">
        <v>36311.9166666667</v>
      </c>
      <c r="J1181" s="5" t="s">
        <v>19</v>
      </c>
      <c r="K1181" s="5" t="s">
        <v>20</v>
      </c>
      <c r="L1181" s="5" t="s">
        <v>3180</v>
      </c>
    </row>
    <row r="1182" customFormat="false" ht="15.65" hidden="false" customHeight="true" outlineLevel="0" collapsed="false">
      <c r="A1182" s="2" t="str">
        <f aca="false">HYPERLINK("https://www.fabsurplus.com/sdi_catalog/salesItemDetails.do?id=53050")</f>
        <v>https://www.fabsurplus.com/sdi_catalog/salesItemDetails.do?id=53050</v>
      </c>
      <c r="B1182" s="2" t="s">
        <v>3181</v>
      </c>
      <c r="C1182" s="2" t="s">
        <v>3092</v>
      </c>
      <c r="D1182" s="2" t="s">
        <v>3182</v>
      </c>
      <c r="E1182" s="2" t="s">
        <v>3183</v>
      </c>
      <c r="F1182" s="2" t="s">
        <v>16</v>
      </c>
      <c r="G1182" s="2" t="s">
        <v>97</v>
      </c>
      <c r="H1182" s="2" t="s">
        <v>18</v>
      </c>
      <c r="I1182" s="3" t="n">
        <v>36341.9166666667</v>
      </c>
      <c r="J1182" s="2" t="s">
        <v>19</v>
      </c>
      <c r="K1182" s="2" t="s">
        <v>20</v>
      </c>
      <c r="L1182" s="2" t="s">
        <v>3184</v>
      </c>
    </row>
    <row r="1183" customFormat="false" ht="15.65" hidden="false" customHeight="true" outlineLevel="0" collapsed="false">
      <c r="A1183" s="5" t="str">
        <f aca="false">HYPERLINK("https://www.fabsurplus.com/sdi_catalog/salesItemDetails.do?id=103739")</f>
        <v>https://www.fabsurplus.com/sdi_catalog/salesItemDetails.do?id=103739</v>
      </c>
      <c r="B1183" s="5" t="s">
        <v>3185</v>
      </c>
      <c r="C1183" s="5" t="s">
        <v>3087</v>
      </c>
      <c r="D1183" s="5" t="s">
        <v>3186</v>
      </c>
      <c r="E1183" s="5" t="s">
        <v>3187</v>
      </c>
      <c r="F1183" s="5" t="s">
        <v>16</v>
      </c>
      <c r="G1183" s="5" t="s">
        <v>104</v>
      </c>
      <c r="H1183" s="5" t="s">
        <v>18</v>
      </c>
      <c r="I1183" s="6" t="n">
        <v>35369.9583333333</v>
      </c>
      <c r="J1183" s="5" t="s">
        <v>19</v>
      </c>
      <c r="K1183" s="5" t="s">
        <v>20</v>
      </c>
      <c r="L1183" s="5" t="s">
        <v>3188</v>
      </c>
    </row>
    <row r="1184" customFormat="false" ht="15.65" hidden="false" customHeight="true" outlineLevel="0" collapsed="false">
      <c r="A1184" s="2" t="str">
        <f aca="false">HYPERLINK("https://www.fabsurplus.com/sdi_catalog/salesItemDetails.do?id=103741")</f>
        <v>https://www.fabsurplus.com/sdi_catalog/salesItemDetails.do?id=103741</v>
      </c>
      <c r="B1184" s="2" t="s">
        <v>3189</v>
      </c>
      <c r="C1184" s="2" t="s">
        <v>3087</v>
      </c>
      <c r="D1184" s="2" t="s">
        <v>3190</v>
      </c>
      <c r="E1184" s="2" t="s">
        <v>3191</v>
      </c>
      <c r="F1184" s="2" t="s">
        <v>16</v>
      </c>
      <c r="G1184" s="2" t="s">
        <v>165</v>
      </c>
      <c r="H1184" s="2" t="s">
        <v>18</v>
      </c>
      <c r="I1184" s="3" t="n">
        <v>35369.9583333333</v>
      </c>
      <c r="J1184" s="2" t="s">
        <v>19</v>
      </c>
      <c r="K1184" s="2" t="s">
        <v>20</v>
      </c>
      <c r="L1184" s="4" t="s">
        <v>3192</v>
      </c>
    </row>
    <row r="1185" customFormat="false" ht="15.65" hidden="false" customHeight="true" outlineLevel="0" collapsed="false">
      <c r="A1185" s="5" t="str">
        <f aca="false">HYPERLINK("https://www.fabsurplus.com/sdi_catalog/salesItemDetails.do?id=53056")</f>
        <v>https://www.fabsurplus.com/sdi_catalog/salesItemDetails.do?id=53056</v>
      </c>
      <c r="B1185" s="5" t="s">
        <v>3193</v>
      </c>
      <c r="C1185" s="5" t="s">
        <v>3092</v>
      </c>
      <c r="D1185" s="5" t="s">
        <v>3194</v>
      </c>
      <c r="E1185" s="5" t="s">
        <v>3195</v>
      </c>
      <c r="F1185" s="5" t="s">
        <v>16</v>
      </c>
      <c r="G1185" s="5" t="s">
        <v>97</v>
      </c>
      <c r="H1185" s="5" t="s">
        <v>18</v>
      </c>
      <c r="I1185" s="5"/>
      <c r="J1185" s="5" t="s">
        <v>19</v>
      </c>
      <c r="K1185" s="5" t="s">
        <v>20</v>
      </c>
      <c r="L1185" s="5" t="s">
        <v>3196</v>
      </c>
    </row>
    <row r="1186" customFormat="false" ht="15.65" hidden="false" customHeight="true" outlineLevel="0" collapsed="false">
      <c r="A1186" s="2" t="str">
        <f aca="false">HYPERLINK("https://www.fabsurplus.com/sdi_catalog/salesItemDetails.do?id=53057")</f>
        <v>https://www.fabsurplus.com/sdi_catalog/salesItemDetails.do?id=53057</v>
      </c>
      <c r="B1186" s="2" t="s">
        <v>3197</v>
      </c>
      <c r="C1186" s="2" t="s">
        <v>3092</v>
      </c>
      <c r="D1186" s="2" t="s">
        <v>3198</v>
      </c>
      <c r="E1186" s="2" t="s">
        <v>3199</v>
      </c>
      <c r="F1186" s="2" t="s">
        <v>16</v>
      </c>
      <c r="G1186" s="2" t="s">
        <v>97</v>
      </c>
      <c r="H1186" s="2" t="s">
        <v>18</v>
      </c>
      <c r="I1186" s="3" t="n">
        <v>36341.9166666667</v>
      </c>
      <c r="J1186" s="2" t="s">
        <v>19</v>
      </c>
      <c r="K1186" s="2" t="s">
        <v>20</v>
      </c>
      <c r="L1186" s="2" t="s">
        <v>3200</v>
      </c>
    </row>
    <row r="1187" customFormat="false" ht="15.65" hidden="false" customHeight="true" outlineLevel="0" collapsed="false">
      <c r="A1187" s="5" t="str">
        <f aca="false">HYPERLINK("https://www.fabsurplus.com/sdi_catalog/salesItemDetails.do?id=53058")</f>
        <v>https://www.fabsurplus.com/sdi_catalog/salesItemDetails.do?id=53058</v>
      </c>
      <c r="B1187" s="5" t="s">
        <v>3201</v>
      </c>
      <c r="C1187" s="5" t="s">
        <v>3092</v>
      </c>
      <c r="D1187" s="5" t="s">
        <v>3202</v>
      </c>
      <c r="E1187" s="5" t="s">
        <v>3203</v>
      </c>
      <c r="F1187" s="5" t="s">
        <v>16</v>
      </c>
      <c r="G1187" s="5" t="s">
        <v>97</v>
      </c>
      <c r="H1187" s="5" t="s">
        <v>18</v>
      </c>
      <c r="I1187" s="6" t="n">
        <v>36341.9166666667</v>
      </c>
      <c r="J1187" s="5" t="s">
        <v>19</v>
      </c>
      <c r="K1187" s="5" t="s">
        <v>20</v>
      </c>
      <c r="L1187" s="5" t="s">
        <v>3204</v>
      </c>
    </row>
    <row r="1188" customFormat="false" ht="15.65" hidden="false" customHeight="true" outlineLevel="0" collapsed="false">
      <c r="A1188" s="2" t="str">
        <f aca="false">HYPERLINK("https://www.fabsurplus.com/sdi_catalog/salesItemDetails.do?id=53059")</f>
        <v>https://www.fabsurplus.com/sdi_catalog/salesItemDetails.do?id=53059</v>
      </c>
      <c r="B1188" s="2" t="s">
        <v>3205</v>
      </c>
      <c r="C1188" s="2" t="s">
        <v>3092</v>
      </c>
      <c r="D1188" s="2" t="s">
        <v>3206</v>
      </c>
      <c r="E1188" s="2" t="s">
        <v>3207</v>
      </c>
      <c r="F1188" s="2" t="s">
        <v>16</v>
      </c>
      <c r="G1188" s="2" t="s">
        <v>97</v>
      </c>
      <c r="H1188" s="2" t="s">
        <v>18</v>
      </c>
      <c r="I1188" s="3" t="n">
        <v>36312</v>
      </c>
      <c r="J1188" s="2" t="s">
        <v>19</v>
      </c>
      <c r="K1188" s="2" t="s">
        <v>20</v>
      </c>
      <c r="L1188" s="4" t="s">
        <v>3208</v>
      </c>
    </row>
    <row r="1189" customFormat="false" ht="15.65" hidden="false" customHeight="true" outlineLevel="0" collapsed="false">
      <c r="A1189" s="5" t="str">
        <f aca="false">HYPERLINK("https://www.fabsurplus.com/sdi_catalog/salesItemDetails.do?id=53060")</f>
        <v>https://www.fabsurplus.com/sdi_catalog/salesItemDetails.do?id=53060</v>
      </c>
      <c r="B1189" s="5" t="s">
        <v>3209</v>
      </c>
      <c r="C1189" s="5" t="s">
        <v>3092</v>
      </c>
      <c r="D1189" s="5" t="s">
        <v>3210</v>
      </c>
      <c r="E1189" s="5" t="s">
        <v>3211</v>
      </c>
      <c r="F1189" s="5" t="s">
        <v>16</v>
      </c>
      <c r="G1189" s="5" t="s">
        <v>97</v>
      </c>
      <c r="H1189" s="5" t="s">
        <v>18</v>
      </c>
      <c r="I1189" s="6" t="n">
        <v>36341.9166666667</v>
      </c>
      <c r="J1189" s="5" t="s">
        <v>19</v>
      </c>
      <c r="K1189" s="5" t="s">
        <v>20</v>
      </c>
      <c r="L1189" s="5" t="s">
        <v>3212</v>
      </c>
    </row>
    <row r="1190" customFormat="false" ht="15.65" hidden="false" customHeight="true" outlineLevel="0" collapsed="false">
      <c r="A1190" s="2" t="str">
        <f aca="false">HYPERLINK("https://www.fabsurplus.com/sdi_catalog/salesItemDetails.do?id=53061")</f>
        <v>https://www.fabsurplus.com/sdi_catalog/salesItemDetails.do?id=53061</v>
      </c>
      <c r="B1190" s="2" t="s">
        <v>3213</v>
      </c>
      <c r="C1190" s="2" t="s">
        <v>3092</v>
      </c>
      <c r="D1190" s="2" t="s">
        <v>3214</v>
      </c>
      <c r="E1190" s="2" t="s">
        <v>3215</v>
      </c>
      <c r="F1190" s="2" t="s">
        <v>16</v>
      </c>
      <c r="G1190" s="2" t="s">
        <v>97</v>
      </c>
      <c r="H1190" s="2" t="s">
        <v>18</v>
      </c>
      <c r="I1190" s="3" t="n">
        <v>34880.9166666667</v>
      </c>
      <c r="J1190" s="2" t="s">
        <v>19</v>
      </c>
      <c r="K1190" s="2" t="s">
        <v>20</v>
      </c>
      <c r="L1190" s="2" t="s">
        <v>3216</v>
      </c>
    </row>
    <row r="1191" customFormat="false" ht="15.65" hidden="false" customHeight="true" outlineLevel="0" collapsed="false">
      <c r="A1191" s="5" t="str">
        <f aca="false">HYPERLINK("https://www.fabsurplus.com/sdi_catalog/salesItemDetails.do?id=53062")</f>
        <v>https://www.fabsurplus.com/sdi_catalog/salesItemDetails.do?id=53062</v>
      </c>
      <c r="B1191" s="5" t="s">
        <v>3217</v>
      </c>
      <c r="C1191" s="5" t="s">
        <v>3092</v>
      </c>
      <c r="D1191" s="5" t="s">
        <v>3218</v>
      </c>
      <c r="E1191" s="5" t="s">
        <v>3219</v>
      </c>
      <c r="F1191" s="5" t="s">
        <v>16</v>
      </c>
      <c r="G1191" s="5" t="s">
        <v>97</v>
      </c>
      <c r="H1191" s="5" t="s">
        <v>18</v>
      </c>
      <c r="I1191" s="6" t="n">
        <v>36341.9166666667</v>
      </c>
      <c r="J1191" s="5" t="s">
        <v>19</v>
      </c>
      <c r="K1191" s="5" t="s">
        <v>20</v>
      </c>
      <c r="L1191" s="7" t="s">
        <v>3220</v>
      </c>
    </row>
    <row r="1192" customFormat="false" ht="15.65" hidden="false" customHeight="true" outlineLevel="0" collapsed="false">
      <c r="A1192" s="2" t="str">
        <f aca="false">HYPERLINK("https://www.fabsurplus.com/sdi_catalog/salesItemDetails.do?id=53063")</f>
        <v>https://www.fabsurplus.com/sdi_catalog/salesItemDetails.do?id=53063</v>
      </c>
      <c r="B1192" s="2" t="s">
        <v>3221</v>
      </c>
      <c r="C1192" s="2" t="s">
        <v>3092</v>
      </c>
      <c r="D1192" s="2" t="s">
        <v>3222</v>
      </c>
      <c r="E1192" s="2" t="s">
        <v>3223</v>
      </c>
      <c r="F1192" s="2" t="s">
        <v>16</v>
      </c>
      <c r="G1192" s="2" t="s">
        <v>97</v>
      </c>
      <c r="H1192" s="2" t="s">
        <v>18</v>
      </c>
      <c r="I1192" s="3" t="n">
        <v>36341.9166666667</v>
      </c>
      <c r="J1192" s="2" t="s">
        <v>19</v>
      </c>
      <c r="K1192" s="2" t="s">
        <v>20</v>
      </c>
      <c r="L1192" s="2" t="s">
        <v>3224</v>
      </c>
    </row>
    <row r="1193" customFormat="false" ht="15.65" hidden="false" customHeight="true" outlineLevel="0" collapsed="false">
      <c r="A1193" s="5" t="str">
        <f aca="false">HYPERLINK("https://www.fabsurplus.com/sdi_catalog/salesItemDetails.do?id=53066")</f>
        <v>https://www.fabsurplus.com/sdi_catalog/salesItemDetails.do?id=53066</v>
      </c>
      <c r="B1193" s="5" t="s">
        <v>3225</v>
      </c>
      <c r="C1193" s="5" t="s">
        <v>3092</v>
      </c>
      <c r="D1193" s="5" t="s">
        <v>3226</v>
      </c>
      <c r="E1193" s="5" t="s">
        <v>3227</v>
      </c>
      <c r="F1193" s="5" t="s">
        <v>16</v>
      </c>
      <c r="G1193" s="5" t="s">
        <v>97</v>
      </c>
      <c r="H1193" s="5" t="s">
        <v>18</v>
      </c>
      <c r="I1193" s="6" t="n">
        <v>35550.9166666667</v>
      </c>
      <c r="J1193" s="5" t="s">
        <v>19</v>
      </c>
      <c r="K1193" s="5" t="s">
        <v>20</v>
      </c>
      <c r="L1193" s="7" t="s">
        <v>3228</v>
      </c>
    </row>
    <row r="1194" customFormat="false" ht="15.65" hidden="false" customHeight="true" outlineLevel="0" collapsed="false">
      <c r="A1194" s="2" t="str">
        <f aca="false">HYPERLINK("https://www.fabsurplus.com/sdi_catalog/salesItemDetails.do?id=53074")</f>
        <v>https://www.fabsurplus.com/sdi_catalog/salesItemDetails.do?id=53074</v>
      </c>
      <c r="B1194" s="2" t="s">
        <v>3229</v>
      </c>
      <c r="C1194" s="2" t="s">
        <v>3092</v>
      </c>
      <c r="D1194" s="2" t="s">
        <v>3230</v>
      </c>
      <c r="E1194" s="2" t="s">
        <v>3231</v>
      </c>
      <c r="F1194" s="2" t="s">
        <v>16</v>
      </c>
      <c r="G1194" s="2" t="s">
        <v>23</v>
      </c>
      <c r="H1194" s="2" t="s">
        <v>18</v>
      </c>
      <c r="I1194" s="3" t="n">
        <v>35947</v>
      </c>
      <c r="J1194" s="2" t="s">
        <v>19</v>
      </c>
      <c r="K1194" s="2" t="s">
        <v>20</v>
      </c>
      <c r="L1194" s="4" t="s">
        <v>3232</v>
      </c>
    </row>
    <row r="1195" customFormat="false" ht="15.65" hidden="false" customHeight="true" outlineLevel="0" collapsed="false">
      <c r="A1195" s="5" t="str">
        <f aca="false">HYPERLINK("https://www.fabsurplus.com/sdi_catalog/salesItemDetails.do?id=109163")</f>
        <v>https://www.fabsurplus.com/sdi_catalog/salesItemDetails.do?id=109163</v>
      </c>
      <c r="B1195" s="5" t="s">
        <v>3233</v>
      </c>
      <c r="C1195" s="5" t="s">
        <v>3092</v>
      </c>
      <c r="D1195" s="5" t="s">
        <v>3234</v>
      </c>
      <c r="E1195" s="5" t="s">
        <v>3235</v>
      </c>
      <c r="F1195" s="5" t="s">
        <v>16</v>
      </c>
      <c r="G1195" s="5" t="s">
        <v>84</v>
      </c>
      <c r="H1195" s="5"/>
      <c r="I1195" s="5"/>
      <c r="J1195" s="5" t="s">
        <v>19</v>
      </c>
      <c r="K1195" s="5"/>
      <c r="L1195" s="5"/>
    </row>
    <row r="1196" customFormat="false" ht="15.65" hidden="false" customHeight="true" outlineLevel="0" collapsed="false">
      <c r="A1196" s="2" t="str">
        <f aca="false">HYPERLINK("https://www.fabsurplus.com/sdi_catalog/salesItemDetails.do?id=52338")</f>
        <v>https://www.fabsurplus.com/sdi_catalog/salesItemDetails.do?id=52338</v>
      </c>
      <c r="B1196" s="2" t="s">
        <v>3236</v>
      </c>
      <c r="C1196" s="2" t="s">
        <v>3092</v>
      </c>
      <c r="D1196" s="2" t="s">
        <v>3237</v>
      </c>
      <c r="E1196" s="2" t="s">
        <v>3238</v>
      </c>
      <c r="F1196" s="2" t="s">
        <v>16</v>
      </c>
      <c r="G1196" s="2" t="s">
        <v>97</v>
      </c>
      <c r="H1196" s="2" t="s">
        <v>18</v>
      </c>
      <c r="I1196" s="3" t="n">
        <v>36341.9166666667</v>
      </c>
      <c r="J1196" s="2" t="s">
        <v>19</v>
      </c>
      <c r="K1196" s="2" t="s">
        <v>20</v>
      </c>
      <c r="L1196" s="4" t="s">
        <v>3239</v>
      </c>
    </row>
    <row r="1197" customFormat="false" ht="15.65" hidden="false" customHeight="true" outlineLevel="0" collapsed="false">
      <c r="A1197" s="5" t="str">
        <f aca="false">HYPERLINK("https://www.fabsurplus.com/sdi_catalog/salesItemDetails.do?id=52341")</f>
        <v>https://www.fabsurplus.com/sdi_catalog/salesItemDetails.do?id=52341</v>
      </c>
      <c r="B1197" s="5" t="s">
        <v>3240</v>
      </c>
      <c r="C1197" s="5" t="s">
        <v>3092</v>
      </c>
      <c r="D1197" s="5" t="s">
        <v>3241</v>
      </c>
      <c r="E1197" s="5" t="s">
        <v>3242</v>
      </c>
      <c r="F1197" s="5" t="s">
        <v>16</v>
      </c>
      <c r="G1197" s="5" t="s">
        <v>97</v>
      </c>
      <c r="H1197" s="5" t="s">
        <v>18</v>
      </c>
      <c r="I1197" s="6" t="n">
        <v>36341.9166666667</v>
      </c>
      <c r="J1197" s="5" t="s">
        <v>19</v>
      </c>
      <c r="K1197" s="5" t="s">
        <v>20</v>
      </c>
      <c r="L1197" s="5" t="s">
        <v>3243</v>
      </c>
    </row>
    <row r="1198" customFormat="false" ht="15.65" hidden="false" customHeight="true" outlineLevel="0" collapsed="false">
      <c r="A1198" s="2" t="str">
        <f aca="false">HYPERLINK("https://www.fabsurplus.com/sdi_catalog/salesItemDetails.do?id=52342")</f>
        <v>https://www.fabsurplus.com/sdi_catalog/salesItemDetails.do?id=52342</v>
      </c>
      <c r="B1198" s="2" t="s">
        <v>3244</v>
      </c>
      <c r="C1198" s="2" t="s">
        <v>3092</v>
      </c>
      <c r="D1198" s="2" t="s">
        <v>3245</v>
      </c>
      <c r="E1198" s="2" t="s">
        <v>3246</v>
      </c>
      <c r="F1198" s="2" t="s">
        <v>16</v>
      </c>
      <c r="G1198" s="2" t="s">
        <v>97</v>
      </c>
      <c r="H1198" s="2" t="s">
        <v>18</v>
      </c>
      <c r="I1198" s="3" t="n">
        <v>36341.9166666667</v>
      </c>
      <c r="J1198" s="2" t="s">
        <v>19</v>
      </c>
      <c r="K1198" s="2" t="s">
        <v>20</v>
      </c>
      <c r="L1198" s="2" t="s">
        <v>3247</v>
      </c>
    </row>
    <row r="1199" customFormat="false" ht="15.65" hidden="false" customHeight="true" outlineLevel="0" collapsed="false">
      <c r="A1199" s="5" t="str">
        <f aca="false">HYPERLINK("https://www.fabsurplus.com/sdi_catalog/salesItemDetails.do?id=108919")</f>
        <v>https://www.fabsurplus.com/sdi_catalog/salesItemDetails.do?id=108919</v>
      </c>
      <c r="B1199" s="5" t="s">
        <v>3248</v>
      </c>
      <c r="C1199" s="5" t="s">
        <v>3092</v>
      </c>
      <c r="D1199" s="5" t="s">
        <v>3249</v>
      </c>
      <c r="E1199" s="5" t="s">
        <v>3250</v>
      </c>
      <c r="F1199" s="5" t="s">
        <v>16</v>
      </c>
      <c r="G1199" s="5" t="s">
        <v>61</v>
      </c>
      <c r="H1199" s="5" t="s">
        <v>18</v>
      </c>
      <c r="I1199" s="6" t="n">
        <v>37742</v>
      </c>
      <c r="J1199" s="5" t="s">
        <v>19</v>
      </c>
      <c r="K1199" s="5" t="s">
        <v>20</v>
      </c>
      <c r="L1199" s="5"/>
    </row>
    <row r="1200" customFormat="false" ht="15.65" hidden="false" customHeight="true" outlineLevel="0" collapsed="false">
      <c r="A1200" s="2" t="str">
        <f aca="false">HYPERLINK("https://www.fabsurplus.com/sdi_catalog/salesItemDetails.do?id=103800")</f>
        <v>https://www.fabsurplus.com/sdi_catalog/salesItemDetails.do?id=103800</v>
      </c>
      <c r="B1200" s="2" t="s">
        <v>3251</v>
      </c>
      <c r="C1200" s="2" t="s">
        <v>3092</v>
      </c>
      <c r="D1200" s="2" t="s">
        <v>3252</v>
      </c>
      <c r="E1200" s="2" t="s">
        <v>3253</v>
      </c>
      <c r="F1200" s="2" t="s">
        <v>16</v>
      </c>
      <c r="G1200" s="2" t="s">
        <v>104</v>
      </c>
      <c r="H1200" s="2" t="s">
        <v>32</v>
      </c>
      <c r="I1200" s="2"/>
      <c r="J1200" s="2" t="s">
        <v>19</v>
      </c>
      <c r="K1200" s="2" t="s">
        <v>20</v>
      </c>
      <c r="L1200" s="4" t="s">
        <v>3254</v>
      </c>
    </row>
    <row r="1201" customFormat="false" ht="15.65" hidden="false" customHeight="true" outlineLevel="0" collapsed="false">
      <c r="A1201" s="5" t="str">
        <f aca="false">HYPERLINK("https://www.fabsurplus.com/sdi_catalog/salesItemDetails.do?id=80249")</f>
        <v>https://www.fabsurplus.com/sdi_catalog/salesItemDetails.do?id=80249</v>
      </c>
      <c r="B1201" s="5" t="s">
        <v>3255</v>
      </c>
      <c r="C1201" s="5" t="s">
        <v>3087</v>
      </c>
      <c r="D1201" s="5" t="s">
        <v>3256</v>
      </c>
      <c r="E1201" s="5" t="s">
        <v>3257</v>
      </c>
      <c r="F1201" s="5" t="s">
        <v>16</v>
      </c>
      <c r="G1201" s="5"/>
      <c r="H1201" s="5" t="s">
        <v>18</v>
      </c>
      <c r="I1201" s="5"/>
      <c r="J1201" s="5" t="s">
        <v>19</v>
      </c>
      <c r="K1201" s="5" t="s">
        <v>20</v>
      </c>
      <c r="L1201" s="5"/>
    </row>
    <row r="1202" customFormat="false" ht="15.65" hidden="false" customHeight="true" outlineLevel="0" collapsed="false">
      <c r="A1202" s="2" t="str">
        <f aca="false">HYPERLINK("https://www.fabsurplus.com/sdi_catalog/salesItemDetails.do?id=52346")</f>
        <v>https://www.fabsurplus.com/sdi_catalog/salesItemDetails.do?id=52346</v>
      </c>
      <c r="B1202" s="2" t="s">
        <v>3258</v>
      </c>
      <c r="C1202" s="2" t="s">
        <v>3092</v>
      </c>
      <c r="D1202" s="2" t="s">
        <v>3259</v>
      </c>
      <c r="E1202" s="2" t="s">
        <v>3260</v>
      </c>
      <c r="F1202" s="2" t="s">
        <v>16</v>
      </c>
      <c r="G1202" s="2" t="s">
        <v>97</v>
      </c>
      <c r="H1202" s="2" t="s">
        <v>18</v>
      </c>
      <c r="I1202" s="3" t="n">
        <v>36341.9166666667</v>
      </c>
      <c r="J1202" s="2" t="s">
        <v>19</v>
      </c>
      <c r="K1202" s="2" t="s">
        <v>20</v>
      </c>
      <c r="L1202" s="4" t="s">
        <v>3261</v>
      </c>
    </row>
    <row r="1203" customFormat="false" ht="15.65" hidden="false" customHeight="true" outlineLevel="0" collapsed="false">
      <c r="A1203" s="5" t="str">
        <f aca="false">HYPERLINK("https://www.fabsurplus.com/sdi_catalog/salesItemDetails.do?id=52347")</f>
        <v>https://www.fabsurplus.com/sdi_catalog/salesItemDetails.do?id=52347</v>
      </c>
      <c r="B1203" s="5" t="s">
        <v>3262</v>
      </c>
      <c r="C1203" s="5" t="s">
        <v>3092</v>
      </c>
      <c r="D1203" s="5" t="s">
        <v>3263</v>
      </c>
      <c r="E1203" s="5" t="s">
        <v>3264</v>
      </c>
      <c r="F1203" s="5" t="s">
        <v>16</v>
      </c>
      <c r="G1203" s="5" t="s">
        <v>97</v>
      </c>
      <c r="H1203" s="5" t="s">
        <v>18</v>
      </c>
      <c r="I1203" s="5"/>
      <c r="J1203" s="5" t="s">
        <v>19</v>
      </c>
      <c r="K1203" s="5" t="s">
        <v>20</v>
      </c>
      <c r="L1203" s="5" t="s">
        <v>3265</v>
      </c>
    </row>
    <row r="1204" customFormat="false" ht="15.65" hidden="false" customHeight="true" outlineLevel="0" collapsed="false">
      <c r="A1204" s="2" t="str">
        <f aca="false">HYPERLINK("https://www.fabsurplus.com/sdi_catalog/salesItemDetails.do?id=103804")</f>
        <v>https://www.fabsurplus.com/sdi_catalog/salesItemDetails.do?id=103804</v>
      </c>
      <c r="B1204" s="2" t="s">
        <v>3266</v>
      </c>
      <c r="C1204" s="2" t="s">
        <v>3092</v>
      </c>
      <c r="D1204" s="2" t="s">
        <v>3267</v>
      </c>
      <c r="E1204" s="2" t="s">
        <v>3268</v>
      </c>
      <c r="F1204" s="2" t="s">
        <v>16</v>
      </c>
      <c r="G1204" s="2" t="s">
        <v>104</v>
      </c>
      <c r="H1204" s="2" t="s">
        <v>32</v>
      </c>
      <c r="I1204" s="2"/>
      <c r="J1204" s="2"/>
      <c r="K1204" s="2" t="s">
        <v>20</v>
      </c>
      <c r="L1204" s="2" t="s">
        <v>3269</v>
      </c>
    </row>
    <row r="1205" customFormat="false" ht="15.65" hidden="false" customHeight="true" outlineLevel="0" collapsed="false">
      <c r="A1205" s="5" t="str">
        <f aca="false">HYPERLINK("https://www.fabsurplus.com/sdi_catalog/salesItemDetails.do?id=52348")</f>
        <v>https://www.fabsurplus.com/sdi_catalog/salesItemDetails.do?id=52348</v>
      </c>
      <c r="B1205" s="5" t="s">
        <v>3270</v>
      </c>
      <c r="C1205" s="5" t="s">
        <v>3092</v>
      </c>
      <c r="D1205" s="5" t="s">
        <v>3271</v>
      </c>
      <c r="E1205" s="5" t="s">
        <v>3272</v>
      </c>
      <c r="F1205" s="5" t="s">
        <v>16</v>
      </c>
      <c r="G1205" s="5" t="s">
        <v>97</v>
      </c>
      <c r="H1205" s="5" t="s">
        <v>18</v>
      </c>
      <c r="I1205" s="6" t="n">
        <v>36341.9166666667</v>
      </c>
      <c r="J1205" s="5" t="s">
        <v>19</v>
      </c>
      <c r="K1205" s="5" t="s">
        <v>20</v>
      </c>
      <c r="L1205" s="7" t="s">
        <v>3273</v>
      </c>
    </row>
    <row r="1206" customFormat="false" ht="15.65" hidden="false" customHeight="true" outlineLevel="0" collapsed="false">
      <c r="A1206" s="2" t="str">
        <f aca="false">HYPERLINK("https://www.fabsurplus.com/sdi_catalog/salesItemDetails.do?id=80253")</f>
        <v>https://www.fabsurplus.com/sdi_catalog/salesItemDetails.do?id=80253</v>
      </c>
      <c r="B1206" s="2" t="s">
        <v>3274</v>
      </c>
      <c r="C1206" s="2" t="s">
        <v>3092</v>
      </c>
      <c r="D1206" s="2" t="s">
        <v>3275</v>
      </c>
      <c r="E1206" s="2" t="s">
        <v>3276</v>
      </c>
      <c r="F1206" s="2" t="s">
        <v>151</v>
      </c>
      <c r="G1206" s="2" t="s">
        <v>165</v>
      </c>
      <c r="H1206" s="2" t="s">
        <v>18</v>
      </c>
      <c r="I1206" s="3" t="n">
        <v>34850.9166666667</v>
      </c>
      <c r="J1206" s="2" t="s">
        <v>19</v>
      </c>
      <c r="K1206" s="2" t="s">
        <v>20</v>
      </c>
      <c r="L1206" s="4" t="s">
        <v>3277</v>
      </c>
    </row>
    <row r="1207" customFormat="false" ht="15.65" hidden="false" customHeight="true" outlineLevel="0" collapsed="false">
      <c r="A1207" s="5" t="str">
        <f aca="false">HYPERLINK("https://www.fabsurplus.com/sdi_catalog/salesItemDetails.do?id=52360")</f>
        <v>https://www.fabsurplus.com/sdi_catalog/salesItemDetails.do?id=52360</v>
      </c>
      <c r="B1207" s="5" t="s">
        <v>3278</v>
      </c>
      <c r="C1207" s="5" t="s">
        <v>3092</v>
      </c>
      <c r="D1207" s="5" t="s">
        <v>3279</v>
      </c>
      <c r="E1207" s="5" t="s">
        <v>3280</v>
      </c>
      <c r="F1207" s="5" t="s">
        <v>16</v>
      </c>
      <c r="G1207" s="5" t="s">
        <v>97</v>
      </c>
      <c r="H1207" s="5" t="s">
        <v>18</v>
      </c>
      <c r="I1207" s="6" t="n">
        <v>36341.9166666667</v>
      </c>
      <c r="J1207" s="5" t="s">
        <v>19</v>
      </c>
      <c r="K1207" s="5" t="s">
        <v>20</v>
      </c>
      <c r="L1207" s="5" t="s">
        <v>3281</v>
      </c>
    </row>
    <row r="1208" customFormat="false" ht="15.65" hidden="false" customHeight="true" outlineLevel="0" collapsed="false">
      <c r="A1208" s="2" t="str">
        <f aca="false">HYPERLINK("https://www.fabsurplus.com/sdi_catalog/salesItemDetails.do?id=52365")</f>
        <v>https://www.fabsurplus.com/sdi_catalog/salesItemDetails.do?id=52365</v>
      </c>
      <c r="B1208" s="2" t="s">
        <v>3282</v>
      </c>
      <c r="C1208" s="2" t="s">
        <v>3092</v>
      </c>
      <c r="D1208" s="2" t="s">
        <v>3283</v>
      </c>
      <c r="E1208" s="2" t="s">
        <v>3284</v>
      </c>
      <c r="F1208" s="2" t="s">
        <v>151</v>
      </c>
      <c r="G1208" s="2" t="s">
        <v>97</v>
      </c>
      <c r="H1208" s="2" t="s">
        <v>18</v>
      </c>
      <c r="I1208" s="3" t="n">
        <v>36341.9166666667</v>
      </c>
      <c r="J1208" s="2" t="s">
        <v>19</v>
      </c>
      <c r="K1208" s="2" t="s">
        <v>20</v>
      </c>
      <c r="L1208" s="4" t="s">
        <v>3285</v>
      </c>
    </row>
    <row r="1209" customFormat="false" ht="15.65" hidden="false" customHeight="true" outlineLevel="0" collapsed="false">
      <c r="A1209" s="5" t="str">
        <f aca="false">HYPERLINK("https://www.fabsurplus.com/sdi_catalog/salesItemDetails.do?id=52366")</f>
        <v>https://www.fabsurplus.com/sdi_catalog/salesItemDetails.do?id=52366</v>
      </c>
      <c r="B1209" s="5" t="s">
        <v>3286</v>
      </c>
      <c r="C1209" s="5" t="s">
        <v>3092</v>
      </c>
      <c r="D1209" s="5" t="s">
        <v>3283</v>
      </c>
      <c r="E1209" s="5" t="s">
        <v>3284</v>
      </c>
      <c r="F1209" s="5" t="s">
        <v>16</v>
      </c>
      <c r="G1209" s="5" t="s">
        <v>97</v>
      </c>
      <c r="H1209" s="5" t="s">
        <v>18</v>
      </c>
      <c r="I1209" s="6" t="n">
        <v>36341.9166666667</v>
      </c>
      <c r="J1209" s="5" t="s">
        <v>19</v>
      </c>
      <c r="K1209" s="5" t="s">
        <v>20</v>
      </c>
      <c r="L1209" s="7" t="s">
        <v>3287</v>
      </c>
    </row>
    <row r="1210" customFormat="false" ht="15.65" hidden="false" customHeight="true" outlineLevel="0" collapsed="false">
      <c r="A1210" s="2" t="str">
        <f aca="false">HYPERLINK("https://www.fabsurplus.com/sdi_catalog/salesItemDetails.do?id=52367")</f>
        <v>https://www.fabsurplus.com/sdi_catalog/salesItemDetails.do?id=52367</v>
      </c>
      <c r="B1210" s="2" t="s">
        <v>3288</v>
      </c>
      <c r="C1210" s="2" t="s">
        <v>3092</v>
      </c>
      <c r="D1210" s="2" t="s">
        <v>3289</v>
      </c>
      <c r="E1210" s="2" t="s">
        <v>3290</v>
      </c>
      <c r="F1210" s="2" t="s">
        <v>16</v>
      </c>
      <c r="G1210" s="2" t="s">
        <v>97</v>
      </c>
      <c r="H1210" s="2" t="s">
        <v>18</v>
      </c>
      <c r="I1210" s="3" t="n">
        <v>36341.9166666667</v>
      </c>
      <c r="J1210" s="2" t="s">
        <v>19</v>
      </c>
      <c r="K1210" s="2" t="s">
        <v>20</v>
      </c>
      <c r="L1210" s="4" t="s">
        <v>3291</v>
      </c>
    </row>
    <row r="1211" customFormat="false" ht="15.65" hidden="false" customHeight="true" outlineLevel="0" collapsed="false">
      <c r="A1211" s="5" t="str">
        <f aca="false">HYPERLINK("https://www.fabsurplus.com/sdi_catalog/salesItemDetails.do?id=103826")</f>
        <v>https://www.fabsurplus.com/sdi_catalog/salesItemDetails.do?id=103826</v>
      </c>
      <c r="B1211" s="5" t="s">
        <v>3292</v>
      </c>
      <c r="C1211" s="5" t="s">
        <v>3092</v>
      </c>
      <c r="D1211" s="5" t="s">
        <v>3293</v>
      </c>
      <c r="E1211" s="5" t="s">
        <v>3294</v>
      </c>
      <c r="F1211" s="5" t="s">
        <v>16</v>
      </c>
      <c r="G1211" s="5" t="s">
        <v>104</v>
      </c>
      <c r="H1211" s="5" t="s">
        <v>18</v>
      </c>
      <c r="I1211" s="6" t="n">
        <v>36647</v>
      </c>
      <c r="J1211" s="5" t="s">
        <v>42</v>
      </c>
      <c r="K1211" s="5" t="s">
        <v>20</v>
      </c>
      <c r="L1211" s="5" t="s">
        <v>3295</v>
      </c>
    </row>
    <row r="1212" customFormat="false" ht="15.65" hidden="false" customHeight="true" outlineLevel="0" collapsed="false">
      <c r="A1212" s="2" t="str">
        <f aca="false">HYPERLINK("https://www.fabsurplus.com/sdi_catalog/salesItemDetails.do?id=108946")</f>
        <v>https://www.fabsurplus.com/sdi_catalog/salesItemDetails.do?id=108946</v>
      </c>
      <c r="B1212" s="2" t="s">
        <v>3296</v>
      </c>
      <c r="C1212" s="2" t="s">
        <v>3087</v>
      </c>
      <c r="D1212" s="2" t="s">
        <v>3297</v>
      </c>
      <c r="E1212" s="2" t="s">
        <v>3298</v>
      </c>
      <c r="F1212" s="2" t="s">
        <v>3299</v>
      </c>
      <c r="G1212" s="2" t="s">
        <v>104</v>
      </c>
      <c r="H1212" s="2" t="s">
        <v>453</v>
      </c>
      <c r="I1212" s="2"/>
      <c r="J1212" s="2" t="s">
        <v>19</v>
      </c>
      <c r="K1212" s="2" t="s">
        <v>20</v>
      </c>
      <c r="L1212" s="4" t="s">
        <v>3300</v>
      </c>
    </row>
    <row r="1213" customFormat="false" ht="15.65" hidden="false" customHeight="true" outlineLevel="0" collapsed="false">
      <c r="A1213" s="5" t="str">
        <f aca="false">HYPERLINK("https://www.fabsurplus.com/sdi_catalog/salesItemDetails.do?id=52379")</f>
        <v>https://www.fabsurplus.com/sdi_catalog/salesItemDetails.do?id=52379</v>
      </c>
      <c r="B1213" s="5" t="s">
        <v>3301</v>
      </c>
      <c r="C1213" s="5" t="s">
        <v>3087</v>
      </c>
      <c r="D1213" s="5" t="s">
        <v>3302</v>
      </c>
      <c r="E1213" s="5" t="s">
        <v>3303</v>
      </c>
      <c r="F1213" s="5" t="s">
        <v>16</v>
      </c>
      <c r="G1213" s="5" t="s">
        <v>97</v>
      </c>
      <c r="H1213" s="5" t="s">
        <v>18</v>
      </c>
      <c r="I1213" s="6" t="n">
        <v>36341.9166666667</v>
      </c>
      <c r="J1213" s="5" t="s">
        <v>19</v>
      </c>
      <c r="K1213" s="5" t="s">
        <v>20</v>
      </c>
      <c r="L1213" s="5" t="s">
        <v>3304</v>
      </c>
    </row>
    <row r="1214" customFormat="false" ht="15.65" hidden="false" customHeight="true" outlineLevel="0" collapsed="false">
      <c r="A1214" s="2" t="str">
        <f aca="false">HYPERLINK("https://www.fabsurplus.com/sdi_catalog/salesItemDetails.do?id=52380")</f>
        <v>https://www.fabsurplus.com/sdi_catalog/salesItemDetails.do?id=52380</v>
      </c>
      <c r="B1214" s="2" t="s">
        <v>3305</v>
      </c>
      <c r="C1214" s="2" t="s">
        <v>3087</v>
      </c>
      <c r="D1214" s="2" t="s">
        <v>3306</v>
      </c>
      <c r="E1214" s="2" t="s">
        <v>3303</v>
      </c>
      <c r="F1214" s="2" t="s">
        <v>16</v>
      </c>
      <c r="G1214" s="2" t="s">
        <v>97</v>
      </c>
      <c r="H1214" s="2" t="s">
        <v>18</v>
      </c>
      <c r="I1214" s="3" t="n">
        <v>36341.9166666667</v>
      </c>
      <c r="J1214" s="2" t="s">
        <v>19</v>
      </c>
      <c r="K1214" s="2" t="s">
        <v>20</v>
      </c>
      <c r="L1214" s="2" t="s">
        <v>3304</v>
      </c>
    </row>
    <row r="1215" customFormat="false" ht="15.65" hidden="false" customHeight="true" outlineLevel="0" collapsed="false">
      <c r="A1215" s="5" t="str">
        <f aca="false">HYPERLINK("https://www.fabsurplus.com/sdi_catalog/salesItemDetails.do?id=52381")</f>
        <v>https://www.fabsurplus.com/sdi_catalog/salesItemDetails.do?id=52381</v>
      </c>
      <c r="B1215" s="5" t="s">
        <v>3307</v>
      </c>
      <c r="C1215" s="5" t="s">
        <v>3087</v>
      </c>
      <c r="D1215" s="5" t="s">
        <v>3306</v>
      </c>
      <c r="E1215" s="5" t="s">
        <v>3303</v>
      </c>
      <c r="F1215" s="5" t="s">
        <v>16</v>
      </c>
      <c r="G1215" s="5" t="s">
        <v>97</v>
      </c>
      <c r="H1215" s="5" t="s">
        <v>18</v>
      </c>
      <c r="I1215" s="6" t="n">
        <v>36341.9166666667</v>
      </c>
      <c r="J1215" s="5" t="s">
        <v>19</v>
      </c>
      <c r="K1215" s="5" t="s">
        <v>20</v>
      </c>
      <c r="L1215" s="5" t="s">
        <v>3304</v>
      </c>
    </row>
    <row r="1216" customFormat="false" ht="15.65" hidden="false" customHeight="true" outlineLevel="0" collapsed="false">
      <c r="A1216" s="2" t="str">
        <f aca="false">HYPERLINK("https://www.fabsurplus.com/sdi_catalog/salesItemDetails.do?id=52382")</f>
        <v>https://www.fabsurplus.com/sdi_catalog/salesItemDetails.do?id=52382</v>
      </c>
      <c r="B1216" s="2" t="s">
        <v>3308</v>
      </c>
      <c r="C1216" s="2" t="s">
        <v>3087</v>
      </c>
      <c r="D1216" s="2" t="s">
        <v>3309</v>
      </c>
      <c r="E1216" s="2" t="s">
        <v>3310</v>
      </c>
      <c r="F1216" s="2" t="s">
        <v>16</v>
      </c>
      <c r="G1216" s="2" t="s">
        <v>97</v>
      </c>
      <c r="H1216" s="2" t="s">
        <v>18</v>
      </c>
      <c r="I1216" s="3" t="n">
        <v>36341.9166666667</v>
      </c>
      <c r="J1216" s="2" t="s">
        <v>19</v>
      </c>
      <c r="K1216" s="2" t="s">
        <v>20</v>
      </c>
      <c r="L1216" s="4" t="s">
        <v>3311</v>
      </c>
    </row>
    <row r="1217" customFormat="false" ht="15.65" hidden="false" customHeight="true" outlineLevel="0" collapsed="false">
      <c r="A1217" s="5" t="str">
        <f aca="false">HYPERLINK("https://www.fabsurplus.com/sdi_catalog/salesItemDetails.do?id=52384")</f>
        <v>https://www.fabsurplus.com/sdi_catalog/salesItemDetails.do?id=52384</v>
      </c>
      <c r="B1217" s="5" t="s">
        <v>3312</v>
      </c>
      <c r="C1217" s="5" t="s">
        <v>3092</v>
      </c>
      <c r="D1217" s="5" t="s">
        <v>3306</v>
      </c>
      <c r="E1217" s="5" t="s">
        <v>3303</v>
      </c>
      <c r="F1217" s="5" t="s">
        <v>16</v>
      </c>
      <c r="G1217" s="5" t="s">
        <v>97</v>
      </c>
      <c r="H1217" s="5" t="s">
        <v>18</v>
      </c>
      <c r="I1217" s="5"/>
      <c r="J1217" s="5" t="s">
        <v>19</v>
      </c>
      <c r="K1217" s="5" t="s">
        <v>20</v>
      </c>
      <c r="L1217" s="5" t="s">
        <v>3304</v>
      </c>
    </row>
    <row r="1218" customFormat="false" ht="15.65" hidden="false" customHeight="true" outlineLevel="0" collapsed="false">
      <c r="A1218" s="2" t="str">
        <f aca="false">HYPERLINK("https://www.fabsurplus.com/sdi_catalog/salesItemDetails.do?id=108968")</f>
        <v>https://www.fabsurplus.com/sdi_catalog/salesItemDetails.do?id=108968</v>
      </c>
      <c r="B1218" s="2" t="s">
        <v>3313</v>
      </c>
      <c r="C1218" s="2" t="s">
        <v>3092</v>
      </c>
      <c r="D1218" s="2" t="s">
        <v>3314</v>
      </c>
      <c r="E1218" s="2" t="s">
        <v>3315</v>
      </c>
      <c r="F1218" s="2" t="s">
        <v>16</v>
      </c>
      <c r="G1218" s="2" t="s">
        <v>104</v>
      </c>
      <c r="H1218" s="2" t="s">
        <v>18</v>
      </c>
      <c r="I1218" s="3" t="n">
        <v>35947</v>
      </c>
      <c r="J1218" s="2" t="s">
        <v>19</v>
      </c>
      <c r="K1218" s="2" t="s">
        <v>20</v>
      </c>
      <c r="L1218" s="4" t="s">
        <v>3316</v>
      </c>
    </row>
    <row r="1219" customFormat="false" ht="15.65" hidden="false" customHeight="true" outlineLevel="0" collapsed="false">
      <c r="A1219" s="5" t="str">
        <f aca="false">HYPERLINK("https://www.fabsurplus.com/sdi_catalog/salesItemDetails.do?id=102059")</f>
        <v>https://www.fabsurplus.com/sdi_catalog/salesItemDetails.do?id=102059</v>
      </c>
      <c r="B1219" s="5" t="s">
        <v>3317</v>
      </c>
      <c r="C1219" s="5" t="s">
        <v>3092</v>
      </c>
      <c r="D1219" s="5" t="s">
        <v>3318</v>
      </c>
      <c r="E1219" s="5" t="s">
        <v>3319</v>
      </c>
      <c r="F1219" s="5" t="s">
        <v>3320</v>
      </c>
      <c r="G1219" s="5" t="s">
        <v>97</v>
      </c>
      <c r="H1219" s="5" t="s">
        <v>32</v>
      </c>
      <c r="I1219" s="6" t="n">
        <v>35916</v>
      </c>
      <c r="J1219" s="5" t="s">
        <v>19</v>
      </c>
      <c r="K1219" s="5" t="s">
        <v>20</v>
      </c>
      <c r="L1219" s="7" t="s">
        <v>3321</v>
      </c>
    </row>
    <row r="1220" customFormat="false" ht="15.65" hidden="false" customHeight="true" outlineLevel="0" collapsed="false">
      <c r="A1220" s="2" t="str">
        <f aca="false">HYPERLINK("https://www.fabsurplus.com/sdi_catalog/salesItemDetails.do?id=105904")</f>
        <v>https://www.fabsurplus.com/sdi_catalog/salesItemDetails.do?id=105904</v>
      </c>
      <c r="B1220" s="2" t="s">
        <v>3322</v>
      </c>
      <c r="C1220" s="2" t="s">
        <v>3092</v>
      </c>
      <c r="D1220" s="2" t="s">
        <v>3101</v>
      </c>
      <c r="E1220" s="2" t="s">
        <v>3323</v>
      </c>
      <c r="F1220" s="2" t="s">
        <v>16</v>
      </c>
      <c r="G1220" s="2" t="s">
        <v>104</v>
      </c>
      <c r="H1220" s="2" t="s">
        <v>18</v>
      </c>
      <c r="I1220" s="3" t="n">
        <v>36647</v>
      </c>
      <c r="J1220" s="2" t="s">
        <v>19</v>
      </c>
      <c r="K1220" s="2" t="s">
        <v>20</v>
      </c>
      <c r="L1220" s="4" t="s">
        <v>3324</v>
      </c>
    </row>
    <row r="1221" customFormat="false" ht="15.65" hidden="false" customHeight="true" outlineLevel="0" collapsed="false">
      <c r="A1221" s="5" t="str">
        <f aca="false">HYPERLINK("https://www.fabsurplus.com/sdi_catalog/salesItemDetails.do?id=105905")</f>
        <v>https://www.fabsurplus.com/sdi_catalog/salesItemDetails.do?id=105905</v>
      </c>
      <c r="B1221" s="5" t="s">
        <v>3325</v>
      </c>
      <c r="C1221" s="5" t="s">
        <v>3092</v>
      </c>
      <c r="D1221" s="5" t="s">
        <v>3326</v>
      </c>
      <c r="E1221" s="5" t="s">
        <v>3327</v>
      </c>
      <c r="F1221" s="5" t="s">
        <v>16</v>
      </c>
      <c r="G1221" s="5" t="s">
        <v>104</v>
      </c>
      <c r="H1221" s="5" t="s">
        <v>32</v>
      </c>
      <c r="I1221" s="6" t="n">
        <v>36647</v>
      </c>
      <c r="J1221" s="5" t="s">
        <v>19</v>
      </c>
      <c r="K1221" s="5" t="s">
        <v>20</v>
      </c>
      <c r="L1221" s="5" t="s">
        <v>3328</v>
      </c>
    </row>
    <row r="1222" customFormat="false" ht="15.65" hidden="false" customHeight="true" outlineLevel="0" collapsed="false">
      <c r="A1222" s="2" t="str">
        <f aca="false">HYPERLINK("https://www.fabsurplus.com/sdi_catalog/salesItemDetails.do?id=52153")</f>
        <v>https://www.fabsurplus.com/sdi_catalog/salesItemDetails.do?id=52153</v>
      </c>
      <c r="B1222" s="2" t="s">
        <v>3329</v>
      </c>
      <c r="C1222" s="2" t="s">
        <v>3092</v>
      </c>
      <c r="D1222" s="2" t="s">
        <v>3330</v>
      </c>
      <c r="E1222" s="2" t="s">
        <v>3331</v>
      </c>
      <c r="F1222" s="2" t="s">
        <v>16</v>
      </c>
      <c r="G1222" s="2" t="s">
        <v>38</v>
      </c>
      <c r="H1222" s="2" t="s">
        <v>18</v>
      </c>
      <c r="I1222" s="3" t="n">
        <v>36280.9166666667</v>
      </c>
      <c r="J1222" s="2" t="s">
        <v>19</v>
      </c>
      <c r="K1222" s="2" t="s">
        <v>20</v>
      </c>
      <c r="L1222" s="4" t="s">
        <v>3332</v>
      </c>
    </row>
    <row r="1223" customFormat="false" ht="15.65" hidden="false" customHeight="true" outlineLevel="0" collapsed="false">
      <c r="A1223" s="5" t="str">
        <f aca="false">HYPERLINK("https://www.fabsurplus.com/sdi_catalog/salesItemDetails.do?id=84412")</f>
        <v>https://www.fabsurplus.com/sdi_catalog/salesItemDetails.do?id=84412</v>
      </c>
      <c r="B1223" s="5" t="s">
        <v>3333</v>
      </c>
      <c r="C1223" s="5" t="s">
        <v>3087</v>
      </c>
      <c r="D1223" s="5" t="s">
        <v>3334</v>
      </c>
      <c r="E1223" s="5" t="s">
        <v>3335</v>
      </c>
      <c r="F1223" s="5" t="s">
        <v>16</v>
      </c>
      <c r="G1223" s="5" t="s">
        <v>1293</v>
      </c>
      <c r="H1223" s="5" t="s">
        <v>18</v>
      </c>
      <c r="I1223" s="5"/>
      <c r="J1223" s="5" t="s">
        <v>19</v>
      </c>
      <c r="K1223" s="5" t="s">
        <v>20</v>
      </c>
      <c r="L1223" s="7" t="s">
        <v>3336</v>
      </c>
    </row>
    <row r="1224" customFormat="false" ht="15.65" hidden="false" customHeight="true" outlineLevel="0" collapsed="false">
      <c r="A1224" s="2" t="str">
        <f aca="false">HYPERLINK("https://www.fabsurplus.com/sdi_catalog/salesItemDetails.do?id=95427")</f>
        <v>https://www.fabsurplus.com/sdi_catalog/salesItemDetails.do?id=95427</v>
      </c>
      <c r="B1224" s="2" t="s">
        <v>3337</v>
      </c>
      <c r="C1224" s="2" t="s">
        <v>3087</v>
      </c>
      <c r="D1224" s="2" t="s">
        <v>3338</v>
      </c>
      <c r="E1224" s="2" t="s">
        <v>2407</v>
      </c>
      <c r="F1224" s="2" t="s">
        <v>16</v>
      </c>
      <c r="G1224" s="2" t="s">
        <v>1293</v>
      </c>
      <c r="H1224" s="2" t="s">
        <v>32</v>
      </c>
      <c r="I1224" s="3" t="n">
        <v>34820</v>
      </c>
      <c r="J1224" s="2" t="s">
        <v>42</v>
      </c>
      <c r="K1224" s="2" t="s">
        <v>20</v>
      </c>
      <c r="L1224" s="4" t="s">
        <v>3339</v>
      </c>
    </row>
    <row r="1225" customFormat="false" ht="15.65" hidden="false" customHeight="true" outlineLevel="0" collapsed="false">
      <c r="A1225" s="5" t="str">
        <f aca="false">HYPERLINK("https://www.fabsurplus.com/sdi_catalog/salesItemDetails.do?id=95428")</f>
        <v>https://www.fabsurplus.com/sdi_catalog/salesItemDetails.do?id=95428</v>
      </c>
      <c r="B1225" s="5" t="s">
        <v>3340</v>
      </c>
      <c r="C1225" s="5" t="s">
        <v>3092</v>
      </c>
      <c r="D1225" s="5" t="s">
        <v>3341</v>
      </c>
      <c r="E1225" s="5" t="s">
        <v>3342</v>
      </c>
      <c r="F1225" s="5" t="s">
        <v>16</v>
      </c>
      <c r="G1225" s="5" t="s">
        <v>2031</v>
      </c>
      <c r="H1225" s="5" t="s">
        <v>2785</v>
      </c>
      <c r="I1225" s="5"/>
      <c r="J1225" s="5" t="s">
        <v>19</v>
      </c>
      <c r="K1225" s="5" t="s">
        <v>20</v>
      </c>
      <c r="L1225" s="7" t="s">
        <v>3343</v>
      </c>
    </row>
    <row r="1226" customFormat="false" ht="15.65" hidden="false" customHeight="true" outlineLevel="0" collapsed="false">
      <c r="A1226" s="2" t="str">
        <f aca="false">HYPERLINK("https://www.fabsurplus.com/sdi_catalog/salesItemDetails.do?id=109020")</f>
        <v>https://www.fabsurplus.com/sdi_catalog/salesItemDetails.do?id=109020</v>
      </c>
      <c r="B1226" s="2" t="s">
        <v>3344</v>
      </c>
      <c r="C1226" s="2" t="s">
        <v>3092</v>
      </c>
      <c r="D1226" s="2" t="s">
        <v>3345</v>
      </c>
      <c r="E1226" s="2" t="s">
        <v>3346</v>
      </c>
      <c r="F1226" s="2" t="s">
        <v>16</v>
      </c>
      <c r="G1226" s="2" t="s">
        <v>38</v>
      </c>
      <c r="H1226" s="2" t="s">
        <v>32</v>
      </c>
      <c r="I1226" s="3" t="n">
        <v>37012</v>
      </c>
      <c r="J1226" s="2" t="s">
        <v>19</v>
      </c>
      <c r="K1226" s="2" t="s">
        <v>20</v>
      </c>
      <c r="L1226" s="4" t="s">
        <v>3347</v>
      </c>
    </row>
    <row r="1227" customFormat="false" ht="15.65" hidden="false" customHeight="true" outlineLevel="0" collapsed="false">
      <c r="A1227" s="5" t="str">
        <f aca="false">HYPERLINK("https://www.fabsurplus.com/sdi_catalog/salesItemDetails.do?id=106205")</f>
        <v>https://www.fabsurplus.com/sdi_catalog/salesItemDetails.do?id=106205</v>
      </c>
      <c r="B1227" s="5" t="s">
        <v>3348</v>
      </c>
      <c r="C1227" s="5" t="s">
        <v>3092</v>
      </c>
      <c r="D1227" s="5" t="s">
        <v>3349</v>
      </c>
      <c r="E1227" s="5" t="s">
        <v>3350</v>
      </c>
      <c r="F1227" s="5" t="s">
        <v>16</v>
      </c>
      <c r="G1227" s="5" t="s">
        <v>104</v>
      </c>
      <c r="H1227" s="5" t="s">
        <v>18</v>
      </c>
      <c r="I1227" s="6" t="n">
        <v>35947</v>
      </c>
      <c r="J1227" s="5" t="s">
        <v>19</v>
      </c>
      <c r="K1227" s="5" t="s">
        <v>20</v>
      </c>
      <c r="L1227" s="7" t="s">
        <v>3351</v>
      </c>
    </row>
    <row r="1228" customFormat="false" ht="15.65" hidden="false" customHeight="true" outlineLevel="0" collapsed="false">
      <c r="A1228" s="2" t="str">
        <f aca="false">HYPERLINK("https://www.fabsurplus.com/sdi_catalog/salesItemDetails.do?id=52446")</f>
        <v>https://www.fabsurplus.com/sdi_catalog/salesItemDetails.do?id=52446</v>
      </c>
      <c r="B1228" s="2" t="s">
        <v>3352</v>
      </c>
      <c r="C1228" s="2" t="s">
        <v>3092</v>
      </c>
      <c r="D1228" s="2" t="s">
        <v>3353</v>
      </c>
      <c r="E1228" s="2" t="s">
        <v>3354</v>
      </c>
      <c r="F1228" s="2" t="s">
        <v>16</v>
      </c>
      <c r="G1228" s="2" t="s">
        <v>97</v>
      </c>
      <c r="H1228" s="2" t="s">
        <v>18</v>
      </c>
      <c r="I1228" s="3" t="n">
        <v>36341.9166666667</v>
      </c>
      <c r="J1228" s="2" t="s">
        <v>19</v>
      </c>
      <c r="K1228" s="2" t="s">
        <v>20</v>
      </c>
      <c r="L1228" s="2" t="s">
        <v>3355</v>
      </c>
    </row>
    <row r="1229" customFormat="false" ht="15.65" hidden="false" customHeight="true" outlineLevel="0" collapsed="false">
      <c r="A1229" s="5" t="str">
        <f aca="false">HYPERLINK("https://www.fabsurplus.com/sdi_catalog/salesItemDetails.do?id=52447")</f>
        <v>https://www.fabsurplus.com/sdi_catalog/salesItemDetails.do?id=52447</v>
      </c>
      <c r="B1229" s="5" t="s">
        <v>3356</v>
      </c>
      <c r="C1229" s="5" t="s">
        <v>3087</v>
      </c>
      <c r="D1229" s="5" t="s">
        <v>3357</v>
      </c>
      <c r="E1229" s="5" t="s">
        <v>3354</v>
      </c>
      <c r="F1229" s="5" t="s">
        <v>16</v>
      </c>
      <c r="G1229" s="5" t="s">
        <v>97</v>
      </c>
      <c r="H1229" s="5" t="s">
        <v>18</v>
      </c>
      <c r="I1229" s="6" t="n">
        <v>36312</v>
      </c>
      <c r="J1229" s="5" t="s">
        <v>19</v>
      </c>
      <c r="K1229" s="5" t="s">
        <v>20</v>
      </c>
      <c r="L1229" s="5" t="s">
        <v>3358</v>
      </c>
    </row>
    <row r="1230" customFormat="false" ht="15.65" hidden="false" customHeight="true" outlineLevel="0" collapsed="false">
      <c r="A1230" s="2" t="str">
        <f aca="false">HYPERLINK("https://www.fabsurplus.com/sdi_catalog/salesItemDetails.do?id=52448")</f>
        <v>https://www.fabsurplus.com/sdi_catalog/salesItemDetails.do?id=52448</v>
      </c>
      <c r="B1230" s="2" t="s">
        <v>3359</v>
      </c>
      <c r="C1230" s="2" t="s">
        <v>3087</v>
      </c>
      <c r="D1230" s="2" t="s">
        <v>3360</v>
      </c>
      <c r="E1230" s="2" t="s">
        <v>3361</v>
      </c>
      <c r="F1230" s="2" t="s">
        <v>16</v>
      </c>
      <c r="G1230" s="2" t="s">
        <v>97</v>
      </c>
      <c r="H1230" s="2" t="s">
        <v>18</v>
      </c>
      <c r="I1230" s="3" t="n">
        <v>36341.9166666667</v>
      </c>
      <c r="J1230" s="2" t="s">
        <v>19</v>
      </c>
      <c r="K1230" s="2" t="s">
        <v>20</v>
      </c>
      <c r="L1230" s="2" t="s">
        <v>3362</v>
      </c>
    </row>
    <row r="1231" customFormat="false" ht="15.65" hidden="false" customHeight="true" outlineLevel="0" collapsed="false">
      <c r="A1231" s="5" t="str">
        <f aca="false">HYPERLINK("https://www.fabsurplus.com/sdi_catalog/salesItemDetails.do?id=52450")</f>
        <v>https://www.fabsurplus.com/sdi_catalog/salesItemDetails.do?id=52450</v>
      </c>
      <c r="B1231" s="5" t="s">
        <v>3363</v>
      </c>
      <c r="C1231" s="5" t="s">
        <v>3092</v>
      </c>
      <c r="D1231" s="5" t="s">
        <v>3364</v>
      </c>
      <c r="E1231" s="5" t="s">
        <v>3365</v>
      </c>
      <c r="F1231" s="5" t="s">
        <v>16</v>
      </c>
      <c r="G1231" s="5" t="s">
        <v>97</v>
      </c>
      <c r="H1231" s="5" t="s">
        <v>18</v>
      </c>
      <c r="I1231" s="6" t="n">
        <v>36341.9166666667</v>
      </c>
      <c r="J1231" s="5" t="s">
        <v>19</v>
      </c>
      <c r="K1231" s="5" t="s">
        <v>20</v>
      </c>
      <c r="L1231" s="5" t="s">
        <v>3366</v>
      </c>
    </row>
    <row r="1232" customFormat="false" ht="15.65" hidden="false" customHeight="true" outlineLevel="0" collapsed="false">
      <c r="A1232" s="2" t="str">
        <f aca="false">HYPERLINK("https://www.fabsurplus.com/sdi_catalog/salesItemDetails.do?id=106229")</f>
        <v>https://www.fabsurplus.com/sdi_catalog/salesItemDetails.do?id=106229</v>
      </c>
      <c r="B1232" s="2" t="s">
        <v>3367</v>
      </c>
      <c r="C1232" s="2" t="s">
        <v>3092</v>
      </c>
      <c r="D1232" s="2" t="s">
        <v>3368</v>
      </c>
      <c r="E1232" s="2" t="s">
        <v>3369</v>
      </c>
      <c r="F1232" s="2" t="s">
        <v>16</v>
      </c>
      <c r="G1232" s="2" t="s">
        <v>104</v>
      </c>
      <c r="H1232" s="2" t="s">
        <v>18</v>
      </c>
      <c r="I1232" s="3" t="n">
        <v>35947</v>
      </c>
      <c r="J1232" s="2" t="s">
        <v>19</v>
      </c>
      <c r="K1232" s="2" t="s">
        <v>20</v>
      </c>
      <c r="L1232" s="2" t="s">
        <v>3370</v>
      </c>
    </row>
    <row r="1233" customFormat="false" ht="15.65" hidden="false" customHeight="true" outlineLevel="0" collapsed="false">
      <c r="A1233" s="5" t="str">
        <f aca="false">HYPERLINK("https://www.fabsurplus.com/sdi_catalog/salesItemDetails.do?id=106230")</f>
        <v>https://www.fabsurplus.com/sdi_catalog/salesItemDetails.do?id=106230</v>
      </c>
      <c r="B1233" s="5" t="s">
        <v>3371</v>
      </c>
      <c r="C1233" s="5" t="s">
        <v>3092</v>
      </c>
      <c r="D1233" s="5" t="s">
        <v>3372</v>
      </c>
      <c r="E1233" s="5" t="s">
        <v>3373</v>
      </c>
      <c r="F1233" s="5" t="s">
        <v>16</v>
      </c>
      <c r="G1233" s="5" t="s">
        <v>104</v>
      </c>
      <c r="H1233" s="5" t="s">
        <v>18</v>
      </c>
      <c r="I1233" s="6" t="n">
        <v>35947</v>
      </c>
      <c r="J1233" s="5" t="s">
        <v>19</v>
      </c>
      <c r="K1233" s="5" t="s">
        <v>20</v>
      </c>
      <c r="L1233" s="5" t="s">
        <v>3370</v>
      </c>
    </row>
    <row r="1234" customFormat="false" ht="15.65" hidden="false" customHeight="true" outlineLevel="0" collapsed="false">
      <c r="A1234" s="2" t="str">
        <f aca="false">HYPERLINK("https://www.fabsurplus.com/sdi_catalog/salesItemDetails.do?id=106231")</f>
        <v>https://www.fabsurplus.com/sdi_catalog/salesItemDetails.do?id=106231</v>
      </c>
      <c r="B1234" s="2" t="s">
        <v>3374</v>
      </c>
      <c r="C1234" s="2" t="s">
        <v>3092</v>
      </c>
      <c r="D1234" s="2" t="s">
        <v>3375</v>
      </c>
      <c r="E1234" s="2" t="s">
        <v>3376</v>
      </c>
      <c r="F1234" s="2" t="s">
        <v>16</v>
      </c>
      <c r="G1234" s="2" t="s">
        <v>104</v>
      </c>
      <c r="H1234" s="2" t="s">
        <v>18</v>
      </c>
      <c r="I1234" s="3" t="n">
        <v>35947</v>
      </c>
      <c r="J1234" s="2" t="s">
        <v>19</v>
      </c>
      <c r="K1234" s="2" t="s">
        <v>20</v>
      </c>
      <c r="L1234" s="2" t="s">
        <v>3370</v>
      </c>
    </row>
    <row r="1235" customFormat="false" ht="15.65" hidden="false" customHeight="true" outlineLevel="0" collapsed="false">
      <c r="A1235" s="5" t="str">
        <f aca="false">HYPERLINK("https://www.fabsurplus.com/sdi_catalog/salesItemDetails.do?id=106232")</f>
        <v>https://www.fabsurplus.com/sdi_catalog/salesItemDetails.do?id=106232</v>
      </c>
      <c r="B1235" s="5" t="s">
        <v>3377</v>
      </c>
      <c r="C1235" s="5" t="s">
        <v>3092</v>
      </c>
      <c r="D1235" s="5" t="s">
        <v>3378</v>
      </c>
      <c r="E1235" s="5" t="s">
        <v>3379</v>
      </c>
      <c r="F1235" s="5" t="s">
        <v>16</v>
      </c>
      <c r="G1235" s="5" t="s">
        <v>104</v>
      </c>
      <c r="H1235" s="5" t="s">
        <v>18</v>
      </c>
      <c r="I1235" s="6" t="n">
        <v>35947</v>
      </c>
      <c r="J1235" s="5" t="s">
        <v>19</v>
      </c>
      <c r="K1235" s="5" t="s">
        <v>20</v>
      </c>
      <c r="L1235" s="5" t="s">
        <v>3370</v>
      </c>
    </row>
    <row r="1236" customFormat="false" ht="15.65" hidden="false" customHeight="true" outlineLevel="0" collapsed="false">
      <c r="A1236" s="2" t="str">
        <f aca="false">HYPERLINK("https://www.fabsurplus.com/sdi_catalog/salesItemDetails.do?id=106233")</f>
        <v>https://www.fabsurplus.com/sdi_catalog/salesItemDetails.do?id=106233</v>
      </c>
      <c r="B1236" s="2" t="s">
        <v>3380</v>
      </c>
      <c r="C1236" s="2" t="s">
        <v>3092</v>
      </c>
      <c r="D1236" s="2" t="s">
        <v>3381</v>
      </c>
      <c r="E1236" s="2" t="s">
        <v>3382</v>
      </c>
      <c r="F1236" s="2" t="s">
        <v>16</v>
      </c>
      <c r="G1236" s="2" t="s">
        <v>104</v>
      </c>
      <c r="H1236" s="2" t="s">
        <v>18</v>
      </c>
      <c r="I1236" s="3" t="n">
        <v>35947</v>
      </c>
      <c r="J1236" s="2" t="s">
        <v>19</v>
      </c>
      <c r="K1236" s="2" t="s">
        <v>20</v>
      </c>
      <c r="L1236" s="2" t="s">
        <v>3370</v>
      </c>
    </row>
    <row r="1237" customFormat="false" ht="15.65" hidden="false" customHeight="true" outlineLevel="0" collapsed="false">
      <c r="A1237" s="5" t="str">
        <f aca="false">HYPERLINK("https://www.fabsurplus.com/sdi_catalog/salesItemDetails.do?id=106234")</f>
        <v>https://www.fabsurplus.com/sdi_catalog/salesItemDetails.do?id=106234</v>
      </c>
      <c r="B1237" s="5" t="s">
        <v>3383</v>
      </c>
      <c r="C1237" s="5" t="s">
        <v>3092</v>
      </c>
      <c r="D1237" s="5" t="s">
        <v>3384</v>
      </c>
      <c r="E1237" s="5" t="s">
        <v>3385</v>
      </c>
      <c r="F1237" s="5" t="s">
        <v>16</v>
      </c>
      <c r="G1237" s="5" t="s">
        <v>104</v>
      </c>
      <c r="H1237" s="5" t="s">
        <v>18</v>
      </c>
      <c r="I1237" s="6" t="n">
        <v>35947</v>
      </c>
      <c r="J1237" s="5" t="s">
        <v>19</v>
      </c>
      <c r="K1237" s="5" t="s">
        <v>20</v>
      </c>
      <c r="L1237" s="5" t="s">
        <v>3370</v>
      </c>
    </row>
    <row r="1238" customFormat="false" ht="15.65" hidden="false" customHeight="true" outlineLevel="0" collapsed="false">
      <c r="A1238" s="2" t="str">
        <f aca="false">HYPERLINK("https://www.fabsurplus.com/sdi_catalog/salesItemDetails.do?id=105979")</f>
        <v>https://www.fabsurplus.com/sdi_catalog/salesItemDetails.do?id=105979</v>
      </c>
      <c r="B1238" s="2" t="s">
        <v>3386</v>
      </c>
      <c r="C1238" s="2" t="s">
        <v>3092</v>
      </c>
      <c r="D1238" s="2" t="s">
        <v>3387</v>
      </c>
      <c r="E1238" s="2" t="s">
        <v>3388</v>
      </c>
      <c r="F1238" s="2" t="s">
        <v>16</v>
      </c>
      <c r="G1238" s="2" t="s">
        <v>104</v>
      </c>
      <c r="H1238" s="2" t="s">
        <v>32</v>
      </c>
      <c r="I1238" s="3" t="n">
        <v>36647</v>
      </c>
      <c r="J1238" s="2" t="s">
        <v>19</v>
      </c>
      <c r="K1238" s="2" t="s">
        <v>1560</v>
      </c>
      <c r="L1238" s="2" t="s">
        <v>3389</v>
      </c>
    </row>
    <row r="1239" customFormat="false" ht="15.65" hidden="false" customHeight="true" outlineLevel="0" collapsed="false">
      <c r="A1239" s="5" t="str">
        <f aca="false">HYPERLINK("https://www.fabsurplus.com/sdi_catalog/salesItemDetails.do?id=106235")</f>
        <v>https://www.fabsurplus.com/sdi_catalog/salesItemDetails.do?id=106235</v>
      </c>
      <c r="B1239" s="5" t="s">
        <v>3390</v>
      </c>
      <c r="C1239" s="5" t="s">
        <v>3092</v>
      </c>
      <c r="D1239" s="5" t="s">
        <v>3391</v>
      </c>
      <c r="E1239" s="5" t="s">
        <v>3392</v>
      </c>
      <c r="F1239" s="5" t="s">
        <v>16</v>
      </c>
      <c r="G1239" s="5" t="s">
        <v>104</v>
      </c>
      <c r="H1239" s="5" t="s">
        <v>18</v>
      </c>
      <c r="I1239" s="6" t="n">
        <v>35947</v>
      </c>
      <c r="J1239" s="5" t="s">
        <v>19</v>
      </c>
      <c r="K1239" s="5" t="s">
        <v>20</v>
      </c>
      <c r="L1239" s="5" t="s">
        <v>3370</v>
      </c>
    </row>
    <row r="1240" customFormat="false" ht="15.65" hidden="false" customHeight="true" outlineLevel="0" collapsed="false">
      <c r="A1240" s="2" t="str">
        <f aca="false">HYPERLINK("https://www.fabsurplus.com/sdi_catalog/salesItemDetails.do?id=106236")</f>
        <v>https://www.fabsurplus.com/sdi_catalog/salesItemDetails.do?id=106236</v>
      </c>
      <c r="B1240" s="2" t="s">
        <v>3393</v>
      </c>
      <c r="C1240" s="2" t="s">
        <v>3092</v>
      </c>
      <c r="D1240" s="2" t="s">
        <v>3391</v>
      </c>
      <c r="E1240" s="2" t="s">
        <v>3394</v>
      </c>
      <c r="F1240" s="2" t="s">
        <v>16</v>
      </c>
      <c r="G1240" s="2" t="s">
        <v>104</v>
      </c>
      <c r="H1240" s="2" t="s">
        <v>18</v>
      </c>
      <c r="I1240" s="3" t="n">
        <v>35947</v>
      </c>
      <c r="J1240" s="2" t="s">
        <v>19</v>
      </c>
      <c r="K1240" s="2" t="s">
        <v>20</v>
      </c>
      <c r="L1240" s="4" t="s">
        <v>3395</v>
      </c>
    </row>
    <row r="1241" customFormat="false" ht="15.65" hidden="false" customHeight="true" outlineLevel="0" collapsed="false">
      <c r="A1241" s="5" t="str">
        <f aca="false">HYPERLINK("https://www.fabsurplus.com/sdi_catalog/salesItemDetails.do?id=106237")</f>
        <v>https://www.fabsurplus.com/sdi_catalog/salesItemDetails.do?id=106237</v>
      </c>
      <c r="B1241" s="5" t="s">
        <v>3396</v>
      </c>
      <c r="C1241" s="5" t="s">
        <v>3092</v>
      </c>
      <c r="D1241" s="5" t="s">
        <v>3391</v>
      </c>
      <c r="E1241" s="5" t="s">
        <v>3397</v>
      </c>
      <c r="F1241" s="5" t="s">
        <v>16</v>
      </c>
      <c r="G1241" s="5" t="s">
        <v>104</v>
      </c>
      <c r="H1241" s="5" t="s">
        <v>18</v>
      </c>
      <c r="I1241" s="6" t="n">
        <v>35947</v>
      </c>
      <c r="J1241" s="5" t="s">
        <v>19</v>
      </c>
      <c r="K1241" s="5" t="s">
        <v>20</v>
      </c>
      <c r="L1241" s="7" t="s">
        <v>3395</v>
      </c>
    </row>
    <row r="1242" customFormat="false" ht="15.65" hidden="false" customHeight="true" outlineLevel="0" collapsed="false">
      <c r="A1242" s="2" t="str">
        <f aca="false">HYPERLINK("https://www.fabsurplus.com/sdi_catalog/salesItemDetails.do?id=106238")</f>
        <v>https://www.fabsurplus.com/sdi_catalog/salesItemDetails.do?id=106238</v>
      </c>
      <c r="B1242" s="2" t="s">
        <v>3398</v>
      </c>
      <c r="C1242" s="2" t="s">
        <v>3092</v>
      </c>
      <c r="D1242" s="2" t="s">
        <v>3399</v>
      </c>
      <c r="E1242" s="2" t="s">
        <v>3400</v>
      </c>
      <c r="F1242" s="2" t="s">
        <v>16</v>
      </c>
      <c r="G1242" s="2" t="s">
        <v>104</v>
      </c>
      <c r="H1242" s="2" t="s">
        <v>18</v>
      </c>
      <c r="I1242" s="3" t="n">
        <v>35947</v>
      </c>
      <c r="J1242" s="2" t="s">
        <v>19</v>
      </c>
      <c r="K1242" s="2" t="s">
        <v>20</v>
      </c>
      <c r="L1242" s="4" t="s">
        <v>3401</v>
      </c>
    </row>
    <row r="1243" customFormat="false" ht="15.65" hidden="false" customHeight="true" outlineLevel="0" collapsed="false">
      <c r="A1243" s="5" t="str">
        <f aca="false">HYPERLINK("https://www.fabsurplus.com/sdi_catalog/salesItemDetails.do?id=106646")</f>
        <v>https://www.fabsurplus.com/sdi_catalog/salesItemDetails.do?id=106646</v>
      </c>
      <c r="B1243" s="5" t="s">
        <v>3402</v>
      </c>
      <c r="C1243" s="5" t="s">
        <v>3403</v>
      </c>
      <c r="D1243" s="5" t="s">
        <v>3404</v>
      </c>
      <c r="E1243" s="5" t="s">
        <v>3405</v>
      </c>
      <c r="F1243" s="5" t="s">
        <v>16</v>
      </c>
      <c r="G1243" s="5" t="s">
        <v>1272</v>
      </c>
      <c r="H1243" s="5"/>
      <c r="I1243" s="5"/>
      <c r="J1243" s="5" t="s">
        <v>19</v>
      </c>
      <c r="K1243" s="5"/>
      <c r="L1243" s="7" t="s">
        <v>3406</v>
      </c>
    </row>
    <row r="1244" customFormat="false" ht="15.65" hidden="false" customHeight="true" outlineLevel="0" collapsed="false">
      <c r="A1244" s="2" t="str">
        <f aca="false">HYPERLINK("https://www.fabsurplus.com/sdi_catalog/salesItemDetails.do?id=108976")</f>
        <v>https://www.fabsurplus.com/sdi_catalog/salesItemDetails.do?id=108976</v>
      </c>
      <c r="B1244" s="2" t="s">
        <v>3407</v>
      </c>
      <c r="C1244" s="2" t="s">
        <v>3408</v>
      </c>
      <c r="D1244" s="2" t="s">
        <v>3409</v>
      </c>
      <c r="E1244" s="2" t="s">
        <v>3410</v>
      </c>
      <c r="F1244" s="2" t="s">
        <v>16</v>
      </c>
      <c r="G1244" s="2" t="s">
        <v>38</v>
      </c>
      <c r="H1244" s="2" t="s">
        <v>32</v>
      </c>
      <c r="I1244" s="3" t="n">
        <v>38504</v>
      </c>
      <c r="J1244" s="2" t="s">
        <v>19</v>
      </c>
      <c r="K1244" s="2" t="s">
        <v>20</v>
      </c>
      <c r="L1244" s="4" t="s">
        <v>3411</v>
      </c>
    </row>
    <row r="1245" customFormat="false" ht="15.65" hidden="false" customHeight="true" outlineLevel="0" collapsed="false">
      <c r="A1245" s="5" t="str">
        <f aca="false">HYPERLINK("https://www.fabsurplus.com/sdi_catalog/salesItemDetails.do?id=109579")</f>
        <v>https://www.fabsurplus.com/sdi_catalog/salesItemDetails.do?id=109579</v>
      </c>
      <c r="B1245" s="5" t="s">
        <v>3412</v>
      </c>
      <c r="C1245" s="5" t="s">
        <v>3413</v>
      </c>
      <c r="D1245" s="5" t="s">
        <v>3414</v>
      </c>
      <c r="E1245" s="5" t="s">
        <v>59</v>
      </c>
      <c r="F1245" s="5" t="s">
        <v>16</v>
      </c>
      <c r="G1245" s="5" t="s">
        <v>38</v>
      </c>
      <c r="H1245" s="5" t="s">
        <v>32</v>
      </c>
      <c r="I1245" s="5"/>
      <c r="J1245" s="5" t="s">
        <v>19</v>
      </c>
      <c r="K1245" s="5" t="s">
        <v>20</v>
      </c>
      <c r="L1245" s="5"/>
    </row>
    <row r="1246" customFormat="false" ht="15.65" hidden="false" customHeight="true" outlineLevel="0" collapsed="false">
      <c r="A1246" s="2" t="str">
        <f aca="false">HYPERLINK("https://www.fabsurplus.com/sdi_catalog/salesItemDetails.do?id=83551")</f>
        <v>https://www.fabsurplus.com/sdi_catalog/salesItemDetails.do?id=83551</v>
      </c>
      <c r="B1246" s="2" t="s">
        <v>3415</v>
      </c>
      <c r="C1246" s="2" t="s">
        <v>3416</v>
      </c>
      <c r="D1246" s="2" t="s">
        <v>3417</v>
      </c>
      <c r="E1246" s="2" t="s">
        <v>3418</v>
      </c>
      <c r="F1246" s="2" t="s">
        <v>16</v>
      </c>
      <c r="G1246" s="2"/>
      <c r="H1246" s="2" t="s">
        <v>32</v>
      </c>
      <c r="I1246" s="3" t="n">
        <v>40026</v>
      </c>
      <c r="J1246" s="2" t="s">
        <v>19</v>
      </c>
      <c r="K1246" s="2" t="s">
        <v>20</v>
      </c>
      <c r="L1246" s="4" t="s">
        <v>3419</v>
      </c>
    </row>
    <row r="1247" customFormat="false" ht="15.65" hidden="false" customHeight="true" outlineLevel="0" collapsed="false">
      <c r="A1247" s="5" t="str">
        <f aca="false">HYPERLINK("https://www.fabsurplus.com/sdi_catalog/salesItemDetails.do?id=109967")</f>
        <v>https://www.fabsurplus.com/sdi_catalog/salesItemDetails.do?id=109967</v>
      </c>
      <c r="B1247" s="5" t="s">
        <v>3420</v>
      </c>
      <c r="C1247" s="5" t="s">
        <v>3421</v>
      </c>
      <c r="D1247" s="5" t="s">
        <v>3422</v>
      </c>
      <c r="E1247" s="5" t="s">
        <v>748</v>
      </c>
      <c r="F1247" s="5" t="s">
        <v>16</v>
      </c>
      <c r="G1247" s="5" t="s">
        <v>165</v>
      </c>
      <c r="H1247" s="5"/>
      <c r="I1247" s="5"/>
      <c r="J1247" s="5" t="s">
        <v>42</v>
      </c>
      <c r="K1247" s="5"/>
      <c r="L1247" s="5" t="s">
        <v>686</v>
      </c>
    </row>
    <row r="1248" customFormat="false" ht="15.65" hidden="false" customHeight="true" outlineLevel="0" collapsed="false">
      <c r="A1248" s="2" t="str">
        <f aca="false">HYPERLINK("https://www.fabsurplus.com/sdi_catalog/salesItemDetails.do?id=109968")</f>
        <v>https://www.fabsurplus.com/sdi_catalog/salesItemDetails.do?id=109968</v>
      </c>
      <c r="B1248" s="2" t="s">
        <v>3423</v>
      </c>
      <c r="C1248" s="2" t="s">
        <v>3421</v>
      </c>
      <c r="D1248" s="2" t="s">
        <v>3422</v>
      </c>
      <c r="E1248" s="2" t="s">
        <v>748</v>
      </c>
      <c r="F1248" s="2" t="s">
        <v>16</v>
      </c>
      <c r="G1248" s="2" t="s">
        <v>165</v>
      </c>
      <c r="H1248" s="2"/>
      <c r="I1248" s="2"/>
      <c r="J1248" s="2" t="s">
        <v>42</v>
      </c>
      <c r="K1248" s="2"/>
      <c r="L1248" s="2" t="s">
        <v>686</v>
      </c>
    </row>
    <row r="1249" customFormat="false" ht="15.65" hidden="false" customHeight="true" outlineLevel="0" collapsed="false">
      <c r="A1249" s="5" t="str">
        <f aca="false">HYPERLINK("https://www.fabsurplus.com/sdi_catalog/salesItemDetails.do?id=109969")</f>
        <v>https://www.fabsurplus.com/sdi_catalog/salesItemDetails.do?id=109969</v>
      </c>
      <c r="B1249" s="5" t="s">
        <v>3424</v>
      </c>
      <c r="C1249" s="5" t="s">
        <v>3421</v>
      </c>
      <c r="D1249" s="5" t="s">
        <v>3425</v>
      </c>
      <c r="E1249" s="5" t="s">
        <v>170</v>
      </c>
      <c r="F1249" s="5" t="s">
        <v>16</v>
      </c>
      <c r="G1249" s="5" t="s">
        <v>165</v>
      </c>
      <c r="H1249" s="5"/>
      <c r="I1249" s="5"/>
      <c r="J1249" s="5" t="s">
        <v>42</v>
      </c>
      <c r="K1249" s="5"/>
      <c r="L1249" s="5" t="s">
        <v>686</v>
      </c>
    </row>
    <row r="1250" customFormat="false" ht="15.65" hidden="false" customHeight="true" outlineLevel="0" collapsed="false">
      <c r="A1250" s="2" t="str">
        <f aca="false">HYPERLINK("https://www.fabsurplus.com/sdi_catalog/salesItemDetails.do?id=109970")</f>
        <v>https://www.fabsurplus.com/sdi_catalog/salesItemDetails.do?id=109970</v>
      </c>
      <c r="B1250" s="2" t="s">
        <v>3426</v>
      </c>
      <c r="C1250" s="2" t="s">
        <v>3421</v>
      </c>
      <c r="D1250" s="2" t="s">
        <v>3425</v>
      </c>
      <c r="E1250" s="2" t="s">
        <v>170</v>
      </c>
      <c r="F1250" s="2" t="s">
        <v>16</v>
      </c>
      <c r="G1250" s="2" t="s">
        <v>165</v>
      </c>
      <c r="H1250" s="2"/>
      <c r="I1250" s="2"/>
      <c r="J1250" s="2" t="s">
        <v>42</v>
      </c>
      <c r="K1250" s="2"/>
      <c r="L1250" s="2" t="s">
        <v>686</v>
      </c>
    </row>
    <row r="1251" customFormat="false" ht="15.65" hidden="false" customHeight="true" outlineLevel="0" collapsed="false">
      <c r="A1251" s="5" t="str">
        <f aca="false">HYPERLINK("https://www.fabsurplus.com/sdi_catalog/salesItemDetails.do?id=109971")</f>
        <v>https://www.fabsurplus.com/sdi_catalog/salesItemDetails.do?id=109971</v>
      </c>
      <c r="B1251" s="5" t="s">
        <v>3427</v>
      </c>
      <c r="C1251" s="5" t="s">
        <v>3421</v>
      </c>
      <c r="D1251" s="5" t="s">
        <v>3428</v>
      </c>
      <c r="E1251" s="5" t="s">
        <v>170</v>
      </c>
      <c r="F1251" s="5" t="s">
        <v>16</v>
      </c>
      <c r="G1251" s="5" t="s">
        <v>165</v>
      </c>
      <c r="H1251" s="5"/>
      <c r="I1251" s="5"/>
      <c r="J1251" s="5" t="s">
        <v>42</v>
      </c>
      <c r="K1251" s="5"/>
      <c r="L1251" s="5" t="s">
        <v>3429</v>
      </c>
    </row>
    <row r="1252" customFormat="false" ht="15.65" hidden="false" customHeight="true" outlineLevel="0" collapsed="false">
      <c r="A1252" s="2" t="str">
        <f aca="false">HYPERLINK("https://www.fabsurplus.com/sdi_catalog/salesItemDetails.do?id=56140")</f>
        <v>https://www.fabsurplus.com/sdi_catalog/salesItemDetails.do?id=56140</v>
      </c>
      <c r="B1252" s="2" t="s">
        <v>3430</v>
      </c>
      <c r="C1252" s="2" t="s">
        <v>3431</v>
      </c>
      <c r="D1252" s="2" t="s">
        <v>3432</v>
      </c>
      <c r="E1252" s="2" t="s">
        <v>3433</v>
      </c>
      <c r="F1252" s="2" t="s">
        <v>16</v>
      </c>
      <c r="G1252" s="2" t="s">
        <v>31</v>
      </c>
      <c r="H1252" s="2" t="s">
        <v>18</v>
      </c>
      <c r="I1252" s="3" t="n">
        <v>37012</v>
      </c>
      <c r="J1252" s="2" t="s">
        <v>19</v>
      </c>
      <c r="K1252" s="2" t="s">
        <v>20</v>
      </c>
      <c r="L1252" s="4" t="s">
        <v>3434</v>
      </c>
    </row>
    <row r="1253" customFormat="false" ht="15.65" hidden="false" customHeight="true" outlineLevel="0" collapsed="false">
      <c r="A1253" s="5" t="str">
        <f aca="false">HYPERLINK("https://www.fabsurplus.com/sdi_catalog/salesItemDetails.do?id=56144")</f>
        <v>https://www.fabsurplus.com/sdi_catalog/salesItemDetails.do?id=56144</v>
      </c>
      <c r="B1253" s="5" t="s">
        <v>3435</v>
      </c>
      <c r="C1253" s="5" t="s">
        <v>3436</v>
      </c>
      <c r="D1253" s="5" t="s">
        <v>3437</v>
      </c>
      <c r="E1253" s="5" t="s">
        <v>3438</v>
      </c>
      <c r="F1253" s="5" t="s">
        <v>16</v>
      </c>
      <c r="G1253" s="5" t="s">
        <v>17</v>
      </c>
      <c r="H1253" s="5" t="s">
        <v>18</v>
      </c>
      <c r="I1253" s="6" t="n">
        <v>37742</v>
      </c>
      <c r="J1253" s="5" t="s">
        <v>19</v>
      </c>
      <c r="K1253" s="5" t="s">
        <v>20</v>
      </c>
      <c r="L1253" s="7" t="s">
        <v>3439</v>
      </c>
    </row>
    <row r="1254" customFormat="false" ht="15.65" hidden="false" customHeight="true" outlineLevel="0" collapsed="false">
      <c r="A1254" s="2" t="str">
        <f aca="false">HYPERLINK("https://www.fabsurplus.com/sdi_catalog/salesItemDetails.do?id=103801")</f>
        <v>https://www.fabsurplus.com/sdi_catalog/salesItemDetails.do?id=103801</v>
      </c>
      <c r="B1254" s="2" t="s">
        <v>3440</v>
      </c>
      <c r="C1254" s="2" t="s">
        <v>3436</v>
      </c>
      <c r="D1254" s="2" t="s">
        <v>3441</v>
      </c>
      <c r="E1254" s="2" t="s">
        <v>3442</v>
      </c>
      <c r="F1254" s="2" t="s">
        <v>16</v>
      </c>
      <c r="G1254" s="2" t="s">
        <v>31</v>
      </c>
      <c r="H1254" s="2" t="s">
        <v>32</v>
      </c>
      <c r="I1254" s="3" t="n">
        <v>39569</v>
      </c>
      <c r="J1254" s="2" t="s">
        <v>19</v>
      </c>
      <c r="K1254" s="2" t="s">
        <v>20</v>
      </c>
      <c r="L1254" s="4" t="s">
        <v>3443</v>
      </c>
    </row>
    <row r="1255" customFormat="false" ht="15.65" hidden="false" customHeight="true" outlineLevel="0" collapsed="false">
      <c r="A1255" s="5" t="str">
        <f aca="false">HYPERLINK("https://www.fabsurplus.com/sdi_catalog/salesItemDetails.do?id=77190")</f>
        <v>https://www.fabsurplus.com/sdi_catalog/salesItemDetails.do?id=77190</v>
      </c>
      <c r="B1255" s="5" t="s">
        <v>3444</v>
      </c>
      <c r="C1255" s="5" t="s">
        <v>3436</v>
      </c>
      <c r="D1255" s="5" t="s">
        <v>3445</v>
      </c>
      <c r="E1255" s="5" t="s">
        <v>3446</v>
      </c>
      <c r="F1255" s="5" t="s">
        <v>16</v>
      </c>
      <c r="G1255" s="5" t="s">
        <v>1501</v>
      </c>
      <c r="H1255" s="5" t="s">
        <v>18</v>
      </c>
      <c r="I1255" s="5"/>
      <c r="J1255" s="5" t="s">
        <v>19</v>
      </c>
      <c r="K1255" s="5" t="s">
        <v>20</v>
      </c>
      <c r="L1255" s="7" t="s">
        <v>3447</v>
      </c>
    </row>
    <row r="1256" customFormat="false" ht="15.65" hidden="false" customHeight="true" outlineLevel="0" collapsed="false">
      <c r="A1256" s="2" t="str">
        <f aca="false">HYPERLINK("https://www.fabsurplus.com/sdi_catalog/salesItemDetails.do?id=98721")</f>
        <v>https://www.fabsurplus.com/sdi_catalog/salesItemDetails.do?id=98721</v>
      </c>
      <c r="B1256" s="2" t="s">
        <v>3448</v>
      </c>
      <c r="C1256" s="2" t="s">
        <v>3436</v>
      </c>
      <c r="D1256" s="2" t="s">
        <v>3449</v>
      </c>
      <c r="E1256" s="2" t="s">
        <v>3450</v>
      </c>
      <c r="F1256" s="2" t="s">
        <v>16</v>
      </c>
      <c r="G1256" s="2" t="s">
        <v>31</v>
      </c>
      <c r="H1256" s="2" t="s">
        <v>32</v>
      </c>
      <c r="I1256" s="3" t="n">
        <v>39569</v>
      </c>
      <c r="J1256" s="2" t="s">
        <v>19</v>
      </c>
      <c r="K1256" s="2" t="s">
        <v>20</v>
      </c>
      <c r="L1256" s="4" t="s">
        <v>3451</v>
      </c>
    </row>
    <row r="1257" customFormat="false" ht="15.65" hidden="false" customHeight="true" outlineLevel="0" collapsed="false">
      <c r="A1257" s="5" t="str">
        <f aca="false">HYPERLINK("https://www.fabsurplus.com/sdi_catalog/salesItemDetails.do?id=98722")</f>
        <v>https://www.fabsurplus.com/sdi_catalog/salesItemDetails.do?id=98722</v>
      </c>
      <c r="B1257" s="5" t="s">
        <v>3452</v>
      </c>
      <c r="C1257" s="5" t="s">
        <v>3436</v>
      </c>
      <c r="D1257" s="5" t="s">
        <v>3453</v>
      </c>
      <c r="E1257" s="5" t="s">
        <v>3454</v>
      </c>
      <c r="F1257" s="5" t="s">
        <v>16</v>
      </c>
      <c r="G1257" s="5" t="s">
        <v>31</v>
      </c>
      <c r="H1257" s="5" t="s">
        <v>32</v>
      </c>
      <c r="I1257" s="6" t="n">
        <v>39569</v>
      </c>
      <c r="J1257" s="5" t="s">
        <v>19</v>
      </c>
      <c r="K1257" s="5" t="s">
        <v>20</v>
      </c>
      <c r="L1257" s="7" t="s">
        <v>3455</v>
      </c>
    </row>
    <row r="1258" customFormat="false" ht="15.65" hidden="false" customHeight="true" outlineLevel="0" collapsed="false">
      <c r="A1258" s="2" t="str">
        <f aca="false">HYPERLINK("https://www.fabsurplus.com/sdi_catalog/salesItemDetails.do?id=98725")</f>
        <v>https://www.fabsurplus.com/sdi_catalog/salesItemDetails.do?id=98725</v>
      </c>
      <c r="B1258" s="2" t="s">
        <v>3456</v>
      </c>
      <c r="C1258" s="2" t="s">
        <v>3436</v>
      </c>
      <c r="D1258" s="2" t="s">
        <v>3457</v>
      </c>
      <c r="E1258" s="2" t="s">
        <v>3458</v>
      </c>
      <c r="F1258" s="2" t="s">
        <v>16</v>
      </c>
      <c r="G1258" s="2" t="s">
        <v>31</v>
      </c>
      <c r="H1258" s="2" t="s">
        <v>32</v>
      </c>
      <c r="I1258" s="3" t="n">
        <v>39599.9166666667</v>
      </c>
      <c r="J1258" s="2" t="s">
        <v>19</v>
      </c>
      <c r="K1258" s="2" t="s">
        <v>20</v>
      </c>
      <c r="L1258" s="4" t="s">
        <v>3459</v>
      </c>
    </row>
    <row r="1259" customFormat="false" ht="15.65" hidden="false" customHeight="true" outlineLevel="0" collapsed="false">
      <c r="A1259" s="5" t="str">
        <f aca="false">HYPERLINK("https://www.fabsurplus.com/sdi_catalog/salesItemDetails.do?id=108805")</f>
        <v>https://www.fabsurplus.com/sdi_catalog/salesItemDetails.do?id=108805</v>
      </c>
      <c r="B1259" s="5" t="s">
        <v>3460</v>
      </c>
      <c r="C1259" s="5" t="s">
        <v>3461</v>
      </c>
      <c r="D1259" s="5" t="s">
        <v>3462</v>
      </c>
      <c r="E1259" s="5" t="s">
        <v>3463</v>
      </c>
      <c r="F1259" s="5" t="s">
        <v>16</v>
      </c>
      <c r="G1259" s="5"/>
      <c r="H1259" s="5"/>
      <c r="I1259" s="5"/>
      <c r="J1259" s="5" t="s">
        <v>42</v>
      </c>
      <c r="K1259" s="5"/>
      <c r="L1259" s="5" t="s">
        <v>131</v>
      </c>
    </row>
    <row r="1260" customFormat="false" ht="15.65" hidden="false" customHeight="true" outlineLevel="0" collapsed="false">
      <c r="A1260" s="2" t="str">
        <f aca="false">HYPERLINK("https://www.fabsurplus.com/sdi_catalog/salesItemDetails.do?id=83874")</f>
        <v>https://www.fabsurplus.com/sdi_catalog/salesItemDetails.do?id=83874</v>
      </c>
      <c r="B1260" s="2" t="s">
        <v>3464</v>
      </c>
      <c r="C1260" s="2" t="s">
        <v>3465</v>
      </c>
      <c r="D1260" s="2" t="s">
        <v>3466</v>
      </c>
      <c r="E1260" s="2" t="s">
        <v>3467</v>
      </c>
      <c r="F1260" s="2" t="s">
        <v>145</v>
      </c>
      <c r="G1260" s="2"/>
      <c r="H1260" s="2" t="s">
        <v>98</v>
      </c>
      <c r="I1260" s="2"/>
      <c r="J1260" s="2" t="s">
        <v>19</v>
      </c>
      <c r="K1260" s="2" t="s">
        <v>20</v>
      </c>
      <c r="L1260" s="4" t="s">
        <v>3468</v>
      </c>
    </row>
    <row r="1261" customFormat="false" ht="15.65" hidden="false" customHeight="true" outlineLevel="0" collapsed="false">
      <c r="A1261" s="5" t="str">
        <f aca="false">HYPERLINK("https://www.fabsurplus.com/sdi_catalog/salesItemDetails.do?id=83870")</f>
        <v>https://www.fabsurplus.com/sdi_catalog/salesItemDetails.do?id=83870</v>
      </c>
      <c r="B1261" s="5" t="s">
        <v>3469</v>
      </c>
      <c r="C1261" s="5" t="s">
        <v>3470</v>
      </c>
      <c r="D1261" s="5" t="s">
        <v>3471</v>
      </c>
      <c r="E1261" s="5" t="s">
        <v>3472</v>
      </c>
      <c r="F1261" s="5" t="s">
        <v>3473</v>
      </c>
      <c r="G1261" s="5" t="s">
        <v>165</v>
      </c>
      <c r="H1261" s="5" t="s">
        <v>18</v>
      </c>
      <c r="I1261" s="5"/>
      <c r="J1261" s="5" t="s">
        <v>19</v>
      </c>
      <c r="K1261" s="5" t="s">
        <v>20</v>
      </c>
      <c r="L1261" s="7" t="s">
        <v>3474</v>
      </c>
    </row>
    <row r="1262" customFormat="false" ht="15.65" hidden="false" customHeight="true" outlineLevel="0" collapsed="false">
      <c r="A1262" s="2" t="str">
        <f aca="false">HYPERLINK("https://www.fabsurplus.com/sdi_catalog/salesItemDetails.do?id=83871")</f>
        <v>https://www.fabsurplus.com/sdi_catalog/salesItemDetails.do?id=83871</v>
      </c>
      <c r="B1262" s="2" t="s">
        <v>3475</v>
      </c>
      <c r="C1262" s="2" t="s">
        <v>3470</v>
      </c>
      <c r="D1262" s="2" t="s">
        <v>3471</v>
      </c>
      <c r="E1262" s="2" t="s">
        <v>3472</v>
      </c>
      <c r="F1262" s="2" t="s">
        <v>16</v>
      </c>
      <c r="G1262" s="2" t="s">
        <v>165</v>
      </c>
      <c r="H1262" s="2" t="s">
        <v>18</v>
      </c>
      <c r="I1262" s="2"/>
      <c r="J1262" s="2" t="s">
        <v>19</v>
      </c>
      <c r="K1262" s="2" t="s">
        <v>20</v>
      </c>
      <c r="L1262" s="4" t="s">
        <v>3476</v>
      </c>
    </row>
    <row r="1263" customFormat="false" ht="15.65" hidden="false" customHeight="true" outlineLevel="0" collapsed="false">
      <c r="A1263" s="5" t="str">
        <f aca="false">HYPERLINK("https://www.fabsurplus.com/sdi_catalog/salesItemDetails.do?id=103731")</f>
        <v>https://www.fabsurplus.com/sdi_catalog/salesItemDetails.do?id=103731</v>
      </c>
      <c r="B1263" s="5" t="s">
        <v>3477</v>
      </c>
      <c r="C1263" s="5" t="s">
        <v>3478</v>
      </c>
      <c r="D1263" s="5" t="s">
        <v>3479</v>
      </c>
      <c r="E1263" s="5" t="s">
        <v>3480</v>
      </c>
      <c r="F1263" s="5" t="s">
        <v>16</v>
      </c>
      <c r="G1263" s="5" t="s">
        <v>31</v>
      </c>
      <c r="H1263" s="5" t="s">
        <v>18</v>
      </c>
      <c r="I1263" s="5"/>
      <c r="J1263" s="5" t="s">
        <v>19</v>
      </c>
      <c r="K1263" s="5" t="s">
        <v>20</v>
      </c>
      <c r="L1263" s="7" t="s">
        <v>3481</v>
      </c>
    </row>
    <row r="1264" customFormat="false" ht="15.65" hidden="false" customHeight="true" outlineLevel="0" collapsed="false">
      <c r="A1264" s="2" t="str">
        <f aca="false">HYPERLINK("https://www.fabsurplus.com/sdi_catalog/salesItemDetails.do?id=21122")</f>
        <v>https://www.fabsurplus.com/sdi_catalog/salesItemDetails.do?id=21122</v>
      </c>
      <c r="B1264" s="2" t="s">
        <v>3482</v>
      </c>
      <c r="C1264" s="2" t="s">
        <v>3483</v>
      </c>
      <c r="D1264" s="2" t="s">
        <v>3484</v>
      </c>
      <c r="E1264" s="2" t="s">
        <v>3485</v>
      </c>
      <c r="F1264" s="2" t="s">
        <v>16</v>
      </c>
      <c r="G1264" s="2" t="s">
        <v>1272</v>
      </c>
      <c r="H1264" s="2" t="s">
        <v>1395</v>
      </c>
      <c r="I1264" s="2"/>
      <c r="J1264" s="2" t="s">
        <v>19</v>
      </c>
      <c r="K1264" s="2" t="s">
        <v>20</v>
      </c>
      <c r="L1264" s="4" t="s">
        <v>3486</v>
      </c>
    </row>
    <row r="1265" customFormat="false" ht="15.65" hidden="false" customHeight="true" outlineLevel="0" collapsed="false">
      <c r="A1265" s="5" t="str">
        <f aca="false">HYPERLINK("https://www.fabsurplus.com/sdi_catalog/salesItemDetails.do?id=80083")</f>
        <v>https://www.fabsurplus.com/sdi_catalog/salesItemDetails.do?id=80083</v>
      </c>
      <c r="B1265" s="5" t="s">
        <v>3487</v>
      </c>
      <c r="C1265" s="5" t="s">
        <v>3488</v>
      </c>
      <c r="D1265" s="5" t="s">
        <v>3489</v>
      </c>
      <c r="E1265" s="5" t="s">
        <v>3490</v>
      </c>
      <c r="F1265" s="5" t="s">
        <v>16</v>
      </c>
      <c r="G1265" s="5" t="s">
        <v>3031</v>
      </c>
      <c r="H1265" s="5" t="s">
        <v>18</v>
      </c>
      <c r="I1265" s="6" t="n">
        <v>36678</v>
      </c>
      <c r="J1265" s="5" t="s">
        <v>19</v>
      </c>
      <c r="K1265" s="5" t="s">
        <v>20</v>
      </c>
      <c r="L1265" s="7" t="s">
        <v>3491</v>
      </c>
    </row>
    <row r="1266" customFormat="false" ht="15.65" hidden="false" customHeight="true" outlineLevel="0" collapsed="false">
      <c r="A1266" s="2" t="str">
        <f aca="false">HYPERLINK("https://www.fabsurplus.com/sdi_catalog/salesItemDetails.do?id=109372")</f>
        <v>https://www.fabsurplus.com/sdi_catalog/salesItemDetails.do?id=109372</v>
      </c>
      <c r="B1266" s="2" t="s">
        <v>3492</v>
      </c>
      <c r="C1266" s="2" t="s">
        <v>3493</v>
      </c>
      <c r="D1266" s="2" t="s">
        <v>3494</v>
      </c>
      <c r="E1266" s="2" t="s">
        <v>103</v>
      </c>
      <c r="F1266" s="2" t="s">
        <v>16</v>
      </c>
      <c r="G1266" s="2" t="s">
        <v>104</v>
      </c>
      <c r="H1266" s="2"/>
      <c r="I1266" s="2"/>
      <c r="J1266" s="2" t="s">
        <v>19</v>
      </c>
      <c r="K1266" s="2"/>
      <c r="L1266" s="2" t="s">
        <v>3495</v>
      </c>
    </row>
    <row r="1267" customFormat="false" ht="15.65" hidden="false" customHeight="true" outlineLevel="0" collapsed="false">
      <c r="A1267" s="5" t="str">
        <f aca="false">HYPERLINK("https://www.fabsurplus.com/sdi_catalog/salesItemDetails.do?id=109373")</f>
        <v>https://www.fabsurplus.com/sdi_catalog/salesItemDetails.do?id=109373</v>
      </c>
      <c r="B1267" s="5" t="s">
        <v>3496</v>
      </c>
      <c r="C1267" s="5" t="s">
        <v>3493</v>
      </c>
      <c r="D1267" s="5" t="s">
        <v>3497</v>
      </c>
      <c r="E1267" s="5" t="s">
        <v>103</v>
      </c>
      <c r="F1267" s="5" t="s">
        <v>16</v>
      </c>
      <c r="G1267" s="5" t="s">
        <v>104</v>
      </c>
      <c r="H1267" s="5"/>
      <c r="I1267" s="5"/>
      <c r="J1267" s="5" t="s">
        <v>19</v>
      </c>
      <c r="K1267" s="5"/>
      <c r="L1267" s="5" t="s">
        <v>3498</v>
      </c>
    </row>
    <row r="1268" customFormat="false" ht="15.65" hidden="false" customHeight="true" outlineLevel="0" collapsed="false">
      <c r="A1268" s="2" t="str">
        <f aca="false">HYPERLINK("https://www.fabsurplus.com/sdi_catalog/salesItemDetails.do?id=109374")</f>
        <v>https://www.fabsurplus.com/sdi_catalog/salesItemDetails.do?id=109374</v>
      </c>
      <c r="B1268" s="2" t="s">
        <v>3499</v>
      </c>
      <c r="C1268" s="2" t="s">
        <v>3493</v>
      </c>
      <c r="D1268" s="2" t="s">
        <v>3500</v>
      </c>
      <c r="E1268" s="2" t="s">
        <v>103</v>
      </c>
      <c r="F1268" s="2" t="s">
        <v>3501</v>
      </c>
      <c r="G1268" s="2" t="s">
        <v>104</v>
      </c>
      <c r="H1268" s="2"/>
      <c r="I1268" s="2"/>
      <c r="J1268" s="2" t="s">
        <v>19</v>
      </c>
      <c r="K1268" s="2"/>
      <c r="L1268" s="2" t="s">
        <v>3502</v>
      </c>
    </row>
    <row r="1269" customFormat="false" ht="15.65" hidden="false" customHeight="true" outlineLevel="0" collapsed="false">
      <c r="A1269" s="5" t="str">
        <f aca="false">HYPERLINK("https://www.fabsurplus.com/sdi_catalog/salesItemDetails.do?id=109375")</f>
        <v>https://www.fabsurplus.com/sdi_catalog/salesItemDetails.do?id=109375</v>
      </c>
      <c r="B1269" s="5" t="s">
        <v>3503</v>
      </c>
      <c r="C1269" s="5" t="s">
        <v>3493</v>
      </c>
      <c r="D1269" s="5" t="s">
        <v>3500</v>
      </c>
      <c r="E1269" s="5" t="s">
        <v>103</v>
      </c>
      <c r="F1269" s="5" t="s">
        <v>16</v>
      </c>
      <c r="G1269" s="5" t="s">
        <v>104</v>
      </c>
      <c r="H1269" s="5"/>
      <c r="I1269" s="5"/>
      <c r="J1269" s="5" t="s">
        <v>19</v>
      </c>
      <c r="K1269" s="5"/>
      <c r="L1269" s="5" t="s">
        <v>3504</v>
      </c>
    </row>
    <row r="1270" customFormat="false" ht="15.65" hidden="false" customHeight="true" outlineLevel="0" collapsed="false">
      <c r="A1270" s="2" t="str">
        <f aca="false">HYPERLINK("https://www.fabsurplus.com/sdi_catalog/salesItemDetails.do?id=109376")</f>
        <v>https://www.fabsurplus.com/sdi_catalog/salesItemDetails.do?id=109376</v>
      </c>
      <c r="B1270" s="2" t="s">
        <v>3505</v>
      </c>
      <c r="C1270" s="2" t="s">
        <v>3493</v>
      </c>
      <c r="D1270" s="2" t="s">
        <v>3506</v>
      </c>
      <c r="E1270" s="2" t="s">
        <v>103</v>
      </c>
      <c r="F1270" s="2" t="s">
        <v>86</v>
      </c>
      <c r="G1270" s="2" t="s">
        <v>104</v>
      </c>
      <c r="H1270" s="2"/>
      <c r="I1270" s="2"/>
      <c r="J1270" s="2" t="s">
        <v>19</v>
      </c>
      <c r="K1270" s="2"/>
      <c r="L1270" s="2" t="s">
        <v>3507</v>
      </c>
    </row>
    <row r="1271" customFormat="false" ht="15.65" hidden="false" customHeight="true" outlineLevel="0" collapsed="false">
      <c r="A1271" s="5" t="str">
        <f aca="false">HYPERLINK("https://www.fabsurplus.com/sdi_catalog/salesItemDetails.do?id=109377")</f>
        <v>https://www.fabsurplus.com/sdi_catalog/salesItemDetails.do?id=109377</v>
      </c>
      <c r="B1271" s="5" t="s">
        <v>3508</v>
      </c>
      <c r="C1271" s="5" t="s">
        <v>3493</v>
      </c>
      <c r="D1271" s="5" t="s">
        <v>3509</v>
      </c>
      <c r="E1271" s="5" t="s">
        <v>103</v>
      </c>
      <c r="F1271" s="5" t="s">
        <v>151</v>
      </c>
      <c r="G1271" s="5" t="s">
        <v>104</v>
      </c>
      <c r="H1271" s="5"/>
      <c r="I1271" s="5"/>
      <c r="J1271" s="5" t="s">
        <v>19</v>
      </c>
      <c r="K1271" s="5"/>
      <c r="L1271" s="5" t="s">
        <v>3510</v>
      </c>
    </row>
    <row r="1272" customFormat="false" ht="15.65" hidden="false" customHeight="true" outlineLevel="0" collapsed="false">
      <c r="A1272" s="2" t="str">
        <f aca="false">HYPERLINK("https://www.fabsurplus.com/sdi_catalog/salesItemDetails.do?id=109378")</f>
        <v>https://www.fabsurplus.com/sdi_catalog/salesItemDetails.do?id=109378</v>
      </c>
      <c r="B1272" s="2" t="s">
        <v>3511</v>
      </c>
      <c r="C1272" s="2" t="s">
        <v>3493</v>
      </c>
      <c r="D1272" s="2" t="s">
        <v>3509</v>
      </c>
      <c r="E1272" s="2" t="s">
        <v>103</v>
      </c>
      <c r="F1272" s="2" t="s">
        <v>16</v>
      </c>
      <c r="G1272" s="2" t="s">
        <v>104</v>
      </c>
      <c r="H1272" s="2"/>
      <c r="I1272" s="2"/>
      <c r="J1272" s="2" t="s">
        <v>19</v>
      </c>
      <c r="K1272" s="2"/>
      <c r="L1272" s="2" t="s">
        <v>3512</v>
      </c>
    </row>
    <row r="1273" customFormat="false" ht="15.65" hidden="false" customHeight="true" outlineLevel="0" collapsed="false">
      <c r="A1273" s="5" t="str">
        <f aca="false">HYPERLINK("https://www.fabsurplus.com/sdi_catalog/salesItemDetails.do?id=109379")</f>
        <v>https://www.fabsurplus.com/sdi_catalog/salesItemDetails.do?id=109379</v>
      </c>
      <c r="B1273" s="5" t="s">
        <v>3513</v>
      </c>
      <c r="C1273" s="5" t="s">
        <v>3493</v>
      </c>
      <c r="D1273" s="5" t="s">
        <v>3509</v>
      </c>
      <c r="E1273" s="5" t="s">
        <v>103</v>
      </c>
      <c r="F1273" s="5" t="s">
        <v>16</v>
      </c>
      <c r="G1273" s="5" t="s">
        <v>104</v>
      </c>
      <c r="H1273" s="5"/>
      <c r="I1273" s="5"/>
      <c r="J1273" s="5" t="s">
        <v>19</v>
      </c>
      <c r="K1273" s="5"/>
      <c r="L1273" s="5" t="s">
        <v>3514</v>
      </c>
    </row>
    <row r="1274" customFormat="false" ht="15.65" hidden="false" customHeight="true" outlineLevel="0" collapsed="false">
      <c r="A1274" s="2" t="str">
        <f aca="false">HYPERLINK("https://www.fabsurplus.com/sdi_catalog/salesItemDetails.do?id=109380")</f>
        <v>https://www.fabsurplus.com/sdi_catalog/salesItemDetails.do?id=109380</v>
      </c>
      <c r="B1274" s="2" t="s">
        <v>3515</v>
      </c>
      <c r="C1274" s="2" t="s">
        <v>3493</v>
      </c>
      <c r="D1274" s="2" t="s">
        <v>3509</v>
      </c>
      <c r="E1274" s="2" t="s">
        <v>103</v>
      </c>
      <c r="F1274" s="2" t="s">
        <v>86</v>
      </c>
      <c r="G1274" s="2" t="s">
        <v>104</v>
      </c>
      <c r="H1274" s="2"/>
      <c r="I1274" s="2"/>
      <c r="J1274" s="2" t="s">
        <v>19</v>
      </c>
      <c r="K1274" s="2"/>
      <c r="L1274" s="2" t="s">
        <v>3516</v>
      </c>
    </row>
    <row r="1275" customFormat="false" ht="15.65" hidden="false" customHeight="true" outlineLevel="0" collapsed="false">
      <c r="A1275" s="5" t="str">
        <f aca="false">HYPERLINK("https://www.fabsurplus.com/sdi_catalog/salesItemDetails.do?id=109381")</f>
        <v>https://www.fabsurplus.com/sdi_catalog/salesItemDetails.do?id=109381</v>
      </c>
      <c r="B1275" s="5" t="s">
        <v>3517</v>
      </c>
      <c r="C1275" s="5" t="s">
        <v>3493</v>
      </c>
      <c r="D1275" s="5" t="s">
        <v>3509</v>
      </c>
      <c r="E1275" s="5" t="s">
        <v>103</v>
      </c>
      <c r="F1275" s="5" t="s">
        <v>16</v>
      </c>
      <c r="G1275" s="5" t="s">
        <v>104</v>
      </c>
      <c r="H1275" s="5"/>
      <c r="I1275" s="5"/>
      <c r="J1275" s="5" t="s">
        <v>19</v>
      </c>
      <c r="K1275" s="5"/>
      <c r="L1275" s="5" t="s">
        <v>3518</v>
      </c>
    </row>
    <row r="1276" customFormat="false" ht="15.65" hidden="false" customHeight="true" outlineLevel="0" collapsed="false">
      <c r="A1276" s="2" t="str">
        <f aca="false">HYPERLINK("https://www.fabsurplus.com/sdi_catalog/salesItemDetails.do?id=109382")</f>
        <v>https://www.fabsurplus.com/sdi_catalog/salesItemDetails.do?id=109382</v>
      </c>
      <c r="B1276" s="2" t="s">
        <v>3519</v>
      </c>
      <c r="C1276" s="2" t="s">
        <v>3493</v>
      </c>
      <c r="D1276" s="2" t="s">
        <v>3509</v>
      </c>
      <c r="E1276" s="2" t="s">
        <v>103</v>
      </c>
      <c r="F1276" s="2" t="s">
        <v>16</v>
      </c>
      <c r="G1276" s="2" t="s">
        <v>104</v>
      </c>
      <c r="H1276" s="2"/>
      <c r="I1276" s="2"/>
      <c r="J1276" s="2" t="s">
        <v>19</v>
      </c>
      <c r="K1276" s="2"/>
      <c r="L1276" s="2" t="s">
        <v>3520</v>
      </c>
    </row>
    <row r="1277" customFormat="false" ht="15.65" hidden="false" customHeight="true" outlineLevel="0" collapsed="false">
      <c r="A1277" s="5" t="str">
        <f aca="false">HYPERLINK("https://www.fabsurplus.com/sdi_catalog/salesItemDetails.do?id=109383")</f>
        <v>https://www.fabsurplus.com/sdi_catalog/salesItemDetails.do?id=109383</v>
      </c>
      <c r="B1277" s="5" t="s">
        <v>3521</v>
      </c>
      <c r="C1277" s="5" t="s">
        <v>3493</v>
      </c>
      <c r="D1277" s="5" t="s">
        <v>3509</v>
      </c>
      <c r="E1277" s="5" t="s">
        <v>103</v>
      </c>
      <c r="F1277" s="5" t="s">
        <v>16</v>
      </c>
      <c r="G1277" s="5" t="s">
        <v>104</v>
      </c>
      <c r="H1277" s="5"/>
      <c r="I1277" s="5"/>
      <c r="J1277" s="5" t="s">
        <v>19</v>
      </c>
      <c r="K1277" s="5"/>
      <c r="L1277" s="5" t="s">
        <v>3522</v>
      </c>
    </row>
    <row r="1278" customFormat="false" ht="15.65" hidden="false" customHeight="true" outlineLevel="0" collapsed="false">
      <c r="A1278" s="2" t="str">
        <f aca="false">HYPERLINK("https://www.fabsurplus.com/sdi_catalog/salesItemDetails.do?id=109384")</f>
        <v>https://www.fabsurplus.com/sdi_catalog/salesItemDetails.do?id=109384</v>
      </c>
      <c r="B1278" s="2" t="s">
        <v>3523</v>
      </c>
      <c r="C1278" s="2" t="s">
        <v>3493</v>
      </c>
      <c r="D1278" s="2" t="s">
        <v>3524</v>
      </c>
      <c r="E1278" s="2" t="s">
        <v>103</v>
      </c>
      <c r="F1278" s="2" t="s">
        <v>78</v>
      </c>
      <c r="G1278" s="2" t="s">
        <v>104</v>
      </c>
      <c r="H1278" s="2"/>
      <c r="I1278" s="2"/>
      <c r="J1278" s="2" t="s">
        <v>19</v>
      </c>
      <c r="K1278" s="2"/>
      <c r="L1278" s="2" t="s">
        <v>3504</v>
      </c>
    </row>
    <row r="1279" customFormat="false" ht="15.65" hidden="false" customHeight="true" outlineLevel="0" collapsed="false">
      <c r="A1279" s="5" t="str">
        <f aca="false">HYPERLINK("https://www.fabsurplus.com/sdi_catalog/salesItemDetails.do?id=109385")</f>
        <v>https://www.fabsurplus.com/sdi_catalog/salesItemDetails.do?id=109385</v>
      </c>
      <c r="B1279" s="5" t="s">
        <v>3525</v>
      </c>
      <c r="C1279" s="5" t="s">
        <v>3493</v>
      </c>
      <c r="D1279" s="5" t="s">
        <v>3526</v>
      </c>
      <c r="E1279" s="5" t="s">
        <v>103</v>
      </c>
      <c r="F1279" s="5" t="s">
        <v>16</v>
      </c>
      <c r="G1279" s="5" t="s">
        <v>104</v>
      </c>
      <c r="H1279" s="5"/>
      <c r="I1279" s="5"/>
      <c r="J1279" s="5" t="s">
        <v>19</v>
      </c>
      <c r="K1279" s="5"/>
      <c r="L1279" s="5" t="s">
        <v>3527</v>
      </c>
    </row>
    <row r="1280" customFormat="false" ht="15.65" hidden="false" customHeight="true" outlineLevel="0" collapsed="false">
      <c r="A1280" s="2" t="str">
        <f aca="false">HYPERLINK("https://www.fabsurplus.com/sdi_catalog/salesItemDetails.do?id=107379")</f>
        <v>https://www.fabsurplus.com/sdi_catalog/salesItemDetails.do?id=107379</v>
      </c>
      <c r="B1280" s="2" t="s">
        <v>3528</v>
      </c>
      <c r="C1280" s="2" t="s">
        <v>3529</v>
      </c>
      <c r="D1280" s="2" t="s">
        <v>3530</v>
      </c>
      <c r="E1280" s="2" t="s">
        <v>279</v>
      </c>
      <c r="F1280" s="2" t="s">
        <v>16</v>
      </c>
      <c r="G1280" s="2" t="s">
        <v>104</v>
      </c>
      <c r="H1280" s="2" t="s">
        <v>275</v>
      </c>
      <c r="I1280" s="2"/>
      <c r="J1280" s="2" t="s">
        <v>19</v>
      </c>
      <c r="K1280" s="2" t="s">
        <v>20</v>
      </c>
      <c r="L1280" s="2"/>
    </row>
    <row r="1281" customFormat="false" ht="15.65" hidden="false" customHeight="true" outlineLevel="0" collapsed="false">
      <c r="A1281" s="5" t="str">
        <f aca="false">HYPERLINK("https://www.fabsurplus.com/sdi_catalog/salesItemDetails.do?id=109972")</f>
        <v>https://www.fabsurplus.com/sdi_catalog/salesItemDetails.do?id=109972</v>
      </c>
      <c r="B1281" s="5" t="s">
        <v>3531</v>
      </c>
      <c r="C1281" s="5" t="s">
        <v>3529</v>
      </c>
      <c r="D1281" s="5" t="s">
        <v>3532</v>
      </c>
      <c r="E1281" s="5" t="s">
        <v>170</v>
      </c>
      <c r="F1281" s="5" t="s">
        <v>16</v>
      </c>
      <c r="G1281" s="5" t="s">
        <v>165</v>
      </c>
      <c r="H1281" s="5"/>
      <c r="I1281" s="5"/>
      <c r="J1281" s="5" t="s">
        <v>42</v>
      </c>
      <c r="K1281" s="5"/>
      <c r="L1281" s="5" t="s">
        <v>3533</v>
      </c>
    </row>
    <row r="1282" customFormat="false" ht="15.65" hidden="false" customHeight="true" outlineLevel="0" collapsed="false">
      <c r="A1282" s="2" t="str">
        <f aca="false">HYPERLINK("https://www.fabsurplus.com/sdi_catalog/salesItemDetails.do?id=109973")</f>
        <v>https://www.fabsurplus.com/sdi_catalog/salesItemDetails.do?id=109973</v>
      </c>
      <c r="B1282" s="2" t="s">
        <v>3534</v>
      </c>
      <c r="C1282" s="2" t="s">
        <v>3529</v>
      </c>
      <c r="D1282" s="2" t="s">
        <v>3532</v>
      </c>
      <c r="E1282" s="2" t="s">
        <v>170</v>
      </c>
      <c r="F1282" s="2" t="s">
        <v>16</v>
      </c>
      <c r="G1282" s="2" t="s">
        <v>165</v>
      </c>
      <c r="H1282" s="2"/>
      <c r="I1282" s="2"/>
      <c r="J1282" s="2" t="s">
        <v>42</v>
      </c>
      <c r="K1282" s="2"/>
      <c r="L1282" s="2" t="s">
        <v>3533</v>
      </c>
    </row>
    <row r="1283" customFormat="false" ht="15.65" hidden="false" customHeight="true" outlineLevel="0" collapsed="false">
      <c r="A1283" s="5" t="str">
        <f aca="false">HYPERLINK("https://www.fabsurplus.com/sdi_catalog/salesItemDetails.do?id=109974")</f>
        <v>https://www.fabsurplus.com/sdi_catalog/salesItemDetails.do?id=109974</v>
      </c>
      <c r="B1283" s="5" t="s">
        <v>3535</v>
      </c>
      <c r="C1283" s="5" t="s">
        <v>3529</v>
      </c>
      <c r="D1283" s="5" t="s">
        <v>3532</v>
      </c>
      <c r="E1283" s="5" t="s">
        <v>170</v>
      </c>
      <c r="F1283" s="5" t="s">
        <v>16</v>
      </c>
      <c r="G1283" s="5" t="s">
        <v>165</v>
      </c>
      <c r="H1283" s="5"/>
      <c r="I1283" s="5"/>
      <c r="J1283" s="5" t="s">
        <v>42</v>
      </c>
      <c r="K1283" s="5"/>
      <c r="L1283" s="5" t="s">
        <v>3533</v>
      </c>
    </row>
    <row r="1284" customFormat="false" ht="15.65" hidden="false" customHeight="true" outlineLevel="0" collapsed="false">
      <c r="A1284" s="2" t="str">
        <f aca="false">HYPERLINK("https://www.fabsurplus.com/sdi_catalog/salesItemDetails.do?id=109975")</f>
        <v>https://www.fabsurplus.com/sdi_catalog/salesItemDetails.do?id=109975</v>
      </c>
      <c r="B1284" s="2" t="s">
        <v>3536</v>
      </c>
      <c r="C1284" s="2" t="s">
        <v>3529</v>
      </c>
      <c r="D1284" s="2" t="s">
        <v>3532</v>
      </c>
      <c r="E1284" s="2" t="s">
        <v>170</v>
      </c>
      <c r="F1284" s="2" t="s">
        <v>16</v>
      </c>
      <c r="G1284" s="2" t="s">
        <v>165</v>
      </c>
      <c r="H1284" s="2"/>
      <c r="I1284" s="2"/>
      <c r="J1284" s="2" t="s">
        <v>42</v>
      </c>
      <c r="K1284" s="2"/>
      <c r="L1284" s="2" t="s">
        <v>3537</v>
      </c>
    </row>
    <row r="1285" customFormat="false" ht="15.65" hidden="false" customHeight="true" outlineLevel="0" collapsed="false">
      <c r="A1285" s="5" t="str">
        <f aca="false">HYPERLINK("https://www.fabsurplus.com/sdi_catalog/salesItemDetails.do?id=109976")</f>
        <v>https://www.fabsurplus.com/sdi_catalog/salesItemDetails.do?id=109976</v>
      </c>
      <c r="B1285" s="5" t="s">
        <v>3538</v>
      </c>
      <c r="C1285" s="5" t="s">
        <v>3529</v>
      </c>
      <c r="D1285" s="5" t="s">
        <v>3539</v>
      </c>
      <c r="E1285" s="5" t="s">
        <v>170</v>
      </c>
      <c r="F1285" s="5" t="s">
        <v>16</v>
      </c>
      <c r="G1285" s="5" t="s">
        <v>165</v>
      </c>
      <c r="H1285" s="5"/>
      <c r="I1285" s="5"/>
      <c r="J1285" s="5" t="s">
        <v>42</v>
      </c>
      <c r="K1285" s="5"/>
      <c r="L1285" s="5" t="s">
        <v>3540</v>
      </c>
    </row>
    <row r="1286" customFormat="false" ht="15.65" hidden="false" customHeight="true" outlineLevel="0" collapsed="false">
      <c r="A1286" s="2" t="str">
        <f aca="false">HYPERLINK("https://www.fabsurplus.com/sdi_catalog/salesItemDetails.do?id=109977")</f>
        <v>https://www.fabsurplus.com/sdi_catalog/salesItemDetails.do?id=109977</v>
      </c>
      <c r="B1286" s="2" t="s">
        <v>3541</v>
      </c>
      <c r="C1286" s="2" t="s">
        <v>3529</v>
      </c>
      <c r="D1286" s="2" t="s">
        <v>3539</v>
      </c>
      <c r="E1286" s="2" t="s">
        <v>170</v>
      </c>
      <c r="F1286" s="2" t="s">
        <v>16</v>
      </c>
      <c r="G1286" s="2" t="s">
        <v>165</v>
      </c>
      <c r="H1286" s="2"/>
      <c r="I1286" s="2"/>
      <c r="J1286" s="2" t="s">
        <v>42</v>
      </c>
      <c r="K1286" s="2"/>
      <c r="L1286" s="2" t="s">
        <v>3542</v>
      </c>
    </row>
    <row r="1287" customFormat="false" ht="15.65" hidden="false" customHeight="true" outlineLevel="0" collapsed="false">
      <c r="A1287" s="5" t="str">
        <f aca="false">HYPERLINK("https://www.fabsurplus.com/sdi_catalog/salesItemDetails.do?id=109978")</f>
        <v>https://www.fabsurplus.com/sdi_catalog/salesItemDetails.do?id=109978</v>
      </c>
      <c r="B1287" s="5" t="s">
        <v>3543</v>
      </c>
      <c r="C1287" s="5" t="s">
        <v>3529</v>
      </c>
      <c r="D1287" s="5" t="s">
        <v>3544</v>
      </c>
      <c r="E1287" s="5" t="s">
        <v>170</v>
      </c>
      <c r="F1287" s="5" t="s">
        <v>16</v>
      </c>
      <c r="G1287" s="5" t="s">
        <v>165</v>
      </c>
      <c r="H1287" s="5"/>
      <c r="I1287" s="5"/>
      <c r="J1287" s="5" t="s">
        <v>42</v>
      </c>
      <c r="K1287" s="5"/>
      <c r="L1287" s="5" t="s">
        <v>3545</v>
      </c>
    </row>
    <row r="1288" customFormat="false" ht="15.65" hidden="false" customHeight="true" outlineLevel="0" collapsed="false">
      <c r="A1288" s="2" t="str">
        <f aca="false">HYPERLINK("https://www.fabsurplus.com/sdi_catalog/salesItemDetails.do?id=109979")</f>
        <v>https://www.fabsurplus.com/sdi_catalog/salesItemDetails.do?id=109979</v>
      </c>
      <c r="B1288" s="2" t="s">
        <v>3546</v>
      </c>
      <c r="C1288" s="2" t="s">
        <v>3529</v>
      </c>
      <c r="D1288" s="2" t="s">
        <v>3544</v>
      </c>
      <c r="E1288" s="2" t="s">
        <v>170</v>
      </c>
      <c r="F1288" s="2" t="s">
        <v>16</v>
      </c>
      <c r="G1288" s="2" t="s">
        <v>165</v>
      </c>
      <c r="H1288" s="2"/>
      <c r="I1288" s="2"/>
      <c r="J1288" s="2" t="s">
        <v>42</v>
      </c>
      <c r="K1288" s="2"/>
      <c r="L1288" s="4" t="s">
        <v>3547</v>
      </c>
    </row>
    <row r="1289" customFormat="false" ht="15.65" hidden="false" customHeight="true" outlineLevel="0" collapsed="false">
      <c r="A1289" s="5" t="str">
        <f aca="false">HYPERLINK("https://www.fabsurplus.com/sdi_catalog/salesItemDetails.do?id=109980")</f>
        <v>https://www.fabsurplus.com/sdi_catalog/salesItemDetails.do?id=109980</v>
      </c>
      <c r="B1289" s="5" t="s">
        <v>3548</v>
      </c>
      <c r="C1289" s="5" t="s">
        <v>3529</v>
      </c>
      <c r="D1289" s="5" t="s">
        <v>3544</v>
      </c>
      <c r="E1289" s="5" t="s">
        <v>170</v>
      </c>
      <c r="F1289" s="5" t="s">
        <v>16</v>
      </c>
      <c r="G1289" s="5" t="s">
        <v>165</v>
      </c>
      <c r="H1289" s="5"/>
      <c r="I1289" s="5"/>
      <c r="J1289" s="5" t="s">
        <v>42</v>
      </c>
      <c r="K1289" s="5"/>
      <c r="L1289" s="7" t="s">
        <v>3547</v>
      </c>
    </row>
    <row r="1290" customFormat="false" ht="15.65" hidden="false" customHeight="true" outlineLevel="0" collapsed="false">
      <c r="A1290" s="2" t="str">
        <f aca="false">HYPERLINK("https://www.fabsurplus.com/sdi_catalog/salesItemDetails.do?id=109981")</f>
        <v>https://www.fabsurplus.com/sdi_catalog/salesItemDetails.do?id=109981</v>
      </c>
      <c r="B1290" s="2" t="s">
        <v>3549</v>
      </c>
      <c r="C1290" s="2" t="s">
        <v>3529</v>
      </c>
      <c r="D1290" s="2" t="s">
        <v>3544</v>
      </c>
      <c r="E1290" s="2" t="s">
        <v>170</v>
      </c>
      <c r="F1290" s="2" t="s">
        <v>16</v>
      </c>
      <c r="G1290" s="2" t="s">
        <v>165</v>
      </c>
      <c r="H1290" s="2"/>
      <c r="I1290" s="2"/>
      <c r="J1290" s="2" t="s">
        <v>42</v>
      </c>
      <c r="K1290" s="2"/>
      <c r="L1290" s="4" t="s">
        <v>3547</v>
      </c>
    </row>
    <row r="1291" customFormat="false" ht="15.65" hidden="false" customHeight="true" outlineLevel="0" collapsed="false">
      <c r="A1291" s="5" t="str">
        <f aca="false">HYPERLINK("https://www.fabsurplus.com/sdi_catalog/salesItemDetails.do?id=109982")</f>
        <v>https://www.fabsurplus.com/sdi_catalog/salesItemDetails.do?id=109982</v>
      </c>
      <c r="B1291" s="5" t="s">
        <v>3550</v>
      </c>
      <c r="C1291" s="5" t="s">
        <v>3529</v>
      </c>
      <c r="D1291" s="5" t="s">
        <v>3544</v>
      </c>
      <c r="E1291" s="5" t="s">
        <v>170</v>
      </c>
      <c r="F1291" s="5" t="s">
        <v>16</v>
      </c>
      <c r="G1291" s="5" t="s">
        <v>165</v>
      </c>
      <c r="H1291" s="5"/>
      <c r="I1291" s="5"/>
      <c r="J1291" s="5" t="s">
        <v>42</v>
      </c>
      <c r="K1291" s="5"/>
      <c r="L1291" s="7" t="s">
        <v>3547</v>
      </c>
    </row>
    <row r="1292" customFormat="false" ht="15.65" hidden="false" customHeight="true" outlineLevel="0" collapsed="false">
      <c r="A1292" s="2" t="str">
        <f aca="false">HYPERLINK("https://www.fabsurplus.com/sdi_catalog/salesItemDetails.do?id=109983")</f>
        <v>https://www.fabsurplus.com/sdi_catalog/salesItemDetails.do?id=109983</v>
      </c>
      <c r="B1292" s="2" t="s">
        <v>3551</v>
      </c>
      <c r="C1292" s="2" t="s">
        <v>3529</v>
      </c>
      <c r="D1292" s="2" t="s">
        <v>3544</v>
      </c>
      <c r="E1292" s="2" t="s">
        <v>170</v>
      </c>
      <c r="F1292" s="2" t="s">
        <v>16</v>
      </c>
      <c r="G1292" s="2" t="s">
        <v>165</v>
      </c>
      <c r="H1292" s="2"/>
      <c r="I1292" s="2"/>
      <c r="J1292" s="2" t="s">
        <v>42</v>
      </c>
      <c r="K1292" s="2"/>
      <c r="L1292" s="4" t="s">
        <v>3547</v>
      </c>
    </row>
    <row r="1293" customFormat="false" ht="15.65" hidden="false" customHeight="true" outlineLevel="0" collapsed="false">
      <c r="A1293" s="5" t="str">
        <f aca="false">HYPERLINK("https://www.fabsurplus.com/sdi_catalog/salesItemDetails.do?id=109984")</f>
        <v>https://www.fabsurplus.com/sdi_catalog/salesItemDetails.do?id=109984</v>
      </c>
      <c r="B1293" s="5" t="s">
        <v>3552</v>
      </c>
      <c r="C1293" s="5" t="s">
        <v>3529</v>
      </c>
      <c r="D1293" s="5" t="s">
        <v>3544</v>
      </c>
      <c r="E1293" s="5" t="s">
        <v>170</v>
      </c>
      <c r="F1293" s="5" t="s">
        <v>16</v>
      </c>
      <c r="G1293" s="5" t="s">
        <v>165</v>
      </c>
      <c r="H1293" s="5"/>
      <c r="I1293" s="5"/>
      <c r="J1293" s="5" t="s">
        <v>42</v>
      </c>
      <c r="K1293" s="5"/>
      <c r="L1293" s="7" t="s">
        <v>3547</v>
      </c>
    </row>
    <row r="1294" customFormat="false" ht="15.65" hidden="false" customHeight="true" outlineLevel="0" collapsed="false">
      <c r="A1294" s="2" t="str">
        <f aca="false">HYPERLINK("https://www.fabsurplus.com/sdi_catalog/salesItemDetails.do?id=109985")</f>
        <v>https://www.fabsurplus.com/sdi_catalog/salesItemDetails.do?id=109985</v>
      </c>
      <c r="B1294" s="2" t="s">
        <v>3553</v>
      </c>
      <c r="C1294" s="2" t="s">
        <v>3529</v>
      </c>
      <c r="D1294" s="2" t="s">
        <v>3544</v>
      </c>
      <c r="E1294" s="2" t="s">
        <v>170</v>
      </c>
      <c r="F1294" s="2" t="s">
        <v>16</v>
      </c>
      <c r="G1294" s="2" t="s">
        <v>165</v>
      </c>
      <c r="H1294" s="2"/>
      <c r="I1294" s="2"/>
      <c r="J1294" s="2" t="s">
        <v>42</v>
      </c>
      <c r="K1294" s="2"/>
      <c r="L1294" s="4" t="s">
        <v>3547</v>
      </c>
    </row>
    <row r="1295" customFormat="false" ht="15.65" hidden="false" customHeight="true" outlineLevel="0" collapsed="false">
      <c r="A1295" s="5" t="str">
        <f aca="false">HYPERLINK("https://www.fabsurplus.com/sdi_catalog/salesItemDetails.do?id=109986")</f>
        <v>https://www.fabsurplus.com/sdi_catalog/salesItemDetails.do?id=109986</v>
      </c>
      <c r="B1295" s="5" t="s">
        <v>3554</v>
      </c>
      <c r="C1295" s="5" t="s">
        <v>3529</v>
      </c>
      <c r="D1295" s="5" t="s">
        <v>3544</v>
      </c>
      <c r="E1295" s="5" t="s">
        <v>170</v>
      </c>
      <c r="F1295" s="5" t="s">
        <v>16</v>
      </c>
      <c r="G1295" s="5" t="s">
        <v>165</v>
      </c>
      <c r="H1295" s="5"/>
      <c r="I1295" s="5"/>
      <c r="J1295" s="5" t="s">
        <v>42</v>
      </c>
      <c r="K1295" s="5"/>
      <c r="L1295" s="7" t="s">
        <v>3547</v>
      </c>
    </row>
    <row r="1296" customFormat="false" ht="15.65" hidden="false" customHeight="true" outlineLevel="0" collapsed="false">
      <c r="A1296" s="2" t="str">
        <f aca="false">HYPERLINK("https://www.fabsurplus.com/sdi_catalog/salesItemDetails.do?id=109987")</f>
        <v>https://www.fabsurplus.com/sdi_catalog/salesItemDetails.do?id=109987</v>
      </c>
      <c r="B1296" s="2" t="s">
        <v>3555</v>
      </c>
      <c r="C1296" s="2" t="s">
        <v>3529</v>
      </c>
      <c r="D1296" s="2" t="s">
        <v>3544</v>
      </c>
      <c r="E1296" s="2" t="s">
        <v>170</v>
      </c>
      <c r="F1296" s="2" t="s">
        <v>16</v>
      </c>
      <c r="G1296" s="2" t="s">
        <v>165</v>
      </c>
      <c r="H1296" s="2"/>
      <c r="I1296" s="2"/>
      <c r="J1296" s="2" t="s">
        <v>42</v>
      </c>
      <c r="K1296" s="2"/>
      <c r="L1296" s="4" t="s">
        <v>3547</v>
      </c>
    </row>
    <row r="1297" customFormat="false" ht="15.65" hidden="false" customHeight="true" outlineLevel="0" collapsed="false">
      <c r="A1297" s="5" t="str">
        <f aca="false">HYPERLINK("https://www.fabsurplus.com/sdi_catalog/salesItemDetails.do?id=109988")</f>
        <v>https://www.fabsurplus.com/sdi_catalog/salesItemDetails.do?id=109988</v>
      </c>
      <c r="B1297" s="5" t="s">
        <v>3556</v>
      </c>
      <c r="C1297" s="5" t="s">
        <v>3529</v>
      </c>
      <c r="D1297" s="5" t="s">
        <v>3544</v>
      </c>
      <c r="E1297" s="5" t="s">
        <v>170</v>
      </c>
      <c r="F1297" s="5" t="s">
        <v>16</v>
      </c>
      <c r="G1297" s="5" t="s">
        <v>165</v>
      </c>
      <c r="H1297" s="5"/>
      <c r="I1297" s="5"/>
      <c r="J1297" s="5" t="s">
        <v>42</v>
      </c>
      <c r="K1297" s="5"/>
      <c r="L1297" s="7" t="s">
        <v>3557</v>
      </c>
    </row>
    <row r="1298" customFormat="false" ht="15.65" hidden="false" customHeight="true" outlineLevel="0" collapsed="false">
      <c r="A1298" s="2" t="str">
        <f aca="false">HYPERLINK("https://www.fabsurplus.com/sdi_catalog/salesItemDetails.do?id=109989")</f>
        <v>https://www.fabsurplus.com/sdi_catalog/salesItemDetails.do?id=109989</v>
      </c>
      <c r="B1298" s="2" t="s">
        <v>3558</v>
      </c>
      <c r="C1298" s="2" t="s">
        <v>3529</v>
      </c>
      <c r="D1298" s="2" t="s">
        <v>3544</v>
      </c>
      <c r="E1298" s="2" t="s">
        <v>170</v>
      </c>
      <c r="F1298" s="2" t="s">
        <v>16</v>
      </c>
      <c r="G1298" s="2" t="s">
        <v>165</v>
      </c>
      <c r="H1298" s="2"/>
      <c r="I1298" s="2"/>
      <c r="J1298" s="2" t="s">
        <v>42</v>
      </c>
      <c r="K1298" s="2"/>
      <c r="L1298" s="4" t="s">
        <v>3547</v>
      </c>
    </row>
    <row r="1299" customFormat="false" ht="15.65" hidden="false" customHeight="true" outlineLevel="0" collapsed="false">
      <c r="A1299" s="5" t="str">
        <f aca="false">HYPERLINK("https://www.fabsurplus.com/sdi_catalog/salesItemDetails.do?id=109990")</f>
        <v>https://www.fabsurplus.com/sdi_catalog/salesItemDetails.do?id=109990</v>
      </c>
      <c r="B1299" s="5" t="s">
        <v>3559</v>
      </c>
      <c r="C1299" s="5" t="s">
        <v>3529</v>
      </c>
      <c r="D1299" s="5" t="s">
        <v>3544</v>
      </c>
      <c r="E1299" s="5" t="s">
        <v>170</v>
      </c>
      <c r="F1299" s="5" t="s">
        <v>16</v>
      </c>
      <c r="G1299" s="5" t="s">
        <v>165</v>
      </c>
      <c r="H1299" s="5"/>
      <c r="I1299" s="5"/>
      <c r="J1299" s="5" t="s">
        <v>42</v>
      </c>
      <c r="K1299" s="5"/>
      <c r="L1299" s="7" t="s">
        <v>3560</v>
      </c>
    </row>
    <row r="1300" customFormat="false" ht="15.65" hidden="false" customHeight="true" outlineLevel="0" collapsed="false">
      <c r="A1300" s="2" t="str">
        <f aca="false">HYPERLINK("https://www.fabsurplus.com/sdi_catalog/salesItemDetails.do?id=109991")</f>
        <v>https://www.fabsurplus.com/sdi_catalog/salesItemDetails.do?id=109991</v>
      </c>
      <c r="B1300" s="2" t="s">
        <v>3561</v>
      </c>
      <c r="C1300" s="2" t="s">
        <v>3529</v>
      </c>
      <c r="D1300" s="2" t="s">
        <v>3544</v>
      </c>
      <c r="E1300" s="2" t="s">
        <v>170</v>
      </c>
      <c r="F1300" s="2" t="s">
        <v>16</v>
      </c>
      <c r="G1300" s="2" t="s">
        <v>165</v>
      </c>
      <c r="H1300" s="2"/>
      <c r="I1300" s="2"/>
      <c r="J1300" s="2" t="s">
        <v>42</v>
      </c>
      <c r="K1300" s="2"/>
      <c r="L1300" s="4" t="s">
        <v>3560</v>
      </c>
    </row>
    <row r="1301" customFormat="false" ht="15.65" hidden="false" customHeight="true" outlineLevel="0" collapsed="false">
      <c r="A1301" s="5" t="str">
        <f aca="false">HYPERLINK("https://www.fabsurplus.com/sdi_catalog/salesItemDetails.do?id=109992")</f>
        <v>https://www.fabsurplus.com/sdi_catalog/salesItemDetails.do?id=109992</v>
      </c>
      <c r="B1301" s="5" t="s">
        <v>3562</v>
      </c>
      <c r="C1301" s="5" t="s">
        <v>3529</v>
      </c>
      <c r="D1301" s="5" t="s">
        <v>3563</v>
      </c>
      <c r="E1301" s="5" t="s">
        <v>170</v>
      </c>
      <c r="F1301" s="5" t="s">
        <v>16</v>
      </c>
      <c r="G1301" s="5" t="s">
        <v>165</v>
      </c>
      <c r="H1301" s="5"/>
      <c r="I1301" s="5"/>
      <c r="J1301" s="5" t="s">
        <v>42</v>
      </c>
      <c r="K1301" s="5"/>
      <c r="L1301" s="5" t="s">
        <v>3564</v>
      </c>
    </row>
    <row r="1302" customFormat="false" ht="15.65" hidden="false" customHeight="true" outlineLevel="0" collapsed="false">
      <c r="A1302" s="2" t="str">
        <f aca="false">HYPERLINK("https://www.fabsurplus.com/sdi_catalog/salesItemDetails.do?id=109993")</f>
        <v>https://www.fabsurplus.com/sdi_catalog/salesItemDetails.do?id=109993</v>
      </c>
      <c r="B1302" s="2" t="s">
        <v>3565</v>
      </c>
      <c r="C1302" s="2" t="s">
        <v>3529</v>
      </c>
      <c r="D1302" s="2" t="s">
        <v>3563</v>
      </c>
      <c r="E1302" s="2" t="s">
        <v>170</v>
      </c>
      <c r="F1302" s="2" t="s">
        <v>16</v>
      </c>
      <c r="G1302" s="2" t="s">
        <v>165</v>
      </c>
      <c r="H1302" s="2"/>
      <c r="I1302" s="2"/>
      <c r="J1302" s="2" t="s">
        <v>42</v>
      </c>
      <c r="K1302" s="2"/>
      <c r="L1302" s="2" t="s">
        <v>3564</v>
      </c>
    </row>
    <row r="1303" customFormat="false" ht="15.65" hidden="false" customHeight="true" outlineLevel="0" collapsed="false">
      <c r="A1303" s="5" t="str">
        <f aca="false">HYPERLINK("https://www.fabsurplus.com/sdi_catalog/salesItemDetails.do?id=109994")</f>
        <v>https://www.fabsurplus.com/sdi_catalog/salesItemDetails.do?id=109994</v>
      </c>
      <c r="B1303" s="5" t="s">
        <v>3566</v>
      </c>
      <c r="C1303" s="5" t="s">
        <v>3529</v>
      </c>
      <c r="D1303" s="5" t="s">
        <v>3563</v>
      </c>
      <c r="E1303" s="5" t="s">
        <v>170</v>
      </c>
      <c r="F1303" s="5" t="s">
        <v>16</v>
      </c>
      <c r="G1303" s="5" t="s">
        <v>165</v>
      </c>
      <c r="H1303" s="5"/>
      <c r="I1303" s="5"/>
      <c r="J1303" s="5" t="s">
        <v>42</v>
      </c>
      <c r="K1303" s="5"/>
      <c r="L1303" s="5" t="s">
        <v>3567</v>
      </c>
    </row>
    <row r="1304" customFormat="false" ht="15.65" hidden="false" customHeight="true" outlineLevel="0" collapsed="false">
      <c r="A1304" s="2" t="str">
        <f aca="false">HYPERLINK("https://www.fabsurplus.com/sdi_catalog/salesItemDetails.do?id=109995")</f>
        <v>https://www.fabsurplus.com/sdi_catalog/salesItemDetails.do?id=109995</v>
      </c>
      <c r="B1304" s="2" t="s">
        <v>3568</v>
      </c>
      <c r="C1304" s="2" t="s">
        <v>3529</v>
      </c>
      <c r="D1304" s="2" t="s">
        <v>3563</v>
      </c>
      <c r="E1304" s="2" t="s">
        <v>170</v>
      </c>
      <c r="F1304" s="2" t="s">
        <v>16</v>
      </c>
      <c r="G1304" s="2" t="s">
        <v>165</v>
      </c>
      <c r="H1304" s="2"/>
      <c r="I1304" s="2"/>
      <c r="J1304" s="2" t="s">
        <v>42</v>
      </c>
      <c r="K1304" s="2"/>
      <c r="L1304" s="2" t="s">
        <v>3569</v>
      </c>
    </row>
    <row r="1305" customFormat="false" ht="15.65" hidden="false" customHeight="true" outlineLevel="0" collapsed="false">
      <c r="A1305" s="5" t="str">
        <f aca="false">HYPERLINK("https://www.fabsurplus.com/sdi_catalog/salesItemDetails.do?id=109996")</f>
        <v>https://www.fabsurplus.com/sdi_catalog/salesItemDetails.do?id=109996</v>
      </c>
      <c r="B1305" s="5" t="s">
        <v>3570</v>
      </c>
      <c r="C1305" s="5" t="s">
        <v>3529</v>
      </c>
      <c r="D1305" s="5" t="s">
        <v>3571</v>
      </c>
      <c r="E1305" s="5" t="s">
        <v>170</v>
      </c>
      <c r="F1305" s="5" t="s">
        <v>16</v>
      </c>
      <c r="G1305" s="5" t="s">
        <v>165</v>
      </c>
      <c r="H1305" s="5"/>
      <c r="I1305" s="5"/>
      <c r="J1305" s="5" t="s">
        <v>42</v>
      </c>
      <c r="K1305" s="5"/>
      <c r="L1305" s="5" t="s">
        <v>3572</v>
      </c>
    </row>
    <row r="1306" customFormat="false" ht="15.65" hidden="false" customHeight="true" outlineLevel="0" collapsed="false">
      <c r="A1306" s="2" t="str">
        <f aca="false">HYPERLINK("https://www.fabsurplus.com/sdi_catalog/salesItemDetails.do?id=109997")</f>
        <v>https://www.fabsurplus.com/sdi_catalog/salesItemDetails.do?id=109997</v>
      </c>
      <c r="B1306" s="2" t="s">
        <v>3573</v>
      </c>
      <c r="C1306" s="2" t="s">
        <v>3529</v>
      </c>
      <c r="D1306" s="2" t="s">
        <v>3571</v>
      </c>
      <c r="E1306" s="2" t="s">
        <v>170</v>
      </c>
      <c r="F1306" s="2" t="s">
        <v>16</v>
      </c>
      <c r="G1306" s="2" t="s">
        <v>165</v>
      </c>
      <c r="H1306" s="2"/>
      <c r="I1306" s="2"/>
      <c r="J1306" s="2" t="s">
        <v>42</v>
      </c>
      <c r="K1306" s="2"/>
      <c r="L1306" s="2" t="s">
        <v>3572</v>
      </c>
    </row>
    <row r="1307" customFormat="false" ht="15.65" hidden="false" customHeight="true" outlineLevel="0" collapsed="false">
      <c r="A1307" s="5" t="str">
        <f aca="false">HYPERLINK("https://www.fabsurplus.com/sdi_catalog/salesItemDetails.do?id=109998")</f>
        <v>https://www.fabsurplus.com/sdi_catalog/salesItemDetails.do?id=109998</v>
      </c>
      <c r="B1307" s="5" t="s">
        <v>3574</v>
      </c>
      <c r="C1307" s="5" t="s">
        <v>3529</v>
      </c>
      <c r="D1307" s="5" t="s">
        <v>3571</v>
      </c>
      <c r="E1307" s="5" t="s">
        <v>170</v>
      </c>
      <c r="F1307" s="5" t="s">
        <v>16</v>
      </c>
      <c r="G1307" s="5" t="s">
        <v>165</v>
      </c>
      <c r="H1307" s="5"/>
      <c r="I1307" s="5"/>
      <c r="J1307" s="5" t="s">
        <v>42</v>
      </c>
      <c r="K1307" s="5"/>
      <c r="L1307" s="5" t="s">
        <v>3572</v>
      </c>
    </row>
    <row r="1308" customFormat="false" ht="15.65" hidden="false" customHeight="true" outlineLevel="0" collapsed="false">
      <c r="A1308" s="2" t="str">
        <f aca="false">HYPERLINK("https://www.fabsurplus.com/sdi_catalog/salesItemDetails.do?id=109999")</f>
        <v>https://www.fabsurplus.com/sdi_catalog/salesItemDetails.do?id=109999</v>
      </c>
      <c r="B1308" s="2" t="s">
        <v>3575</v>
      </c>
      <c r="C1308" s="2" t="s">
        <v>3529</v>
      </c>
      <c r="D1308" s="2" t="s">
        <v>3571</v>
      </c>
      <c r="E1308" s="2" t="s">
        <v>170</v>
      </c>
      <c r="F1308" s="2" t="s">
        <v>16</v>
      </c>
      <c r="G1308" s="2" t="s">
        <v>165</v>
      </c>
      <c r="H1308" s="2"/>
      <c r="I1308" s="2"/>
      <c r="J1308" s="2" t="s">
        <v>42</v>
      </c>
      <c r="K1308" s="2"/>
      <c r="L1308" s="2" t="s">
        <v>3572</v>
      </c>
    </row>
    <row r="1309" customFormat="false" ht="15.65" hidden="false" customHeight="true" outlineLevel="0" collapsed="false">
      <c r="A1309" s="5" t="str">
        <f aca="false">HYPERLINK("https://www.fabsurplus.com/sdi_catalog/salesItemDetails.do?id=110000")</f>
        <v>https://www.fabsurplus.com/sdi_catalog/salesItemDetails.do?id=110000</v>
      </c>
      <c r="B1309" s="5" t="s">
        <v>3576</v>
      </c>
      <c r="C1309" s="5" t="s">
        <v>3529</v>
      </c>
      <c r="D1309" s="5" t="s">
        <v>3571</v>
      </c>
      <c r="E1309" s="5" t="s">
        <v>170</v>
      </c>
      <c r="F1309" s="5" t="s">
        <v>16</v>
      </c>
      <c r="G1309" s="5" t="s">
        <v>165</v>
      </c>
      <c r="H1309" s="5"/>
      <c r="I1309" s="5"/>
      <c r="J1309" s="5" t="s">
        <v>42</v>
      </c>
      <c r="K1309" s="5"/>
      <c r="L1309" s="5" t="s">
        <v>3577</v>
      </c>
    </row>
    <row r="1310" customFormat="false" ht="15.65" hidden="false" customHeight="true" outlineLevel="0" collapsed="false">
      <c r="A1310" s="2" t="str">
        <f aca="false">HYPERLINK("https://www.fabsurplus.com/sdi_catalog/salesItemDetails.do?id=110001")</f>
        <v>https://www.fabsurplus.com/sdi_catalog/salesItemDetails.do?id=110001</v>
      </c>
      <c r="B1310" s="2" t="s">
        <v>3578</v>
      </c>
      <c r="C1310" s="2" t="s">
        <v>3529</v>
      </c>
      <c r="D1310" s="2" t="s">
        <v>3579</v>
      </c>
      <c r="E1310" s="2" t="s">
        <v>170</v>
      </c>
      <c r="F1310" s="2" t="s">
        <v>16</v>
      </c>
      <c r="G1310" s="2" t="s">
        <v>165</v>
      </c>
      <c r="H1310" s="2"/>
      <c r="I1310" s="2"/>
      <c r="J1310" s="2" t="s">
        <v>42</v>
      </c>
      <c r="K1310" s="2"/>
      <c r="L1310" s="2" t="s">
        <v>3580</v>
      </c>
    </row>
    <row r="1311" customFormat="false" ht="15.65" hidden="false" customHeight="true" outlineLevel="0" collapsed="false">
      <c r="A1311" s="5" t="str">
        <f aca="false">HYPERLINK("https://www.fabsurplus.com/sdi_catalog/salesItemDetails.do?id=110002")</f>
        <v>https://www.fabsurplus.com/sdi_catalog/salesItemDetails.do?id=110002</v>
      </c>
      <c r="B1311" s="5" t="s">
        <v>3581</v>
      </c>
      <c r="C1311" s="5" t="s">
        <v>3529</v>
      </c>
      <c r="D1311" s="5" t="s">
        <v>3582</v>
      </c>
      <c r="E1311" s="5" t="s">
        <v>170</v>
      </c>
      <c r="F1311" s="5" t="s">
        <v>16</v>
      </c>
      <c r="G1311" s="5" t="s">
        <v>165</v>
      </c>
      <c r="H1311" s="5"/>
      <c r="I1311" s="5"/>
      <c r="J1311" s="5" t="s">
        <v>42</v>
      </c>
      <c r="K1311" s="5"/>
      <c r="L1311" s="5" t="s">
        <v>3583</v>
      </c>
    </row>
    <row r="1312" customFormat="false" ht="15.65" hidden="false" customHeight="true" outlineLevel="0" collapsed="false">
      <c r="A1312" s="2" t="str">
        <f aca="false">HYPERLINK("https://www.fabsurplus.com/sdi_catalog/salesItemDetails.do?id=110003")</f>
        <v>https://www.fabsurplus.com/sdi_catalog/salesItemDetails.do?id=110003</v>
      </c>
      <c r="B1312" s="2" t="s">
        <v>3584</v>
      </c>
      <c r="C1312" s="2" t="s">
        <v>3529</v>
      </c>
      <c r="D1312" s="2" t="s">
        <v>3585</v>
      </c>
      <c r="E1312" s="2" t="s">
        <v>170</v>
      </c>
      <c r="F1312" s="2" t="s">
        <v>16</v>
      </c>
      <c r="G1312" s="2" t="s">
        <v>165</v>
      </c>
      <c r="H1312" s="2"/>
      <c r="I1312" s="2"/>
      <c r="J1312" s="2" t="s">
        <v>42</v>
      </c>
      <c r="K1312" s="2"/>
      <c r="L1312" s="2" t="s">
        <v>3586</v>
      </c>
    </row>
    <row r="1313" customFormat="false" ht="15.65" hidden="false" customHeight="true" outlineLevel="0" collapsed="false">
      <c r="A1313" s="5" t="str">
        <f aca="false">HYPERLINK("https://www.fabsurplus.com/sdi_catalog/salesItemDetails.do?id=110004")</f>
        <v>https://www.fabsurplus.com/sdi_catalog/salesItemDetails.do?id=110004</v>
      </c>
      <c r="B1313" s="5" t="s">
        <v>3587</v>
      </c>
      <c r="C1313" s="5" t="s">
        <v>3529</v>
      </c>
      <c r="D1313" s="5" t="s">
        <v>3588</v>
      </c>
      <c r="E1313" s="5" t="s">
        <v>170</v>
      </c>
      <c r="F1313" s="5" t="s">
        <v>16</v>
      </c>
      <c r="G1313" s="5" t="s">
        <v>165</v>
      </c>
      <c r="H1313" s="5"/>
      <c r="I1313" s="5"/>
      <c r="J1313" s="5" t="s">
        <v>42</v>
      </c>
      <c r="K1313" s="5"/>
      <c r="L1313" s="7" t="s">
        <v>3589</v>
      </c>
    </row>
    <row r="1314" customFormat="false" ht="15.65" hidden="false" customHeight="true" outlineLevel="0" collapsed="false">
      <c r="A1314" s="2" t="str">
        <f aca="false">HYPERLINK("https://www.fabsurplus.com/sdi_catalog/salesItemDetails.do?id=110005")</f>
        <v>https://www.fabsurplus.com/sdi_catalog/salesItemDetails.do?id=110005</v>
      </c>
      <c r="B1314" s="2" t="s">
        <v>3590</v>
      </c>
      <c r="C1314" s="2" t="s">
        <v>3529</v>
      </c>
      <c r="D1314" s="2" t="s">
        <v>3530</v>
      </c>
      <c r="E1314" s="2" t="s">
        <v>170</v>
      </c>
      <c r="F1314" s="2" t="s">
        <v>16</v>
      </c>
      <c r="G1314" s="2" t="s">
        <v>165</v>
      </c>
      <c r="H1314" s="2"/>
      <c r="I1314" s="2"/>
      <c r="J1314" s="2" t="s">
        <v>42</v>
      </c>
      <c r="K1314" s="2"/>
      <c r="L1314" s="2" t="s">
        <v>3591</v>
      </c>
    </row>
    <row r="1315" customFormat="false" ht="15.65" hidden="false" customHeight="true" outlineLevel="0" collapsed="false">
      <c r="A1315" s="5" t="str">
        <f aca="false">HYPERLINK("https://www.fabsurplus.com/sdi_catalog/salesItemDetails.do?id=110006")</f>
        <v>https://www.fabsurplus.com/sdi_catalog/salesItemDetails.do?id=110006</v>
      </c>
      <c r="B1315" s="5" t="s">
        <v>3592</v>
      </c>
      <c r="C1315" s="5" t="s">
        <v>3529</v>
      </c>
      <c r="D1315" s="5" t="s">
        <v>3593</v>
      </c>
      <c r="E1315" s="5" t="s">
        <v>170</v>
      </c>
      <c r="F1315" s="5" t="s">
        <v>16</v>
      </c>
      <c r="G1315" s="5" t="s">
        <v>165</v>
      </c>
      <c r="H1315" s="5"/>
      <c r="I1315" s="5"/>
      <c r="J1315" s="5" t="s">
        <v>42</v>
      </c>
      <c r="K1315" s="5"/>
      <c r="L1315" s="5" t="s">
        <v>3594</v>
      </c>
    </row>
    <row r="1316" customFormat="false" ht="15.65" hidden="false" customHeight="true" outlineLevel="0" collapsed="false">
      <c r="A1316" s="2" t="str">
        <f aca="false">HYPERLINK("https://www.fabsurplus.com/sdi_catalog/salesItemDetails.do?id=110007")</f>
        <v>https://www.fabsurplus.com/sdi_catalog/salesItemDetails.do?id=110007</v>
      </c>
      <c r="B1316" s="2" t="s">
        <v>3595</v>
      </c>
      <c r="C1316" s="2" t="s">
        <v>3529</v>
      </c>
      <c r="D1316" s="2" t="s">
        <v>3593</v>
      </c>
      <c r="E1316" s="2" t="s">
        <v>170</v>
      </c>
      <c r="F1316" s="2" t="s">
        <v>16</v>
      </c>
      <c r="G1316" s="2" t="s">
        <v>165</v>
      </c>
      <c r="H1316" s="2"/>
      <c r="I1316" s="2"/>
      <c r="J1316" s="2" t="s">
        <v>42</v>
      </c>
      <c r="K1316" s="2"/>
      <c r="L1316" s="2" t="s">
        <v>3596</v>
      </c>
    </row>
    <row r="1317" customFormat="false" ht="15.65" hidden="false" customHeight="true" outlineLevel="0" collapsed="false">
      <c r="A1317" s="5" t="str">
        <f aca="false">HYPERLINK("https://www.fabsurplus.com/sdi_catalog/salesItemDetails.do?id=110008")</f>
        <v>https://www.fabsurplus.com/sdi_catalog/salesItemDetails.do?id=110008</v>
      </c>
      <c r="B1317" s="5" t="s">
        <v>3597</v>
      </c>
      <c r="C1317" s="5" t="s">
        <v>3529</v>
      </c>
      <c r="D1317" s="5" t="s">
        <v>877</v>
      </c>
      <c r="E1317" s="5" t="s">
        <v>164</v>
      </c>
      <c r="F1317" s="5" t="s">
        <v>16</v>
      </c>
      <c r="G1317" s="5" t="s">
        <v>165</v>
      </c>
      <c r="H1317" s="5"/>
      <c r="I1317" s="5"/>
      <c r="J1317" s="5" t="s">
        <v>42</v>
      </c>
      <c r="K1317" s="5"/>
      <c r="L1317" s="5" t="s">
        <v>3598</v>
      </c>
    </row>
    <row r="1318" customFormat="false" ht="15.65" hidden="false" customHeight="true" outlineLevel="0" collapsed="false">
      <c r="A1318" s="2" t="str">
        <f aca="false">HYPERLINK("https://www.fabsurplus.com/sdi_catalog/salesItemDetails.do?id=110009")</f>
        <v>https://www.fabsurplus.com/sdi_catalog/salesItemDetails.do?id=110009</v>
      </c>
      <c r="B1318" s="2" t="s">
        <v>3599</v>
      </c>
      <c r="C1318" s="2" t="s">
        <v>3529</v>
      </c>
      <c r="D1318" s="2" t="s">
        <v>3600</v>
      </c>
      <c r="E1318" s="2" t="s">
        <v>763</v>
      </c>
      <c r="F1318" s="2" t="s">
        <v>16</v>
      </c>
      <c r="G1318" s="2" t="s">
        <v>165</v>
      </c>
      <c r="H1318" s="2"/>
      <c r="I1318" s="2"/>
      <c r="J1318" s="2" t="s">
        <v>42</v>
      </c>
      <c r="K1318" s="2"/>
      <c r="L1318" s="2" t="s">
        <v>3601</v>
      </c>
    </row>
    <row r="1319" customFormat="false" ht="15.65" hidden="false" customHeight="true" outlineLevel="0" collapsed="false">
      <c r="A1319" s="5" t="str">
        <f aca="false">HYPERLINK("https://www.fabsurplus.com/sdi_catalog/salesItemDetails.do?id=110010")</f>
        <v>https://www.fabsurplus.com/sdi_catalog/salesItemDetails.do?id=110010</v>
      </c>
      <c r="B1319" s="5" t="s">
        <v>3602</v>
      </c>
      <c r="C1319" s="5" t="s">
        <v>3529</v>
      </c>
      <c r="D1319" s="5" t="s">
        <v>3603</v>
      </c>
      <c r="E1319" s="5" t="s">
        <v>164</v>
      </c>
      <c r="F1319" s="5" t="s">
        <v>16</v>
      </c>
      <c r="G1319" s="5" t="s">
        <v>165</v>
      </c>
      <c r="H1319" s="5"/>
      <c r="I1319" s="5"/>
      <c r="J1319" s="5" t="s">
        <v>42</v>
      </c>
      <c r="K1319" s="5"/>
      <c r="L1319" s="5" t="s">
        <v>686</v>
      </c>
    </row>
    <row r="1320" customFormat="false" ht="15.65" hidden="false" customHeight="true" outlineLevel="0" collapsed="false">
      <c r="A1320" s="2" t="str">
        <f aca="false">HYPERLINK("https://www.fabsurplus.com/sdi_catalog/salesItemDetails.do?id=110011")</f>
        <v>https://www.fabsurplus.com/sdi_catalog/salesItemDetails.do?id=110011</v>
      </c>
      <c r="B1320" s="2" t="s">
        <v>3604</v>
      </c>
      <c r="C1320" s="2" t="s">
        <v>3529</v>
      </c>
      <c r="D1320" s="2" t="s">
        <v>3605</v>
      </c>
      <c r="E1320" s="2" t="s">
        <v>164</v>
      </c>
      <c r="F1320" s="2" t="s">
        <v>16</v>
      </c>
      <c r="G1320" s="2" t="s">
        <v>165</v>
      </c>
      <c r="H1320" s="2"/>
      <c r="I1320" s="2"/>
      <c r="J1320" s="2" t="s">
        <v>42</v>
      </c>
      <c r="K1320" s="2"/>
      <c r="L1320" s="2" t="s">
        <v>686</v>
      </c>
    </row>
    <row r="1321" customFormat="false" ht="15.65" hidden="false" customHeight="true" outlineLevel="0" collapsed="false">
      <c r="A1321" s="5" t="str">
        <f aca="false">HYPERLINK("https://www.fabsurplus.com/sdi_catalog/salesItemDetails.do?id=110012")</f>
        <v>https://www.fabsurplus.com/sdi_catalog/salesItemDetails.do?id=110012</v>
      </c>
      <c r="B1321" s="5" t="s">
        <v>3606</v>
      </c>
      <c r="C1321" s="5" t="s">
        <v>3529</v>
      </c>
      <c r="D1321" s="5" t="s">
        <v>3605</v>
      </c>
      <c r="E1321" s="5" t="s">
        <v>164</v>
      </c>
      <c r="F1321" s="5" t="s">
        <v>16</v>
      </c>
      <c r="G1321" s="5" t="s">
        <v>165</v>
      </c>
      <c r="H1321" s="5"/>
      <c r="I1321" s="5"/>
      <c r="J1321" s="5" t="s">
        <v>42</v>
      </c>
      <c r="K1321" s="5"/>
      <c r="L1321" s="5" t="s">
        <v>686</v>
      </c>
    </row>
    <row r="1322" customFormat="false" ht="15.65" hidden="false" customHeight="true" outlineLevel="0" collapsed="false">
      <c r="A1322" s="2" t="str">
        <f aca="false">HYPERLINK("https://www.fabsurplus.com/sdi_catalog/salesItemDetails.do?id=110013")</f>
        <v>https://www.fabsurplus.com/sdi_catalog/salesItemDetails.do?id=110013</v>
      </c>
      <c r="B1322" s="2" t="s">
        <v>3607</v>
      </c>
      <c r="C1322" s="2" t="s">
        <v>3529</v>
      </c>
      <c r="D1322" s="2" t="s">
        <v>3608</v>
      </c>
      <c r="E1322" s="2" t="s">
        <v>164</v>
      </c>
      <c r="F1322" s="2" t="s">
        <v>16</v>
      </c>
      <c r="G1322" s="2" t="s">
        <v>165</v>
      </c>
      <c r="H1322" s="2"/>
      <c r="I1322" s="2"/>
      <c r="J1322" s="2" t="s">
        <v>42</v>
      </c>
      <c r="K1322" s="2"/>
      <c r="L1322" s="2" t="s">
        <v>3609</v>
      </c>
    </row>
    <row r="1323" customFormat="false" ht="15.65" hidden="false" customHeight="true" outlineLevel="0" collapsed="false">
      <c r="A1323" s="5" t="str">
        <f aca="false">HYPERLINK("https://www.fabsurplus.com/sdi_catalog/salesItemDetails.do?id=110014")</f>
        <v>https://www.fabsurplus.com/sdi_catalog/salesItemDetails.do?id=110014</v>
      </c>
      <c r="B1323" s="5" t="s">
        <v>3610</v>
      </c>
      <c r="C1323" s="5" t="s">
        <v>3529</v>
      </c>
      <c r="D1323" s="5" t="s">
        <v>3608</v>
      </c>
      <c r="E1323" s="5" t="s">
        <v>164</v>
      </c>
      <c r="F1323" s="5" t="s">
        <v>16</v>
      </c>
      <c r="G1323" s="5" t="s">
        <v>165</v>
      </c>
      <c r="H1323" s="5"/>
      <c r="I1323" s="5"/>
      <c r="J1323" s="5" t="s">
        <v>42</v>
      </c>
      <c r="K1323" s="5"/>
      <c r="L1323" s="5" t="s">
        <v>3611</v>
      </c>
    </row>
    <row r="1324" customFormat="false" ht="15.65" hidden="false" customHeight="true" outlineLevel="0" collapsed="false">
      <c r="A1324" s="2" t="str">
        <f aca="false">HYPERLINK("https://www.fabsurplus.com/sdi_catalog/salesItemDetails.do?id=110015")</f>
        <v>https://www.fabsurplus.com/sdi_catalog/salesItemDetails.do?id=110015</v>
      </c>
      <c r="B1324" s="2" t="s">
        <v>3612</v>
      </c>
      <c r="C1324" s="2" t="s">
        <v>3529</v>
      </c>
      <c r="D1324" s="2" t="s">
        <v>3608</v>
      </c>
      <c r="E1324" s="2" t="s">
        <v>164</v>
      </c>
      <c r="F1324" s="2" t="s">
        <v>16</v>
      </c>
      <c r="G1324" s="2" t="s">
        <v>165</v>
      </c>
      <c r="H1324" s="2"/>
      <c r="I1324" s="2"/>
      <c r="J1324" s="2" t="s">
        <v>42</v>
      </c>
      <c r="K1324" s="2"/>
      <c r="L1324" s="2" t="s">
        <v>3611</v>
      </c>
    </row>
    <row r="1325" customFormat="false" ht="15.65" hidden="false" customHeight="true" outlineLevel="0" collapsed="false">
      <c r="A1325" s="5" t="str">
        <f aca="false">HYPERLINK("https://www.fabsurplus.com/sdi_catalog/salesItemDetails.do?id=110016")</f>
        <v>https://www.fabsurplus.com/sdi_catalog/salesItemDetails.do?id=110016</v>
      </c>
      <c r="B1325" s="5" t="s">
        <v>3613</v>
      </c>
      <c r="C1325" s="5" t="s">
        <v>3529</v>
      </c>
      <c r="D1325" s="5" t="s">
        <v>3608</v>
      </c>
      <c r="E1325" s="5" t="s">
        <v>164</v>
      </c>
      <c r="F1325" s="5" t="s">
        <v>16</v>
      </c>
      <c r="G1325" s="5" t="s">
        <v>165</v>
      </c>
      <c r="H1325" s="5"/>
      <c r="I1325" s="5"/>
      <c r="J1325" s="5" t="s">
        <v>42</v>
      </c>
      <c r="K1325" s="5"/>
      <c r="L1325" s="5" t="s">
        <v>3611</v>
      </c>
    </row>
    <row r="1326" customFormat="false" ht="15.65" hidden="false" customHeight="true" outlineLevel="0" collapsed="false">
      <c r="A1326" s="2" t="str">
        <f aca="false">HYPERLINK("https://www.fabsurplus.com/sdi_catalog/salesItemDetails.do?id=110017")</f>
        <v>https://www.fabsurplus.com/sdi_catalog/salesItemDetails.do?id=110017</v>
      </c>
      <c r="B1326" s="2" t="s">
        <v>3614</v>
      </c>
      <c r="C1326" s="2" t="s">
        <v>3529</v>
      </c>
      <c r="D1326" s="2" t="s">
        <v>3615</v>
      </c>
      <c r="E1326" s="2" t="s">
        <v>763</v>
      </c>
      <c r="F1326" s="2" t="s">
        <v>16</v>
      </c>
      <c r="G1326" s="2" t="s">
        <v>165</v>
      </c>
      <c r="H1326" s="2"/>
      <c r="I1326" s="2"/>
      <c r="J1326" s="2" t="s">
        <v>42</v>
      </c>
      <c r="K1326" s="2"/>
      <c r="L1326" s="2" t="s">
        <v>3616</v>
      </c>
    </row>
    <row r="1327" customFormat="false" ht="15.65" hidden="false" customHeight="true" outlineLevel="0" collapsed="false">
      <c r="A1327" s="5" t="str">
        <f aca="false">HYPERLINK("https://www.fabsurplus.com/sdi_catalog/salesItemDetails.do?id=110018")</f>
        <v>https://www.fabsurplus.com/sdi_catalog/salesItemDetails.do?id=110018</v>
      </c>
      <c r="B1327" s="5" t="s">
        <v>3617</v>
      </c>
      <c r="C1327" s="5" t="s">
        <v>3529</v>
      </c>
      <c r="D1327" s="5" t="s">
        <v>3615</v>
      </c>
      <c r="E1327" s="5" t="s">
        <v>763</v>
      </c>
      <c r="F1327" s="5" t="s">
        <v>16</v>
      </c>
      <c r="G1327" s="5" t="s">
        <v>165</v>
      </c>
      <c r="H1327" s="5"/>
      <c r="I1327" s="5"/>
      <c r="J1327" s="5" t="s">
        <v>42</v>
      </c>
      <c r="K1327" s="5"/>
      <c r="L1327" s="5" t="s">
        <v>3616</v>
      </c>
    </row>
    <row r="1328" customFormat="false" ht="15.65" hidden="false" customHeight="true" outlineLevel="0" collapsed="false">
      <c r="A1328" s="2" t="str">
        <f aca="false">HYPERLINK("https://www.fabsurplus.com/sdi_catalog/salesItemDetails.do?id=110019")</f>
        <v>https://www.fabsurplus.com/sdi_catalog/salesItemDetails.do?id=110019</v>
      </c>
      <c r="B1328" s="2" t="s">
        <v>3618</v>
      </c>
      <c r="C1328" s="2" t="s">
        <v>3529</v>
      </c>
      <c r="D1328" s="2" t="s">
        <v>3615</v>
      </c>
      <c r="E1328" s="2" t="s">
        <v>763</v>
      </c>
      <c r="F1328" s="2" t="s">
        <v>16</v>
      </c>
      <c r="G1328" s="2" t="s">
        <v>165</v>
      </c>
      <c r="H1328" s="2"/>
      <c r="I1328" s="2"/>
      <c r="J1328" s="2" t="s">
        <v>42</v>
      </c>
      <c r="K1328" s="2"/>
      <c r="L1328" s="2" t="s">
        <v>3616</v>
      </c>
    </row>
    <row r="1329" customFormat="false" ht="15.65" hidden="false" customHeight="true" outlineLevel="0" collapsed="false">
      <c r="A1329" s="5" t="str">
        <f aca="false">HYPERLINK("https://www.fabsurplus.com/sdi_catalog/salesItemDetails.do?id=110020")</f>
        <v>https://www.fabsurplus.com/sdi_catalog/salesItemDetails.do?id=110020</v>
      </c>
      <c r="B1329" s="5" t="s">
        <v>3619</v>
      </c>
      <c r="C1329" s="5" t="s">
        <v>3529</v>
      </c>
      <c r="D1329" s="5" t="s">
        <v>3615</v>
      </c>
      <c r="E1329" s="5" t="s">
        <v>763</v>
      </c>
      <c r="F1329" s="5" t="s">
        <v>16</v>
      </c>
      <c r="G1329" s="5" t="s">
        <v>165</v>
      </c>
      <c r="H1329" s="5"/>
      <c r="I1329" s="5"/>
      <c r="J1329" s="5" t="s">
        <v>42</v>
      </c>
      <c r="K1329" s="5"/>
      <c r="L1329" s="5" t="s">
        <v>3620</v>
      </c>
    </row>
    <row r="1330" customFormat="false" ht="15.65" hidden="false" customHeight="true" outlineLevel="0" collapsed="false">
      <c r="A1330" s="2" t="str">
        <f aca="false">HYPERLINK("https://www.fabsurplus.com/sdi_catalog/salesItemDetails.do?id=110021")</f>
        <v>https://www.fabsurplus.com/sdi_catalog/salesItemDetails.do?id=110021</v>
      </c>
      <c r="B1330" s="2" t="s">
        <v>3621</v>
      </c>
      <c r="C1330" s="2" t="s">
        <v>3529</v>
      </c>
      <c r="D1330" s="2" t="s">
        <v>3622</v>
      </c>
      <c r="E1330" s="2" t="s">
        <v>170</v>
      </c>
      <c r="F1330" s="2" t="s">
        <v>16</v>
      </c>
      <c r="G1330" s="2" t="s">
        <v>165</v>
      </c>
      <c r="H1330" s="2"/>
      <c r="I1330" s="2"/>
      <c r="J1330" s="2" t="s">
        <v>42</v>
      </c>
      <c r="K1330" s="2"/>
      <c r="L1330" s="2" t="s">
        <v>3623</v>
      </c>
    </row>
    <row r="1331" customFormat="false" ht="15.65" hidden="false" customHeight="true" outlineLevel="0" collapsed="false">
      <c r="A1331" s="5" t="str">
        <f aca="false">HYPERLINK("https://www.fabsurplus.com/sdi_catalog/salesItemDetails.do?id=110022")</f>
        <v>https://www.fabsurplus.com/sdi_catalog/salesItemDetails.do?id=110022</v>
      </c>
      <c r="B1331" s="5" t="s">
        <v>3624</v>
      </c>
      <c r="C1331" s="5" t="s">
        <v>3529</v>
      </c>
      <c r="D1331" s="5" t="s">
        <v>3622</v>
      </c>
      <c r="E1331" s="5" t="s">
        <v>170</v>
      </c>
      <c r="F1331" s="5" t="s">
        <v>16</v>
      </c>
      <c r="G1331" s="5" t="s">
        <v>165</v>
      </c>
      <c r="H1331" s="5"/>
      <c r="I1331" s="5"/>
      <c r="J1331" s="5" t="s">
        <v>42</v>
      </c>
      <c r="K1331" s="5"/>
      <c r="L1331" s="5" t="s">
        <v>3625</v>
      </c>
    </row>
    <row r="1332" customFormat="false" ht="15.65" hidden="false" customHeight="true" outlineLevel="0" collapsed="false">
      <c r="A1332" s="2" t="str">
        <f aca="false">HYPERLINK("https://www.fabsurplus.com/sdi_catalog/salesItemDetails.do?id=110023")</f>
        <v>https://www.fabsurplus.com/sdi_catalog/salesItemDetails.do?id=110023</v>
      </c>
      <c r="B1332" s="2" t="s">
        <v>3626</v>
      </c>
      <c r="C1332" s="2" t="s">
        <v>3529</v>
      </c>
      <c r="D1332" s="2" t="s">
        <v>3627</v>
      </c>
      <c r="E1332" s="2" t="s">
        <v>170</v>
      </c>
      <c r="F1332" s="2" t="s">
        <v>16</v>
      </c>
      <c r="G1332" s="2" t="s">
        <v>165</v>
      </c>
      <c r="H1332" s="2"/>
      <c r="I1332" s="2"/>
      <c r="J1332" s="2" t="s">
        <v>42</v>
      </c>
      <c r="K1332" s="2"/>
      <c r="L1332" s="2" t="s">
        <v>3628</v>
      </c>
    </row>
    <row r="1333" customFormat="false" ht="15.65" hidden="false" customHeight="true" outlineLevel="0" collapsed="false">
      <c r="A1333" s="5" t="str">
        <f aca="false">HYPERLINK("https://www.fabsurplus.com/sdi_catalog/salesItemDetails.do?id=110024")</f>
        <v>https://www.fabsurplus.com/sdi_catalog/salesItemDetails.do?id=110024</v>
      </c>
      <c r="B1333" s="5" t="s">
        <v>3629</v>
      </c>
      <c r="C1333" s="5" t="s">
        <v>3529</v>
      </c>
      <c r="D1333" s="5" t="s">
        <v>3630</v>
      </c>
      <c r="E1333" s="5" t="s">
        <v>170</v>
      </c>
      <c r="F1333" s="5" t="s">
        <v>16</v>
      </c>
      <c r="G1333" s="5" t="s">
        <v>165</v>
      </c>
      <c r="H1333" s="5"/>
      <c r="I1333" s="5"/>
      <c r="J1333" s="5" t="s">
        <v>42</v>
      </c>
      <c r="K1333" s="5"/>
      <c r="L1333" s="5" t="s">
        <v>3631</v>
      </c>
    </row>
    <row r="1334" customFormat="false" ht="15.65" hidden="false" customHeight="true" outlineLevel="0" collapsed="false">
      <c r="A1334" s="2" t="str">
        <f aca="false">HYPERLINK("https://www.fabsurplus.com/sdi_catalog/salesItemDetails.do?id=110025")</f>
        <v>https://www.fabsurplus.com/sdi_catalog/salesItemDetails.do?id=110025</v>
      </c>
      <c r="B1334" s="2" t="s">
        <v>3632</v>
      </c>
      <c r="C1334" s="2" t="s">
        <v>3529</v>
      </c>
      <c r="D1334" s="2" t="s">
        <v>3630</v>
      </c>
      <c r="E1334" s="2" t="s">
        <v>170</v>
      </c>
      <c r="F1334" s="2" t="s">
        <v>16</v>
      </c>
      <c r="G1334" s="2" t="s">
        <v>165</v>
      </c>
      <c r="H1334" s="2"/>
      <c r="I1334" s="2"/>
      <c r="J1334" s="2" t="s">
        <v>42</v>
      </c>
      <c r="K1334" s="2"/>
      <c r="L1334" s="2" t="s">
        <v>3633</v>
      </c>
    </row>
    <row r="1335" customFormat="false" ht="15.65" hidden="false" customHeight="true" outlineLevel="0" collapsed="false">
      <c r="A1335" s="5" t="str">
        <f aca="false">HYPERLINK("https://www.fabsurplus.com/sdi_catalog/salesItemDetails.do?id=110026")</f>
        <v>https://www.fabsurplus.com/sdi_catalog/salesItemDetails.do?id=110026</v>
      </c>
      <c r="B1335" s="5" t="s">
        <v>3634</v>
      </c>
      <c r="C1335" s="5" t="s">
        <v>3529</v>
      </c>
      <c r="D1335" s="5" t="s">
        <v>3630</v>
      </c>
      <c r="E1335" s="5" t="s">
        <v>170</v>
      </c>
      <c r="F1335" s="5" t="s">
        <v>16</v>
      </c>
      <c r="G1335" s="5" t="s">
        <v>165</v>
      </c>
      <c r="H1335" s="5"/>
      <c r="I1335" s="5"/>
      <c r="J1335" s="5" t="s">
        <v>42</v>
      </c>
      <c r="K1335" s="5"/>
      <c r="L1335" s="5" t="s">
        <v>3635</v>
      </c>
    </row>
    <row r="1336" customFormat="false" ht="15.65" hidden="false" customHeight="true" outlineLevel="0" collapsed="false">
      <c r="A1336" s="2" t="str">
        <f aca="false">HYPERLINK("https://www.fabsurplus.com/sdi_catalog/salesItemDetails.do?id=110027")</f>
        <v>https://www.fabsurplus.com/sdi_catalog/salesItemDetails.do?id=110027</v>
      </c>
      <c r="B1336" s="2" t="s">
        <v>3636</v>
      </c>
      <c r="C1336" s="2" t="s">
        <v>3637</v>
      </c>
      <c r="D1336" s="2" t="s">
        <v>3638</v>
      </c>
      <c r="E1336" s="2" t="s">
        <v>170</v>
      </c>
      <c r="F1336" s="2" t="s">
        <v>16</v>
      </c>
      <c r="G1336" s="2" t="s">
        <v>165</v>
      </c>
      <c r="H1336" s="2"/>
      <c r="I1336" s="2"/>
      <c r="J1336" s="2" t="s">
        <v>42</v>
      </c>
      <c r="K1336" s="2"/>
      <c r="L1336" s="2" t="s">
        <v>3639</v>
      </c>
    </row>
    <row r="1337" customFormat="false" ht="15.65" hidden="false" customHeight="true" outlineLevel="0" collapsed="false">
      <c r="A1337" s="5" t="str">
        <f aca="false">HYPERLINK("https://www.fabsurplus.com/sdi_catalog/salesItemDetails.do?id=110028")</f>
        <v>https://www.fabsurplus.com/sdi_catalog/salesItemDetails.do?id=110028</v>
      </c>
      <c r="B1337" s="5" t="s">
        <v>3640</v>
      </c>
      <c r="C1337" s="5" t="s">
        <v>3637</v>
      </c>
      <c r="D1337" s="5" t="s">
        <v>3638</v>
      </c>
      <c r="E1337" s="5" t="s">
        <v>170</v>
      </c>
      <c r="F1337" s="5" t="s">
        <v>16</v>
      </c>
      <c r="G1337" s="5" t="s">
        <v>165</v>
      </c>
      <c r="H1337" s="5"/>
      <c r="I1337" s="5"/>
      <c r="J1337" s="5" t="s">
        <v>42</v>
      </c>
      <c r="K1337" s="5"/>
      <c r="L1337" s="5" t="s">
        <v>3641</v>
      </c>
    </row>
    <row r="1338" customFormat="false" ht="15.65" hidden="false" customHeight="true" outlineLevel="0" collapsed="false">
      <c r="A1338" s="2" t="str">
        <f aca="false">HYPERLINK("https://www.fabsurplus.com/sdi_catalog/salesItemDetails.do?id=110029")</f>
        <v>https://www.fabsurplus.com/sdi_catalog/salesItemDetails.do?id=110029</v>
      </c>
      <c r="B1338" s="2" t="s">
        <v>3642</v>
      </c>
      <c r="C1338" s="2" t="s">
        <v>3529</v>
      </c>
      <c r="D1338" s="2" t="s">
        <v>3643</v>
      </c>
      <c r="E1338" s="2" t="s">
        <v>170</v>
      </c>
      <c r="F1338" s="2" t="s">
        <v>16</v>
      </c>
      <c r="G1338" s="2" t="s">
        <v>165</v>
      </c>
      <c r="H1338" s="2"/>
      <c r="I1338" s="2"/>
      <c r="J1338" s="2" t="s">
        <v>42</v>
      </c>
      <c r="K1338" s="2"/>
      <c r="L1338" s="2" t="s">
        <v>3644</v>
      </c>
    </row>
    <row r="1339" customFormat="false" ht="15.65" hidden="false" customHeight="true" outlineLevel="0" collapsed="false">
      <c r="A1339" s="5" t="str">
        <f aca="false">HYPERLINK("https://www.fabsurplus.com/sdi_catalog/salesItemDetails.do?id=110030")</f>
        <v>https://www.fabsurplus.com/sdi_catalog/salesItemDetails.do?id=110030</v>
      </c>
      <c r="B1339" s="5" t="s">
        <v>3645</v>
      </c>
      <c r="C1339" s="5" t="s">
        <v>3529</v>
      </c>
      <c r="D1339" s="5" t="s">
        <v>3646</v>
      </c>
      <c r="E1339" s="5" t="s">
        <v>170</v>
      </c>
      <c r="F1339" s="5" t="s">
        <v>16</v>
      </c>
      <c r="G1339" s="5" t="s">
        <v>165</v>
      </c>
      <c r="H1339" s="5"/>
      <c r="I1339" s="5"/>
      <c r="J1339" s="5" t="s">
        <v>42</v>
      </c>
      <c r="K1339" s="5"/>
      <c r="L1339" s="5" t="s">
        <v>3647</v>
      </c>
    </row>
    <row r="1340" customFormat="false" ht="15.65" hidden="false" customHeight="true" outlineLevel="0" collapsed="false">
      <c r="A1340" s="2" t="str">
        <f aca="false">HYPERLINK("https://www.fabsurplus.com/sdi_catalog/salesItemDetails.do?id=110031")</f>
        <v>https://www.fabsurplus.com/sdi_catalog/salesItemDetails.do?id=110031</v>
      </c>
      <c r="B1340" s="2" t="s">
        <v>3648</v>
      </c>
      <c r="C1340" s="2" t="s">
        <v>3529</v>
      </c>
      <c r="D1340" s="2" t="s">
        <v>3649</v>
      </c>
      <c r="E1340" s="2" t="s">
        <v>170</v>
      </c>
      <c r="F1340" s="2" t="s">
        <v>16</v>
      </c>
      <c r="G1340" s="2" t="s">
        <v>165</v>
      </c>
      <c r="H1340" s="2"/>
      <c r="I1340" s="2"/>
      <c r="J1340" s="2" t="s">
        <v>42</v>
      </c>
      <c r="K1340" s="2"/>
      <c r="L1340" s="2" t="s">
        <v>3650</v>
      </c>
    </row>
    <row r="1341" customFormat="false" ht="15.65" hidden="false" customHeight="true" outlineLevel="0" collapsed="false">
      <c r="A1341" s="5" t="str">
        <f aca="false">HYPERLINK("https://www.fabsurplus.com/sdi_catalog/salesItemDetails.do?id=110032")</f>
        <v>https://www.fabsurplus.com/sdi_catalog/salesItemDetails.do?id=110032</v>
      </c>
      <c r="B1341" s="5" t="s">
        <v>3651</v>
      </c>
      <c r="C1341" s="5" t="s">
        <v>3529</v>
      </c>
      <c r="D1341" s="5" t="s">
        <v>3649</v>
      </c>
      <c r="E1341" s="5" t="s">
        <v>170</v>
      </c>
      <c r="F1341" s="5" t="s">
        <v>16</v>
      </c>
      <c r="G1341" s="5" t="s">
        <v>165</v>
      </c>
      <c r="H1341" s="5"/>
      <c r="I1341" s="5"/>
      <c r="J1341" s="5" t="s">
        <v>42</v>
      </c>
      <c r="K1341" s="5"/>
      <c r="L1341" s="5" t="s">
        <v>3652</v>
      </c>
    </row>
    <row r="1342" customFormat="false" ht="15.65" hidden="false" customHeight="true" outlineLevel="0" collapsed="false">
      <c r="A1342" s="2" t="str">
        <f aca="false">HYPERLINK("https://www.fabsurplus.com/sdi_catalog/salesItemDetails.do?id=110033")</f>
        <v>https://www.fabsurplus.com/sdi_catalog/salesItemDetails.do?id=110033</v>
      </c>
      <c r="B1342" s="2" t="s">
        <v>3653</v>
      </c>
      <c r="C1342" s="2" t="s">
        <v>3529</v>
      </c>
      <c r="D1342" s="2" t="s">
        <v>3649</v>
      </c>
      <c r="E1342" s="2" t="s">
        <v>170</v>
      </c>
      <c r="F1342" s="2" t="s">
        <v>16</v>
      </c>
      <c r="G1342" s="2" t="s">
        <v>165</v>
      </c>
      <c r="H1342" s="2"/>
      <c r="I1342" s="2"/>
      <c r="J1342" s="2" t="s">
        <v>42</v>
      </c>
      <c r="K1342" s="2"/>
      <c r="L1342" s="2" t="s">
        <v>3654</v>
      </c>
    </row>
    <row r="1343" customFormat="false" ht="15.65" hidden="false" customHeight="true" outlineLevel="0" collapsed="false">
      <c r="A1343" s="5" t="str">
        <f aca="false">HYPERLINK("https://www.fabsurplus.com/sdi_catalog/salesItemDetails.do?id=110034")</f>
        <v>https://www.fabsurplus.com/sdi_catalog/salesItemDetails.do?id=110034</v>
      </c>
      <c r="B1343" s="5" t="s">
        <v>3655</v>
      </c>
      <c r="C1343" s="5" t="s">
        <v>3529</v>
      </c>
      <c r="D1343" s="5" t="s">
        <v>3656</v>
      </c>
      <c r="E1343" s="5" t="s">
        <v>170</v>
      </c>
      <c r="F1343" s="5" t="s">
        <v>16</v>
      </c>
      <c r="G1343" s="5" t="s">
        <v>165</v>
      </c>
      <c r="H1343" s="5"/>
      <c r="I1343" s="5"/>
      <c r="J1343" s="5" t="s">
        <v>42</v>
      </c>
      <c r="K1343" s="5"/>
      <c r="L1343" s="5" t="s">
        <v>3657</v>
      </c>
    </row>
    <row r="1344" customFormat="false" ht="15.65" hidden="false" customHeight="true" outlineLevel="0" collapsed="false">
      <c r="A1344" s="2" t="str">
        <f aca="false">HYPERLINK("https://www.fabsurplus.com/sdi_catalog/salesItemDetails.do?id=110035")</f>
        <v>https://www.fabsurplus.com/sdi_catalog/salesItemDetails.do?id=110035</v>
      </c>
      <c r="B1344" s="2" t="s">
        <v>3658</v>
      </c>
      <c r="C1344" s="2" t="s">
        <v>3529</v>
      </c>
      <c r="D1344" s="2" t="s">
        <v>3659</v>
      </c>
      <c r="E1344" s="2" t="s">
        <v>748</v>
      </c>
      <c r="F1344" s="2" t="s">
        <v>16</v>
      </c>
      <c r="G1344" s="2" t="s">
        <v>165</v>
      </c>
      <c r="H1344" s="2"/>
      <c r="I1344" s="2"/>
      <c r="J1344" s="2" t="s">
        <v>42</v>
      </c>
      <c r="K1344" s="2"/>
      <c r="L1344" s="2" t="s">
        <v>3660</v>
      </c>
    </row>
    <row r="1345" customFormat="false" ht="15.65" hidden="false" customHeight="true" outlineLevel="0" collapsed="false">
      <c r="A1345" s="5" t="str">
        <f aca="false">HYPERLINK("https://www.fabsurplus.com/sdi_catalog/salesItemDetails.do?id=110036")</f>
        <v>https://www.fabsurplus.com/sdi_catalog/salesItemDetails.do?id=110036</v>
      </c>
      <c r="B1345" s="5" t="s">
        <v>3661</v>
      </c>
      <c r="C1345" s="5" t="s">
        <v>3529</v>
      </c>
      <c r="D1345" s="5" t="s">
        <v>3659</v>
      </c>
      <c r="E1345" s="5" t="s">
        <v>748</v>
      </c>
      <c r="F1345" s="5" t="s">
        <v>16</v>
      </c>
      <c r="G1345" s="5" t="s">
        <v>165</v>
      </c>
      <c r="H1345" s="5"/>
      <c r="I1345" s="5"/>
      <c r="J1345" s="5" t="s">
        <v>42</v>
      </c>
      <c r="K1345" s="5"/>
      <c r="L1345" s="5" t="s">
        <v>3662</v>
      </c>
    </row>
    <row r="1346" customFormat="false" ht="15.65" hidden="false" customHeight="true" outlineLevel="0" collapsed="false">
      <c r="A1346" s="2" t="str">
        <f aca="false">HYPERLINK("https://www.fabsurplus.com/sdi_catalog/salesItemDetails.do?id=110037")</f>
        <v>https://www.fabsurplus.com/sdi_catalog/salesItemDetails.do?id=110037</v>
      </c>
      <c r="B1346" s="2" t="s">
        <v>3663</v>
      </c>
      <c r="C1346" s="2" t="s">
        <v>3529</v>
      </c>
      <c r="D1346" s="2" t="s">
        <v>3664</v>
      </c>
      <c r="E1346" s="2" t="s">
        <v>763</v>
      </c>
      <c r="F1346" s="2" t="s">
        <v>16</v>
      </c>
      <c r="G1346" s="2" t="s">
        <v>165</v>
      </c>
      <c r="H1346" s="2"/>
      <c r="I1346" s="2"/>
      <c r="J1346" s="2" t="s">
        <v>42</v>
      </c>
      <c r="K1346" s="2"/>
      <c r="L1346" s="4" t="s">
        <v>3665</v>
      </c>
    </row>
    <row r="1347" customFormat="false" ht="15.65" hidden="false" customHeight="true" outlineLevel="0" collapsed="false">
      <c r="A1347" s="5" t="str">
        <f aca="false">HYPERLINK("https://www.fabsurplus.com/sdi_catalog/salesItemDetails.do?id=109386")</f>
        <v>https://www.fabsurplus.com/sdi_catalog/salesItemDetails.do?id=109386</v>
      </c>
      <c r="B1347" s="5" t="s">
        <v>3666</v>
      </c>
      <c r="C1347" s="5" t="s">
        <v>3667</v>
      </c>
      <c r="D1347" s="5" t="s">
        <v>3668</v>
      </c>
      <c r="E1347" s="5" t="s">
        <v>103</v>
      </c>
      <c r="F1347" s="5" t="s">
        <v>16</v>
      </c>
      <c r="G1347" s="5" t="s">
        <v>104</v>
      </c>
      <c r="H1347" s="5"/>
      <c r="I1347" s="5"/>
      <c r="J1347" s="5" t="s">
        <v>19</v>
      </c>
      <c r="K1347" s="5"/>
      <c r="L1347" s="5" t="s">
        <v>3669</v>
      </c>
    </row>
    <row r="1348" customFormat="false" ht="15.65" hidden="false" customHeight="true" outlineLevel="0" collapsed="false">
      <c r="A1348" s="2" t="str">
        <f aca="false">HYPERLINK("https://www.fabsurplus.com/sdi_catalog/salesItemDetails.do?id=109387")</f>
        <v>https://www.fabsurplus.com/sdi_catalog/salesItemDetails.do?id=109387</v>
      </c>
      <c r="B1348" s="2" t="s">
        <v>3670</v>
      </c>
      <c r="C1348" s="2" t="s">
        <v>3667</v>
      </c>
      <c r="D1348" s="2" t="s">
        <v>3668</v>
      </c>
      <c r="E1348" s="2" t="s">
        <v>103</v>
      </c>
      <c r="F1348" s="2" t="s">
        <v>108</v>
      </c>
      <c r="G1348" s="2" t="s">
        <v>104</v>
      </c>
      <c r="H1348" s="2"/>
      <c r="I1348" s="2"/>
      <c r="J1348" s="2" t="s">
        <v>19</v>
      </c>
      <c r="K1348" s="2"/>
      <c r="L1348" s="2" t="s">
        <v>3671</v>
      </c>
    </row>
    <row r="1349" customFormat="false" ht="15.65" hidden="false" customHeight="true" outlineLevel="0" collapsed="false">
      <c r="A1349" s="5" t="str">
        <f aca="false">HYPERLINK("https://www.fabsurplus.com/sdi_catalog/salesItemDetails.do?id=109388")</f>
        <v>https://www.fabsurplus.com/sdi_catalog/salesItemDetails.do?id=109388</v>
      </c>
      <c r="B1349" s="5" t="s">
        <v>3672</v>
      </c>
      <c r="C1349" s="5" t="s">
        <v>3667</v>
      </c>
      <c r="D1349" s="5" t="s">
        <v>3668</v>
      </c>
      <c r="E1349" s="5" t="s">
        <v>103</v>
      </c>
      <c r="F1349" s="5" t="s">
        <v>16</v>
      </c>
      <c r="G1349" s="5" t="s">
        <v>104</v>
      </c>
      <c r="H1349" s="5"/>
      <c r="I1349" s="5"/>
      <c r="J1349" s="5" t="s">
        <v>19</v>
      </c>
      <c r="K1349" s="5"/>
      <c r="L1349" s="5" t="s">
        <v>3673</v>
      </c>
    </row>
    <row r="1350" customFormat="false" ht="15.65" hidden="false" customHeight="true" outlineLevel="0" collapsed="false">
      <c r="A1350" s="2" t="str">
        <f aca="false">HYPERLINK("https://www.fabsurplus.com/sdi_catalog/salesItemDetails.do?id=109389")</f>
        <v>https://www.fabsurplus.com/sdi_catalog/salesItemDetails.do?id=109389</v>
      </c>
      <c r="B1350" s="2" t="s">
        <v>3674</v>
      </c>
      <c r="C1350" s="2" t="s">
        <v>3667</v>
      </c>
      <c r="D1350" s="2" t="s">
        <v>3675</v>
      </c>
      <c r="E1350" s="2" t="s">
        <v>103</v>
      </c>
      <c r="F1350" s="2" t="s">
        <v>16</v>
      </c>
      <c r="G1350" s="2" t="s">
        <v>104</v>
      </c>
      <c r="H1350" s="2"/>
      <c r="I1350" s="2"/>
      <c r="J1350" s="2" t="s">
        <v>19</v>
      </c>
      <c r="K1350" s="2"/>
      <c r="L1350" s="2" t="s">
        <v>3676</v>
      </c>
    </row>
    <row r="1351" customFormat="false" ht="15.65" hidden="false" customHeight="true" outlineLevel="0" collapsed="false">
      <c r="A1351" s="5" t="str">
        <f aca="false">HYPERLINK("https://www.fabsurplus.com/sdi_catalog/salesItemDetails.do?id=53025")</f>
        <v>https://www.fabsurplus.com/sdi_catalog/salesItemDetails.do?id=53025</v>
      </c>
      <c r="B1351" s="5" t="s">
        <v>3677</v>
      </c>
      <c r="C1351" s="5" t="s">
        <v>3678</v>
      </c>
      <c r="D1351" s="5" t="s">
        <v>3679</v>
      </c>
      <c r="E1351" s="5" t="s">
        <v>3680</v>
      </c>
      <c r="F1351" s="5" t="s">
        <v>16</v>
      </c>
      <c r="G1351" s="5" t="s">
        <v>97</v>
      </c>
      <c r="H1351" s="5" t="s">
        <v>18</v>
      </c>
      <c r="I1351" s="5"/>
      <c r="J1351" s="5" t="s">
        <v>19</v>
      </c>
      <c r="K1351" s="5" t="s">
        <v>20</v>
      </c>
      <c r="L1351" s="7" t="s">
        <v>3681</v>
      </c>
    </row>
    <row r="1352" customFormat="false" ht="15.65" hidden="false" customHeight="true" outlineLevel="0" collapsed="false">
      <c r="A1352" s="2" t="str">
        <f aca="false">HYPERLINK("https://www.fabsurplus.com/sdi_catalog/salesItemDetails.do?id=82179")</f>
        <v>https://www.fabsurplus.com/sdi_catalog/salesItemDetails.do?id=82179</v>
      </c>
      <c r="B1352" s="2" t="s">
        <v>3682</v>
      </c>
      <c r="C1352" s="2" t="s">
        <v>3683</v>
      </c>
      <c r="D1352" s="2" t="s">
        <v>3684</v>
      </c>
      <c r="E1352" s="2" t="s">
        <v>3685</v>
      </c>
      <c r="F1352" s="2" t="s">
        <v>16</v>
      </c>
      <c r="G1352" s="2"/>
      <c r="H1352" s="2" t="s">
        <v>1395</v>
      </c>
      <c r="I1352" s="2"/>
      <c r="J1352" s="2" t="s">
        <v>19</v>
      </c>
      <c r="K1352" s="2" t="s">
        <v>20</v>
      </c>
      <c r="L1352" s="4" t="s">
        <v>3686</v>
      </c>
    </row>
    <row r="1353" customFormat="false" ht="15.65" hidden="false" customHeight="true" outlineLevel="0" collapsed="false">
      <c r="A1353" s="5" t="str">
        <f aca="false">HYPERLINK("https://www.fabsurplus.com/sdi_catalog/salesItemDetails.do?id=84021")</f>
        <v>https://www.fabsurplus.com/sdi_catalog/salesItemDetails.do?id=84021</v>
      </c>
      <c r="B1353" s="5" t="s">
        <v>3687</v>
      </c>
      <c r="C1353" s="5" t="s">
        <v>3688</v>
      </c>
      <c r="D1353" s="5" t="s">
        <v>3689</v>
      </c>
      <c r="E1353" s="5" t="s">
        <v>3690</v>
      </c>
      <c r="F1353" s="5" t="s">
        <v>16</v>
      </c>
      <c r="G1353" s="5"/>
      <c r="H1353" s="5" t="s">
        <v>98</v>
      </c>
      <c r="I1353" s="5"/>
      <c r="J1353" s="5" t="s">
        <v>19</v>
      </c>
      <c r="K1353" s="5" t="s">
        <v>20</v>
      </c>
      <c r="L1353" s="5" t="s">
        <v>3691</v>
      </c>
    </row>
    <row r="1354" customFormat="false" ht="15.65" hidden="false" customHeight="true" outlineLevel="0" collapsed="false">
      <c r="A1354" s="2" t="str">
        <f aca="false">HYPERLINK("https://www.fabsurplus.com/sdi_catalog/salesItemDetails.do?id=21665")</f>
        <v>https://www.fabsurplus.com/sdi_catalog/salesItemDetails.do?id=21665</v>
      </c>
      <c r="B1354" s="2" t="s">
        <v>3692</v>
      </c>
      <c r="C1354" s="2" t="s">
        <v>3693</v>
      </c>
      <c r="D1354" s="2" t="s">
        <v>3694</v>
      </c>
      <c r="E1354" s="2" t="s">
        <v>3695</v>
      </c>
      <c r="F1354" s="2" t="s">
        <v>16</v>
      </c>
      <c r="G1354" s="2" t="s">
        <v>165</v>
      </c>
      <c r="H1354" s="2" t="s">
        <v>32</v>
      </c>
      <c r="I1354" s="3" t="n">
        <v>35095.9583333333</v>
      </c>
      <c r="J1354" s="2" t="s">
        <v>19</v>
      </c>
      <c r="K1354" s="2" t="s">
        <v>20</v>
      </c>
      <c r="L1354" s="2" t="s">
        <v>3696</v>
      </c>
    </row>
    <row r="1355" customFormat="false" ht="15.65" hidden="false" customHeight="true" outlineLevel="0" collapsed="false">
      <c r="A1355" s="5" t="str">
        <f aca="false">HYPERLINK("https://www.fabsurplus.com/sdi_catalog/salesItemDetails.do?id=108741")</f>
        <v>https://www.fabsurplus.com/sdi_catalog/salesItemDetails.do?id=108741</v>
      </c>
      <c r="B1355" s="5" t="s">
        <v>3697</v>
      </c>
      <c r="C1355" s="5" t="s">
        <v>3698</v>
      </c>
      <c r="D1355" s="5"/>
      <c r="E1355" s="5" t="s">
        <v>3699</v>
      </c>
      <c r="F1355" s="5" t="s">
        <v>250</v>
      </c>
      <c r="G1355" s="5" t="s">
        <v>2803</v>
      </c>
      <c r="H1355" s="5" t="s">
        <v>18</v>
      </c>
      <c r="I1355" s="5"/>
      <c r="J1355" s="5" t="s">
        <v>19</v>
      </c>
      <c r="K1355" s="5" t="s">
        <v>20</v>
      </c>
      <c r="L1355" s="7" t="s">
        <v>3700</v>
      </c>
    </row>
    <row r="1356" customFormat="false" ht="15.65" hidden="false" customHeight="true" outlineLevel="0" collapsed="false">
      <c r="A1356" s="2" t="str">
        <f aca="false">HYPERLINK("https://www.fabsurplus.com/sdi_catalog/salesItemDetails.do?id=99395")</f>
        <v>https://www.fabsurplus.com/sdi_catalog/salesItemDetails.do?id=99395</v>
      </c>
      <c r="B1356" s="2" t="s">
        <v>3701</v>
      </c>
      <c r="C1356" s="2" t="s">
        <v>3702</v>
      </c>
      <c r="D1356" s="2" t="s">
        <v>3703</v>
      </c>
      <c r="E1356" s="2" t="s">
        <v>3704</v>
      </c>
      <c r="F1356" s="2" t="s">
        <v>16</v>
      </c>
      <c r="G1356" s="2"/>
      <c r="H1356" s="2" t="s">
        <v>32</v>
      </c>
      <c r="I1356" s="3" t="n">
        <v>34730.9583333333</v>
      </c>
      <c r="J1356" s="2" t="s">
        <v>19</v>
      </c>
      <c r="K1356" s="2" t="s">
        <v>20</v>
      </c>
      <c r="L1356" s="4" t="s">
        <v>3705</v>
      </c>
    </row>
    <row r="1357" customFormat="false" ht="15.65" hidden="false" customHeight="true" outlineLevel="0" collapsed="false">
      <c r="A1357" s="5" t="str">
        <f aca="false">HYPERLINK("https://www.fabsurplus.com/sdi_catalog/salesItemDetails.do?id=13143")</f>
        <v>https://www.fabsurplus.com/sdi_catalog/salesItemDetails.do?id=13143</v>
      </c>
      <c r="B1357" s="5" t="s">
        <v>3706</v>
      </c>
      <c r="C1357" s="5" t="s">
        <v>3707</v>
      </c>
      <c r="D1357" s="5" t="s">
        <v>3708</v>
      </c>
      <c r="E1357" s="5" t="s">
        <v>96</v>
      </c>
      <c r="F1357" s="5" t="s">
        <v>151</v>
      </c>
      <c r="G1357" s="5" t="s">
        <v>165</v>
      </c>
      <c r="H1357" s="5" t="s">
        <v>98</v>
      </c>
      <c r="I1357" s="5"/>
      <c r="J1357" s="5" t="s">
        <v>19</v>
      </c>
      <c r="K1357" s="5" t="s">
        <v>20</v>
      </c>
      <c r="L1357" s="7" t="s">
        <v>3709</v>
      </c>
    </row>
    <row r="1358" customFormat="false" ht="15.65" hidden="false" customHeight="true" outlineLevel="0" collapsed="false">
      <c r="A1358" s="2" t="str">
        <f aca="false">HYPERLINK("https://www.fabsurplus.com/sdi_catalog/salesItemDetails.do?id=108742")</f>
        <v>https://www.fabsurplus.com/sdi_catalog/salesItemDetails.do?id=108742</v>
      </c>
      <c r="B1358" s="2" t="s">
        <v>3710</v>
      </c>
      <c r="C1358" s="2" t="s">
        <v>3711</v>
      </c>
      <c r="D1358" s="2" t="s">
        <v>3712</v>
      </c>
      <c r="E1358" s="2" t="s">
        <v>3713</v>
      </c>
      <c r="F1358" s="2" t="s">
        <v>16</v>
      </c>
      <c r="G1358" s="2"/>
      <c r="H1358" s="2"/>
      <c r="I1358" s="2"/>
      <c r="J1358" s="2" t="s">
        <v>19</v>
      </c>
      <c r="K1358" s="2"/>
      <c r="L1358" s="2"/>
    </row>
    <row r="1359" customFormat="false" ht="15.65" hidden="false" customHeight="true" outlineLevel="0" collapsed="false">
      <c r="A1359" s="5" t="str">
        <f aca="false">HYPERLINK("https://www.fabsurplus.com/sdi_catalog/salesItemDetails.do?id=109533")</f>
        <v>https://www.fabsurplus.com/sdi_catalog/salesItemDetails.do?id=109533</v>
      </c>
      <c r="B1359" s="5" t="s">
        <v>3714</v>
      </c>
      <c r="C1359" s="5" t="s">
        <v>3715</v>
      </c>
      <c r="D1359" s="5" t="s">
        <v>3716</v>
      </c>
      <c r="E1359" s="5" t="s">
        <v>3717</v>
      </c>
      <c r="F1359" s="5" t="s">
        <v>16</v>
      </c>
      <c r="G1359" s="5" t="s">
        <v>3718</v>
      </c>
      <c r="H1359" s="5" t="s">
        <v>32</v>
      </c>
      <c r="I1359" s="6" t="n">
        <v>41061</v>
      </c>
      <c r="J1359" s="5" t="s">
        <v>19</v>
      </c>
      <c r="K1359" s="5" t="s">
        <v>20</v>
      </c>
      <c r="L1359" s="7" t="s">
        <v>3719</v>
      </c>
    </row>
    <row r="1360" customFormat="false" ht="15.65" hidden="false" customHeight="true" outlineLevel="0" collapsed="false">
      <c r="A1360" s="2" t="str">
        <f aca="false">HYPERLINK("https://www.fabsurplus.com/sdi_catalog/salesItemDetails.do?id=78638")</f>
        <v>https://www.fabsurplus.com/sdi_catalog/salesItemDetails.do?id=78638</v>
      </c>
      <c r="B1360" s="2" t="s">
        <v>3720</v>
      </c>
      <c r="C1360" s="2" t="s">
        <v>3721</v>
      </c>
      <c r="D1360" s="2" t="s">
        <v>3722</v>
      </c>
      <c r="E1360" s="2" t="s">
        <v>3723</v>
      </c>
      <c r="F1360" s="2" t="s">
        <v>16</v>
      </c>
      <c r="G1360" s="2" t="s">
        <v>565</v>
      </c>
      <c r="H1360" s="2" t="s">
        <v>453</v>
      </c>
      <c r="I1360" s="2"/>
      <c r="J1360" s="2" t="s">
        <v>19</v>
      </c>
      <c r="K1360" s="2" t="s">
        <v>20</v>
      </c>
      <c r="L1360" s="4" t="s">
        <v>3724</v>
      </c>
    </row>
    <row r="1361" customFormat="false" ht="15.65" hidden="false" customHeight="true" outlineLevel="0" collapsed="false">
      <c r="A1361" s="5" t="str">
        <f aca="false">HYPERLINK("https://www.fabsurplus.com/sdi_catalog/salesItemDetails.do?id=87089")</f>
        <v>https://www.fabsurplus.com/sdi_catalog/salesItemDetails.do?id=87089</v>
      </c>
      <c r="B1361" s="5" t="s">
        <v>3725</v>
      </c>
      <c r="C1361" s="5" t="s">
        <v>3721</v>
      </c>
      <c r="D1361" s="5" t="s">
        <v>3726</v>
      </c>
      <c r="E1361" s="5" t="s">
        <v>3727</v>
      </c>
      <c r="F1361" s="5" t="s">
        <v>16</v>
      </c>
      <c r="G1361" s="5" t="s">
        <v>392</v>
      </c>
      <c r="H1361" s="5" t="s">
        <v>18</v>
      </c>
      <c r="I1361" s="6" t="n">
        <v>37560.9583333333</v>
      </c>
      <c r="J1361" s="5" t="s">
        <v>19</v>
      </c>
      <c r="K1361" s="5" t="s">
        <v>20</v>
      </c>
      <c r="L1361" s="7" t="s">
        <v>3728</v>
      </c>
    </row>
    <row r="1362" customFormat="false" ht="15.65" hidden="false" customHeight="true" outlineLevel="0" collapsed="false">
      <c r="A1362" s="2" t="str">
        <f aca="false">HYPERLINK("https://www.fabsurplus.com/sdi_catalog/salesItemDetails.do?id=84278")</f>
        <v>https://www.fabsurplus.com/sdi_catalog/salesItemDetails.do?id=84278</v>
      </c>
      <c r="B1362" s="2" t="s">
        <v>3729</v>
      </c>
      <c r="C1362" s="2" t="s">
        <v>3721</v>
      </c>
      <c r="D1362" s="2" t="s">
        <v>3730</v>
      </c>
      <c r="E1362" s="2" t="s">
        <v>3731</v>
      </c>
      <c r="F1362" s="2" t="s">
        <v>151</v>
      </c>
      <c r="G1362" s="2" t="s">
        <v>104</v>
      </c>
      <c r="H1362" s="2" t="s">
        <v>18</v>
      </c>
      <c r="I1362" s="3" t="n">
        <v>36161</v>
      </c>
      <c r="J1362" s="2" t="s">
        <v>19</v>
      </c>
      <c r="K1362" s="2" t="s">
        <v>20</v>
      </c>
      <c r="L1362" s="4" t="s">
        <v>3732</v>
      </c>
    </row>
    <row r="1363" customFormat="false" ht="15.65" hidden="false" customHeight="true" outlineLevel="0" collapsed="false">
      <c r="A1363" s="5" t="str">
        <f aca="false">HYPERLINK("https://www.fabsurplus.com/sdi_catalog/salesItemDetails.do?id=84279")</f>
        <v>https://www.fabsurplus.com/sdi_catalog/salesItemDetails.do?id=84279</v>
      </c>
      <c r="B1363" s="5" t="s">
        <v>3733</v>
      </c>
      <c r="C1363" s="5" t="s">
        <v>3721</v>
      </c>
      <c r="D1363" s="5" t="s">
        <v>3734</v>
      </c>
      <c r="E1363" s="5" t="s">
        <v>3735</v>
      </c>
      <c r="F1363" s="5" t="s">
        <v>16</v>
      </c>
      <c r="G1363" s="5" t="s">
        <v>104</v>
      </c>
      <c r="H1363" s="5" t="s">
        <v>18</v>
      </c>
      <c r="I1363" s="6" t="n">
        <v>36161</v>
      </c>
      <c r="J1363" s="5" t="s">
        <v>19</v>
      </c>
      <c r="K1363" s="5" t="s">
        <v>20</v>
      </c>
      <c r="L1363" s="7" t="s">
        <v>3736</v>
      </c>
    </row>
    <row r="1364" customFormat="false" ht="15.65" hidden="false" customHeight="true" outlineLevel="0" collapsed="false">
      <c r="A1364" s="2" t="str">
        <f aca="false">HYPERLINK("https://www.fabsurplus.com/sdi_catalog/salesItemDetails.do?id=84280")</f>
        <v>https://www.fabsurplus.com/sdi_catalog/salesItemDetails.do?id=84280</v>
      </c>
      <c r="B1364" s="2" t="s">
        <v>3737</v>
      </c>
      <c r="C1364" s="2" t="s">
        <v>3721</v>
      </c>
      <c r="D1364" s="2" t="s">
        <v>3738</v>
      </c>
      <c r="E1364" s="2" t="s">
        <v>3731</v>
      </c>
      <c r="F1364" s="2" t="s">
        <v>16</v>
      </c>
      <c r="G1364" s="2" t="s">
        <v>104</v>
      </c>
      <c r="H1364" s="2" t="s">
        <v>18</v>
      </c>
      <c r="I1364" s="3" t="n">
        <v>36161</v>
      </c>
      <c r="J1364" s="2" t="s">
        <v>19</v>
      </c>
      <c r="K1364" s="2" t="s">
        <v>20</v>
      </c>
      <c r="L1364" s="4" t="s">
        <v>3739</v>
      </c>
    </row>
    <row r="1365" customFormat="false" ht="15.65" hidden="false" customHeight="true" outlineLevel="0" collapsed="false">
      <c r="A1365" s="5" t="str">
        <f aca="false">HYPERLINK("https://www.fabsurplus.com/sdi_catalog/salesItemDetails.do?id=84281")</f>
        <v>https://www.fabsurplus.com/sdi_catalog/salesItemDetails.do?id=84281</v>
      </c>
      <c r="B1365" s="5" t="s">
        <v>3740</v>
      </c>
      <c r="C1365" s="5" t="s">
        <v>3721</v>
      </c>
      <c r="D1365" s="5" t="s">
        <v>3741</v>
      </c>
      <c r="E1365" s="5" t="s">
        <v>3742</v>
      </c>
      <c r="F1365" s="5" t="s">
        <v>16</v>
      </c>
      <c r="G1365" s="5"/>
      <c r="H1365" s="5" t="s">
        <v>18</v>
      </c>
      <c r="I1365" s="6" t="n">
        <v>36161</v>
      </c>
      <c r="J1365" s="5" t="s">
        <v>19</v>
      </c>
      <c r="K1365" s="5" t="s">
        <v>20</v>
      </c>
      <c r="L1365" s="7" t="s">
        <v>3743</v>
      </c>
    </row>
    <row r="1366" customFormat="false" ht="15.65" hidden="false" customHeight="true" outlineLevel="0" collapsed="false">
      <c r="A1366" s="2" t="str">
        <f aca="false">HYPERLINK("https://www.fabsurplus.com/sdi_catalog/salesItemDetails.do?id=80211")</f>
        <v>https://www.fabsurplus.com/sdi_catalog/salesItemDetails.do?id=80211</v>
      </c>
      <c r="B1366" s="2" t="s">
        <v>3744</v>
      </c>
      <c r="C1366" s="2" t="s">
        <v>3721</v>
      </c>
      <c r="D1366" s="2" t="s">
        <v>3745</v>
      </c>
      <c r="E1366" s="2" t="s">
        <v>3746</v>
      </c>
      <c r="F1366" s="2" t="s">
        <v>151</v>
      </c>
      <c r="G1366" s="2"/>
      <c r="H1366" s="2" t="s">
        <v>18</v>
      </c>
      <c r="I1366" s="2"/>
      <c r="J1366" s="2" t="s">
        <v>19</v>
      </c>
      <c r="K1366" s="2" t="s">
        <v>20</v>
      </c>
      <c r="L1366" s="4" t="s">
        <v>3747</v>
      </c>
    </row>
    <row r="1367" customFormat="false" ht="15.65" hidden="false" customHeight="true" outlineLevel="0" collapsed="false">
      <c r="A1367" s="5" t="str">
        <f aca="false">HYPERLINK("https://www.fabsurplus.com/sdi_catalog/salesItemDetails.do?id=83559")</f>
        <v>https://www.fabsurplus.com/sdi_catalog/salesItemDetails.do?id=83559</v>
      </c>
      <c r="B1367" s="5" t="s">
        <v>3748</v>
      </c>
      <c r="C1367" s="5" t="s">
        <v>3721</v>
      </c>
      <c r="D1367" s="5" t="s">
        <v>3749</v>
      </c>
      <c r="E1367" s="5" t="s">
        <v>3750</v>
      </c>
      <c r="F1367" s="5" t="s">
        <v>86</v>
      </c>
      <c r="G1367" s="5" t="s">
        <v>104</v>
      </c>
      <c r="H1367" s="5" t="s">
        <v>18</v>
      </c>
      <c r="I1367" s="6" t="n">
        <v>36161</v>
      </c>
      <c r="J1367" s="5" t="s">
        <v>19</v>
      </c>
      <c r="K1367" s="5" t="s">
        <v>20</v>
      </c>
      <c r="L1367" s="7" t="s">
        <v>3751</v>
      </c>
    </row>
    <row r="1368" customFormat="false" ht="15.65" hidden="false" customHeight="true" outlineLevel="0" collapsed="false">
      <c r="A1368" s="2" t="str">
        <f aca="false">HYPERLINK("https://www.fabsurplus.com/sdi_catalog/salesItemDetails.do?id=83819")</f>
        <v>https://www.fabsurplus.com/sdi_catalog/salesItemDetails.do?id=83819</v>
      </c>
      <c r="B1368" s="2" t="s">
        <v>3752</v>
      </c>
      <c r="C1368" s="2" t="s">
        <v>3721</v>
      </c>
      <c r="D1368" s="2" t="s">
        <v>3753</v>
      </c>
      <c r="E1368" s="2" t="s">
        <v>3754</v>
      </c>
      <c r="F1368" s="2" t="s">
        <v>16</v>
      </c>
      <c r="G1368" s="2" t="s">
        <v>104</v>
      </c>
      <c r="H1368" s="2" t="s">
        <v>18</v>
      </c>
      <c r="I1368" s="3" t="n">
        <v>36161</v>
      </c>
      <c r="J1368" s="2" t="s">
        <v>19</v>
      </c>
      <c r="K1368" s="2" t="s">
        <v>20</v>
      </c>
      <c r="L1368" s="4" t="s">
        <v>3755</v>
      </c>
    </row>
    <row r="1369" customFormat="false" ht="15.65" hidden="false" customHeight="true" outlineLevel="0" collapsed="false">
      <c r="A1369" s="5" t="str">
        <f aca="false">HYPERLINK("https://www.fabsurplus.com/sdi_catalog/salesItemDetails.do?id=84099")</f>
        <v>https://www.fabsurplus.com/sdi_catalog/salesItemDetails.do?id=84099</v>
      </c>
      <c r="B1369" s="5" t="s">
        <v>3756</v>
      </c>
      <c r="C1369" s="5" t="s">
        <v>3721</v>
      </c>
      <c r="D1369" s="5" t="s">
        <v>3757</v>
      </c>
      <c r="E1369" s="5" t="s">
        <v>3758</v>
      </c>
      <c r="F1369" s="5" t="s">
        <v>16</v>
      </c>
      <c r="G1369" s="5" t="s">
        <v>104</v>
      </c>
      <c r="H1369" s="5" t="s">
        <v>32</v>
      </c>
      <c r="I1369" s="6" t="n">
        <v>36342</v>
      </c>
      <c r="J1369" s="5" t="s">
        <v>19</v>
      </c>
      <c r="K1369" s="5" t="s">
        <v>20</v>
      </c>
      <c r="L1369" s="7" t="s">
        <v>3759</v>
      </c>
    </row>
    <row r="1370" customFormat="false" ht="15.65" hidden="false" customHeight="true" outlineLevel="0" collapsed="false">
      <c r="A1370" s="2" t="str">
        <f aca="false">HYPERLINK("https://www.fabsurplus.com/sdi_catalog/salesItemDetails.do?id=80269")</f>
        <v>https://www.fabsurplus.com/sdi_catalog/salesItemDetails.do?id=80269</v>
      </c>
      <c r="B1370" s="2" t="s">
        <v>3760</v>
      </c>
      <c r="C1370" s="2" t="s">
        <v>3721</v>
      </c>
      <c r="D1370" s="2" t="s">
        <v>3761</v>
      </c>
      <c r="E1370" s="2" t="s">
        <v>3762</v>
      </c>
      <c r="F1370" s="2" t="s">
        <v>16</v>
      </c>
      <c r="G1370" s="2" t="s">
        <v>104</v>
      </c>
      <c r="H1370" s="2" t="s">
        <v>18</v>
      </c>
      <c r="I1370" s="3" t="n">
        <v>36342</v>
      </c>
      <c r="J1370" s="2" t="s">
        <v>19</v>
      </c>
      <c r="K1370" s="2" t="s">
        <v>20</v>
      </c>
      <c r="L1370" s="4" t="s">
        <v>3763</v>
      </c>
    </row>
    <row r="1371" customFormat="false" ht="15.65" hidden="false" customHeight="true" outlineLevel="0" collapsed="false">
      <c r="A1371" s="5" t="str">
        <f aca="false">HYPERLINK("https://www.fabsurplus.com/sdi_catalog/salesItemDetails.do?id=80270")</f>
        <v>https://www.fabsurplus.com/sdi_catalog/salesItemDetails.do?id=80270</v>
      </c>
      <c r="B1371" s="5" t="s">
        <v>3764</v>
      </c>
      <c r="C1371" s="5" t="s">
        <v>3721</v>
      </c>
      <c r="D1371" s="5" t="s">
        <v>3765</v>
      </c>
      <c r="E1371" s="5" t="s">
        <v>3766</v>
      </c>
      <c r="F1371" s="5" t="s">
        <v>16</v>
      </c>
      <c r="G1371" s="5" t="s">
        <v>165</v>
      </c>
      <c r="H1371" s="5" t="s">
        <v>18</v>
      </c>
      <c r="I1371" s="6" t="n">
        <v>36342</v>
      </c>
      <c r="J1371" s="5" t="s">
        <v>19</v>
      </c>
      <c r="K1371" s="5" t="s">
        <v>20</v>
      </c>
      <c r="L1371" s="7" t="s">
        <v>3767</v>
      </c>
    </row>
    <row r="1372" customFormat="false" ht="15.65" hidden="false" customHeight="true" outlineLevel="0" collapsed="false">
      <c r="A1372" s="2" t="str">
        <f aca="false">HYPERLINK("https://www.fabsurplus.com/sdi_catalog/salesItemDetails.do?id=80271")</f>
        <v>https://www.fabsurplus.com/sdi_catalog/salesItemDetails.do?id=80271</v>
      </c>
      <c r="B1372" s="2" t="s">
        <v>3768</v>
      </c>
      <c r="C1372" s="2" t="s">
        <v>3721</v>
      </c>
      <c r="D1372" s="2" t="s">
        <v>3769</v>
      </c>
      <c r="E1372" s="2" t="s">
        <v>3770</v>
      </c>
      <c r="F1372" s="2" t="s">
        <v>16</v>
      </c>
      <c r="G1372" s="2" t="s">
        <v>104</v>
      </c>
      <c r="H1372" s="2" t="s">
        <v>18</v>
      </c>
      <c r="I1372" s="3" t="n">
        <v>36342</v>
      </c>
      <c r="J1372" s="2" t="s">
        <v>19</v>
      </c>
      <c r="K1372" s="2" t="s">
        <v>20</v>
      </c>
      <c r="L1372" s="4" t="s">
        <v>3771</v>
      </c>
    </row>
    <row r="1373" customFormat="false" ht="15.65" hidden="false" customHeight="true" outlineLevel="0" collapsed="false">
      <c r="A1373" s="5" t="str">
        <f aca="false">HYPERLINK("https://www.fabsurplus.com/sdi_catalog/salesItemDetails.do?id=80272")</f>
        <v>https://www.fabsurplus.com/sdi_catalog/salesItemDetails.do?id=80272</v>
      </c>
      <c r="B1373" s="5" t="s">
        <v>3772</v>
      </c>
      <c r="C1373" s="5" t="s">
        <v>3721</v>
      </c>
      <c r="D1373" s="5" t="s">
        <v>3773</v>
      </c>
      <c r="E1373" s="5" t="s">
        <v>3774</v>
      </c>
      <c r="F1373" s="5" t="s">
        <v>16</v>
      </c>
      <c r="G1373" s="5" t="s">
        <v>97</v>
      </c>
      <c r="H1373" s="5" t="s">
        <v>18</v>
      </c>
      <c r="I1373" s="6" t="n">
        <v>36281</v>
      </c>
      <c r="J1373" s="5" t="s">
        <v>19</v>
      </c>
      <c r="K1373" s="5" t="s">
        <v>20</v>
      </c>
      <c r="L1373" s="7" t="s">
        <v>3775</v>
      </c>
    </row>
    <row r="1374" customFormat="false" ht="15.65" hidden="false" customHeight="true" outlineLevel="0" collapsed="false">
      <c r="A1374" s="2" t="str">
        <f aca="false">HYPERLINK("https://www.fabsurplus.com/sdi_catalog/salesItemDetails.do?id=80273")</f>
        <v>https://www.fabsurplus.com/sdi_catalog/salesItemDetails.do?id=80273</v>
      </c>
      <c r="B1374" s="2" t="s">
        <v>3776</v>
      </c>
      <c r="C1374" s="2" t="s">
        <v>3721</v>
      </c>
      <c r="D1374" s="2" t="s">
        <v>3777</v>
      </c>
      <c r="E1374" s="2" t="s">
        <v>3778</v>
      </c>
      <c r="F1374" s="2" t="s">
        <v>151</v>
      </c>
      <c r="G1374" s="2" t="s">
        <v>104</v>
      </c>
      <c r="H1374" s="2" t="s">
        <v>18</v>
      </c>
      <c r="I1374" s="3" t="n">
        <v>36251</v>
      </c>
      <c r="J1374" s="2" t="s">
        <v>19</v>
      </c>
      <c r="K1374" s="2" t="s">
        <v>20</v>
      </c>
      <c r="L1374" s="4" t="s">
        <v>3779</v>
      </c>
    </row>
    <row r="1375" customFormat="false" ht="15.65" hidden="false" customHeight="true" outlineLevel="0" collapsed="false">
      <c r="A1375" s="5" t="str">
        <f aca="false">HYPERLINK("https://www.fabsurplus.com/sdi_catalog/salesItemDetails.do?id=80274")</f>
        <v>https://www.fabsurplus.com/sdi_catalog/salesItemDetails.do?id=80274</v>
      </c>
      <c r="B1375" s="5" t="s">
        <v>3780</v>
      </c>
      <c r="C1375" s="5" t="s">
        <v>3721</v>
      </c>
      <c r="D1375" s="5" t="s">
        <v>3781</v>
      </c>
      <c r="E1375" s="5" t="s">
        <v>3782</v>
      </c>
      <c r="F1375" s="5" t="s">
        <v>16</v>
      </c>
      <c r="G1375" s="5"/>
      <c r="H1375" s="5" t="s">
        <v>32</v>
      </c>
      <c r="I1375" s="6" t="n">
        <v>36434</v>
      </c>
      <c r="J1375" s="5" t="s">
        <v>19</v>
      </c>
      <c r="K1375" s="5" t="s">
        <v>20</v>
      </c>
      <c r="L1375" s="5" t="s">
        <v>3783</v>
      </c>
    </row>
    <row r="1376" customFormat="false" ht="15.65" hidden="false" customHeight="true" outlineLevel="0" collapsed="false">
      <c r="A1376" s="2" t="str">
        <f aca="false">HYPERLINK("https://www.fabsurplus.com/sdi_catalog/salesItemDetails.do?id=81829")</f>
        <v>https://www.fabsurplus.com/sdi_catalog/salesItemDetails.do?id=81829</v>
      </c>
      <c r="B1376" s="2" t="s">
        <v>3784</v>
      </c>
      <c r="C1376" s="2" t="s">
        <v>3721</v>
      </c>
      <c r="D1376" s="2" t="s">
        <v>3785</v>
      </c>
      <c r="E1376" s="2" t="s">
        <v>3786</v>
      </c>
      <c r="F1376" s="2" t="s">
        <v>16</v>
      </c>
      <c r="G1376" s="2"/>
      <c r="H1376" s="2" t="s">
        <v>18</v>
      </c>
      <c r="I1376" s="3" t="n">
        <v>36312</v>
      </c>
      <c r="J1376" s="2" t="s">
        <v>19</v>
      </c>
      <c r="K1376" s="2" t="s">
        <v>20</v>
      </c>
      <c r="L1376" s="4" t="s">
        <v>3787</v>
      </c>
    </row>
    <row r="1377" customFormat="false" ht="15.65" hidden="false" customHeight="true" outlineLevel="0" collapsed="false">
      <c r="A1377" s="5" t="str">
        <f aca="false">HYPERLINK("https://www.fabsurplus.com/sdi_catalog/salesItemDetails.do?id=106924")</f>
        <v>https://www.fabsurplus.com/sdi_catalog/salesItemDetails.do?id=106924</v>
      </c>
      <c r="B1377" s="5" t="s">
        <v>3788</v>
      </c>
      <c r="C1377" s="5" t="s">
        <v>3721</v>
      </c>
      <c r="D1377" s="5" t="s">
        <v>3789</v>
      </c>
      <c r="E1377" s="5" t="s">
        <v>3790</v>
      </c>
      <c r="F1377" s="5" t="s">
        <v>561</v>
      </c>
      <c r="G1377" s="5" t="s">
        <v>165</v>
      </c>
      <c r="H1377" s="5" t="s">
        <v>18</v>
      </c>
      <c r="I1377" s="6" t="n">
        <v>36342</v>
      </c>
      <c r="J1377" s="5" t="s">
        <v>19</v>
      </c>
      <c r="K1377" s="5" t="s">
        <v>20</v>
      </c>
      <c r="L1377" s="7" t="s">
        <v>3791</v>
      </c>
    </row>
    <row r="1378" customFormat="false" ht="15.65" hidden="false" customHeight="true" outlineLevel="0" collapsed="false">
      <c r="A1378" s="2" t="str">
        <f aca="false">HYPERLINK("https://www.fabsurplus.com/sdi_catalog/salesItemDetails.do?id=106925")</f>
        <v>https://www.fabsurplus.com/sdi_catalog/salesItemDetails.do?id=106925</v>
      </c>
      <c r="B1378" s="2" t="s">
        <v>3792</v>
      </c>
      <c r="C1378" s="2" t="s">
        <v>3721</v>
      </c>
      <c r="D1378" s="2" t="s">
        <v>3793</v>
      </c>
      <c r="E1378" s="2" t="s">
        <v>3794</v>
      </c>
      <c r="F1378" s="2" t="s">
        <v>151</v>
      </c>
      <c r="G1378" s="2" t="s">
        <v>97</v>
      </c>
      <c r="H1378" s="2" t="s">
        <v>18</v>
      </c>
      <c r="I1378" s="3" t="n">
        <v>36008</v>
      </c>
      <c r="J1378" s="2" t="s">
        <v>19</v>
      </c>
      <c r="K1378" s="2" t="s">
        <v>20</v>
      </c>
      <c r="L1378" s="4" t="s">
        <v>3795</v>
      </c>
    </row>
    <row r="1379" customFormat="false" ht="15.65" hidden="false" customHeight="true" outlineLevel="0" collapsed="false">
      <c r="A1379" s="5" t="str">
        <f aca="false">HYPERLINK("https://www.fabsurplus.com/sdi_catalog/salesItemDetails.do?id=106926")</f>
        <v>https://www.fabsurplus.com/sdi_catalog/salesItemDetails.do?id=106926</v>
      </c>
      <c r="B1379" s="5" t="s">
        <v>3796</v>
      </c>
      <c r="C1379" s="5" t="s">
        <v>3721</v>
      </c>
      <c r="D1379" s="5" t="s">
        <v>3797</v>
      </c>
      <c r="E1379" s="5" t="s">
        <v>3798</v>
      </c>
      <c r="F1379" s="5" t="s">
        <v>16</v>
      </c>
      <c r="G1379" s="5" t="s">
        <v>104</v>
      </c>
      <c r="H1379" s="5" t="s">
        <v>18</v>
      </c>
      <c r="I1379" s="6" t="n">
        <v>36161</v>
      </c>
      <c r="J1379" s="5" t="s">
        <v>19</v>
      </c>
      <c r="K1379" s="5" t="s">
        <v>20</v>
      </c>
      <c r="L1379" s="7" t="s">
        <v>3799</v>
      </c>
    </row>
    <row r="1380" customFormat="false" ht="15.65" hidden="false" customHeight="true" outlineLevel="0" collapsed="false">
      <c r="A1380" s="2" t="str">
        <f aca="false">HYPERLINK("https://www.fabsurplus.com/sdi_catalog/salesItemDetails.do?id=83631")</f>
        <v>https://www.fabsurplus.com/sdi_catalog/salesItemDetails.do?id=83631</v>
      </c>
      <c r="B1380" s="2" t="s">
        <v>3800</v>
      </c>
      <c r="C1380" s="2" t="s">
        <v>3721</v>
      </c>
      <c r="D1380" s="2" t="s">
        <v>3801</v>
      </c>
      <c r="E1380" s="2" t="s">
        <v>3802</v>
      </c>
      <c r="F1380" s="2" t="s">
        <v>16</v>
      </c>
      <c r="G1380" s="2" t="s">
        <v>3803</v>
      </c>
      <c r="H1380" s="2" t="s">
        <v>18</v>
      </c>
      <c r="I1380" s="3" t="n">
        <v>35431</v>
      </c>
      <c r="J1380" s="2" t="s">
        <v>19</v>
      </c>
      <c r="K1380" s="2" t="s">
        <v>20</v>
      </c>
      <c r="L1380" s="4" t="s">
        <v>3804</v>
      </c>
    </row>
    <row r="1381" customFormat="false" ht="15.65" hidden="false" customHeight="true" outlineLevel="0" collapsed="false">
      <c r="A1381" s="5" t="str">
        <f aca="false">HYPERLINK("https://www.fabsurplus.com/sdi_catalog/salesItemDetails.do?id=106927")</f>
        <v>https://www.fabsurplus.com/sdi_catalog/salesItemDetails.do?id=106927</v>
      </c>
      <c r="B1381" s="5" t="s">
        <v>3805</v>
      </c>
      <c r="C1381" s="5" t="s">
        <v>3721</v>
      </c>
      <c r="D1381" s="5" t="s">
        <v>3806</v>
      </c>
      <c r="E1381" s="5" t="s">
        <v>3807</v>
      </c>
      <c r="F1381" s="5" t="s">
        <v>203</v>
      </c>
      <c r="G1381" s="5" t="s">
        <v>104</v>
      </c>
      <c r="H1381" s="5" t="s">
        <v>18</v>
      </c>
      <c r="I1381" s="5"/>
      <c r="J1381" s="5" t="s">
        <v>19</v>
      </c>
      <c r="K1381" s="5" t="s">
        <v>20</v>
      </c>
      <c r="L1381" s="7" t="s">
        <v>3808</v>
      </c>
    </row>
    <row r="1382" customFormat="false" ht="15.65" hidden="false" customHeight="true" outlineLevel="0" collapsed="false">
      <c r="A1382" s="2" t="str">
        <f aca="false">HYPERLINK("https://www.fabsurplus.com/sdi_catalog/salesItemDetails.do?id=106928")</f>
        <v>https://www.fabsurplus.com/sdi_catalog/salesItemDetails.do?id=106928</v>
      </c>
      <c r="B1382" s="2" t="s">
        <v>3809</v>
      </c>
      <c r="C1382" s="2" t="s">
        <v>3810</v>
      </c>
      <c r="D1382" s="2" t="s">
        <v>3811</v>
      </c>
      <c r="E1382" s="2" t="s">
        <v>3812</v>
      </c>
      <c r="F1382" s="2" t="s">
        <v>151</v>
      </c>
      <c r="G1382" s="2" t="s">
        <v>104</v>
      </c>
      <c r="H1382" s="2" t="s">
        <v>18</v>
      </c>
      <c r="I1382" s="3" t="n">
        <v>36161</v>
      </c>
      <c r="J1382" s="2" t="s">
        <v>19</v>
      </c>
      <c r="K1382" s="2" t="s">
        <v>20</v>
      </c>
      <c r="L1382" s="4" t="s">
        <v>3813</v>
      </c>
    </row>
    <row r="1383" customFormat="false" ht="15.65" hidden="false" customHeight="true" outlineLevel="0" collapsed="false">
      <c r="A1383" s="5" t="str">
        <f aca="false">HYPERLINK("https://www.fabsurplus.com/sdi_catalog/salesItemDetails.do?id=106929")</f>
        <v>https://www.fabsurplus.com/sdi_catalog/salesItemDetails.do?id=106929</v>
      </c>
      <c r="B1383" s="5" t="s">
        <v>3814</v>
      </c>
      <c r="C1383" s="5" t="s">
        <v>3721</v>
      </c>
      <c r="D1383" s="5" t="s">
        <v>3815</v>
      </c>
      <c r="E1383" s="5" t="s">
        <v>3816</v>
      </c>
      <c r="F1383" s="5" t="s">
        <v>151</v>
      </c>
      <c r="G1383" s="5" t="s">
        <v>104</v>
      </c>
      <c r="H1383" s="5" t="s">
        <v>18</v>
      </c>
      <c r="I1383" s="6" t="n">
        <v>36161</v>
      </c>
      <c r="J1383" s="5" t="s">
        <v>19</v>
      </c>
      <c r="K1383" s="5" t="s">
        <v>20</v>
      </c>
      <c r="L1383" s="7" t="s">
        <v>3817</v>
      </c>
    </row>
    <row r="1384" customFormat="false" ht="15.65" hidden="false" customHeight="true" outlineLevel="0" collapsed="false">
      <c r="A1384" s="2" t="str">
        <f aca="false">HYPERLINK("https://www.fabsurplus.com/sdi_catalog/salesItemDetails.do?id=106930")</f>
        <v>https://www.fabsurplus.com/sdi_catalog/salesItemDetails.do?id=106930</v>
      </c>
      <c r="B1384" s="2" t="s">
        <v>3818</v>
      </c>
      <c r="C1384" s="2" t="s">
        <v>3721</v>
      </c>
      <c r="D1384" s="2" t="s">
        <v>3819</v>
      </c>
      <c r="E1384" s="2" t="s">
        <v>3820</v>
      </c>
      <c r="F1384" s="2" t="s">
        <v>16</v>
      </c>
      <c r="G1384" s="2" t="s">
        <v>104</v>
      </c>
      <c r="H1384" s="2" t="s">
        <v>18</v>
      </c>
      <c r="I1384" s="3" t="n">
        <v>36312</v>
      </c>
      <c r="J1384" s="2" t="s">
        <v>19</v>
      </c>
      <c r="K1384" s="2"/>
      <c r="L1384" s="2" t="s">
        <v>3821</v>
      </c>
    </row>
    <row r="1385" customFormat="false" ht="15.65" hidden="false" customHeight="true" outlineLevel="0" collapsed="false">
      <c r="A1385" s="5" t="str">
        <f aca="false">HYPERLINK("https://www.fabsurplus.com/sdi_catalog/salesItemDetails.do?id=106931")</f>
        <v>https://www.fabsurplus.com/sdi_catalog/salesItemDetails.do?id=106931</v>
      </c>
      <c r="B1385" s="5" t="s">
        <v>3822</v>
      </c>
      <c r="C1385" s="5" t="s">
        <v>3721</v>
      </c>
      <c r="D1385" s="5" t="s">
        <v>3781</v>
      </c>
      <c r="E1385" s="5" t="s">
        <v>3823</v>
      </c>
      <c r="F1385" s="5" t="s">
        <v>16</v>
      </c>
      <c r="G1385" s="5" t="s">
        <v>97</v>
      </c>
      <c r="H1385" s="5" t="s">
        <v>32</v>
      </c>
      <c r="I1385" s="6" t="n">
        <v>36434</v>
      </c>
      <c r="J1385" s="5" t="s">
        <v>19</v>
      </c>
      <c r="K1385" s="5" t="s">
        <v>20</v>
      </c>
      <c r="L1385" s="5" t="s">
        <v>3783</v>
      </c>
    </row>
    <row r="1386" customFormat="false" ht="15.65" hidden="false" customHeight="true" outlineLevel="0" collapsed="false">
      <c r="A1386" s="2" t="str">
        <f aca="false">HYPERLINK("https://www.fabsurplus.com/sdi_catalog/salesItemDetails.do?id=106932")</f>
        <v>https://www.fabsurplus.com/sdi_catalog/salesItemDetails.do?id=106932</v>
      </c>
      <c r="B1386" s="2" t="s">
        <v>3824</v>
      </c>
      <c r="C1386" s="2" t="s">
        <v>3721</v>
      </c>
      <c r="D1386" s="2" t="s">
        <v>3825</v>
      </c>
      <c r="E1386" s="2" t="s">
        <v>3826</v>
      </c>
      <c r="F1386" s="2" t="s">
        <v>16</v>
      </c>
      <c r="G1386" s="2" t="s">
        <v>165</v>
      </c>
      <c r="H1386" s="2" t="s">
        <v>18</v>
      </c>
      <c r="I1386" s="3" t="n">
        <v>36342</v>
      </c>
      <c r="J1386" s="2" t="s">
        <v>19</v>
      </c>
      <c r="K1386" s="2" t="s">
        <v>20</v>
      </c>
      <c r="L1386" s="2"/>
    </row>
    <row r="1387" customFormat="false" ht="15.65" hidden="false" customHeight="true" outlineLevel="0" collapsed="false">
      <c r="A1387" s="5" t="str">
        <f aca="false">HYPERLINK("https://www.fabsurplus.com/sdi_catalog/salesItemDetails.do?id=106933")</f>
        <v>https://www.fabsurplus.com/sdi_catalog/salesItemDetails.do?id=106933</v>
      </c>
      <c r="B1387" s="5" t="s">
        <v>3827</v>
      </c>
      <c r="C1387" s="5" t="s">
        <v>3721</v>
      </c>
      <c r="D1387" s="5" t="s">
        <v>3765</v>
      </c>
      <c r="E1387" s="5" t="s">
        <v>3828</v>
      </c>
      <c r="F1387" s="5" t="s">
        <v>16</v>
      </c>
      <c r="G1387" s="5" t="s">
        <v>104</v>
      </c>
      <c r="H1387" s="5" t="s">
        <v>18</v>
      </c>
      <c r="I1387" s="6" t="n">
        <v>36342</v>
      </c>
      <c r="J1387" s="5" t="s">
        <v>19</v>
      </c>
      <c r="K1387" s="5" t="s">
        <v>20</v>
      </c>
      <c r="L1387" s="7" t="s">
        <v>3829</v>
      </c>
    </row>
    <row r="1388" customFormat="false" ht="15.65" hidden="false" customHeight="true" outlineLevel="0" collapsed="false">
      <c r="A1388" s="2" t="str">
        <f aca="false">HYPERLINK("https://www.fabsurplus.com/sdi_catalog/salesItemDetails.do?id=106934")</f>
        <v>https://www.fabsurplus.com/sdi_catalog/salesItemDetails.do?id=106934</v>
      </c>
      <c r="B1388" s="2" t="s">
        <v>3830</v>
      </c>
      <c r="C1388" s="2" t="s">
        <v>3721</v>
      </c>
      <c r="D1388" s="2" t="s">
        <v>3769</v>
      </c>
      <c r="E1388" s="2" t="s">
        <v>3770</v>
      </c>
      <c r="F1388" s="2" t="s">
        <v>16</v>
      </c>
      <c r="G1388" s="2" t="s">
        <v>104</v>
      </c>
      <c r="H1388" s="2" t="s">
        <v>18</v>
      </c>
      <c r="I1388" s="3" t="n">
        <v>36342</v>
      </c>
      <c r="J1388" s="2" t="s">
        <v>19</v>
      </c>
      <c r="K1388" s="2" t="s">
        <v>20</v>
      </c>
      <c r="L1388" s="2" t="s">
        <v>3831</v>
      </c>
    </row>
    <row r="1389" customFormat="false" ht="15.65" hidden="false" customHeight="true" outlineLevel="0" collapsed="false">
      <c r="A1389" s="5" t="str">
        <f aca="false">HYPERLINK("https://www.fabsurplus.com/sdi_catalog/salesItemDetails.do?id=80311")</f>
        <v>https://www.fabsurplus.com/sdi_catalog/salesItemDetails.do?id=80311</v>
      </c>
      <c r="B1389" s="5" t="s">
        <v>3832</v>
      </c>
      <c r="C1389" s="5" t="s">
        <v>3721</v>
      </c>
      <c r="D1389" s="5" t="s">
        <v>3833</v>
      </c>
      <c r="E1389" s="5" t="s">
        <v>3834</v>
      </c>
      <c r="F1389" s="5" t="s">
        <v>321</v>
      </c>
      <c r="G1389" s="5"/>
      <c r="H1389" s="5" t="s">
        <v>18</v>
      </c>
      <c r="I1389" s="6" t="n">
        <v>36161</v>
      </c>
      <c r="J1389" s="5" t="s">
        <v>19</v>
      </c>
      <c r="K1389" s="5" t="s">
        <v>20</v>
      </c>
      <c r="L1389" s="7" t="s">
        <v>3835</v>
      </c>
    </row>
    <row r="1390" customFormat="false" ht="15.65" hidden="false" customHeight="true" outlineLevel="0" collapsed="false">
      <c r="A1390" s="2" t="str">
        <f aca="false">HYPERLINK("https://www.fabsurplus.com/sdi_catalog/salesItemDetails.do?id=106935")</f>
        <v>https://www.fabsurplus.com/sdi_catalog/salesItemDetails.do?id=106935</v>
      </c>
      <c r="B1390" s="2" t="s">
        <v>3836</v>
      </c>
      <c r="C1390" s="2" t="s">
        <v>3721</v>
      </c>
      <c r="D1390" s="2" t="s">
        <v>3773</v>
      </c>
      <c r="E1390" s="2" t="s">
        <v>3774</v>
      </c>
      <c r="F1390" s="2" t="s">
        <v>151</v>
      </c>
      <c r="G1390" s="2" t="s">
        <v>104</v>
      </c>
      <c r="H1390" s="2" t="s">
        <v>18</v>
      </c>
      <c r="I1390" s="3" t="n">
        <v>36281</v>
      </c>
      <c r="J1390" s="2" t="s">
        <v>19</v>
      </c>
      <c r="K1390" s="2" t="s">
        <v>20</v>
      </c>
      <c r="L1390" s="2" t="s">
        <v>3837</v>
      </c>
    </row>
    <row r="1391" customFormat="false" ht="15.65" hidden="false" customHeight="true" outlineLevel="0" collapsed="false">
      <c r="A1391" s="5" t="str">
        <f aca="false">HYPERLINK("https://www.fabsurplus.com/sdi_catalog/salesItemDetails.do?id=80312")</f>
        <v>https://www.fabsurplus.com/sdi_catalog/salesItemDetails.do?id=80312</v>
      </c>
      <c r="B1391" s="5" t="s">
        <v>3838</v>
      </c>
      <c r="C1391" s="5" t="s">
        <v>3721</v>
      </c>
      <c r="D1391" s="5" t="s">
        <v>3839</v>
      </c>
      <c r="E1391" s="5" t="s">
        <v>3790</v>
      </c>
      <c r="F1391" s="5" t="s">
        <v>3840</v>
      </c>
      <c r="G1391" s="5" t="s">
        <v>104</v>
      </c>
      <c r="H1391" s="5" t="s">
        <v>32</v>
      </c>
      <c r="I1391" s="6" t="n">
        <v>36161</v>
      </c>
      <c r="J1391" s="5" t="s">
        <v>19</v>
      </c>
      <c r="K1391" s="5" t="s">
        <v>20</v>
      </c>
      <c r="L1391" s="7" t="s">
        <v>3841</v>
      </c>
    </row>
    <row r="1392" customFormat="false" ht="15.65" hidden="false" customHeight="true" outlineLevel="0" collapsed="false">
      <c r="A1392" s="2" t="str">
        <f aca="false">HYPERLINK("https://www.fabsurplus.com/sdi_catalog/salesItemDetails.do?id=106936")</f>
        <v>https://www.fabsurplus.com/sdi_catalog/salesItemDetails.do?id=106936</v>
      </c>
      <c r="B1392" s="2" t="s">
        <v>3842</v>
      </c>
      <c r="C1392" s="2" t="s">
        <v>3721</v>
      </c>
      <c r="D1392" s="2" t="s">
        <v>3843</v>
      </c>
      <c r="E1392" s="2" t="s">
        <v>3778</v>
      </c>
      <c r="F1392" s="2" t="s">
        <v>151</v>
      </c>
      <c r="G1392" s="2" t="s">
        <v>104</v>
      </c>
      <c r="H1392" s="2" t="s">
        <v>18</v>
      </c>
      <c r="I1392" s="3" t="n">
        <v>36251</v>
      </c>
      <c r="J1392" s="2" t="s">
        <v>19</v>
      </c>
      <c r="K1392" s="2" t="s">
        <v>20</v>
      </c>
      <c r="L1392" s="2" t="s">
        <v>3844</v>
      </c>
    </row>
    <row r="1393" customFormat="false" ht="15.65" hidden="false" customHeight="true" outlineLevel="0" collapsed="false">
      <c r="A1393" s="5" t="str">
        <f aca="false">HYPERLINK("https://www.fabsurplus.com/sdi_catalog/salesItemDetails.do?id=80313")</f>
        <v>https://www.fabsurplus.com/sdi_catalog/salesItemDetails.do?id=80313</v>
      </c>
      <c r="B1393" s="5" t="s">
        <v>3845</v>
      </c>
      <c r="C1393" s="5" t="s">
        <v>3721</v>
      </c>
      <c r="D1393" s="5" t="s">
        <v>3846</v>
      </c>
      <c r="E1393" s="5" t="s">
        <v>3790</v>
      </c>
      <c r="F1393" s="5" t="s">
        <v>16</v>
      </c>
      <c r="G1393" s="5"/>
      <c r="H1393" s="5"/>
      <c r="I1393" s="6" t="n">
        <v>36161</v>
      </c>
      <c r="J1393" s="5" t="s">
        <v>19</v>
      </c>
      <c r="K1393" s="5"/>
      <c r="L1393" s="5"/>
    </row>
    <row r="1394" customFormat="false" ht="15.65" hidden="false" customHeight="true" outlineLevel="0" collapsed="false">
      <c r="A1394" s="2" t="str">
        <f aca="false">HYPERLINK("https://www.fabsurplus.com/sdi_catalog/salesItemDetails.do?id=106937")</f>
        <v>https://www.fabsurplus.com/sdi_catalog/salesItemDetails.do?id=106937</v>
      </c>
      <c r="B1394" s="2" t="s">
        <v>3847</v>
      </c>
      <c r="C1394" s="2" t="s">
        <v>3721</v>
      </c>
      <c r="D1394" s="2" t="s">
        <v>3848</v>
      </c>
      <c r="E1394" s="2" t="s">
        <v>3849</v>
      </c>
      <c r="F1394" s="2" t="s">
        <v>86</v>
      </c>
      <c r="G1394" s="2" t="s">
        <v>104</v>
      </c>
      <c r="H1394" s="2" t="s">
        <v>18</v>
      </c>
      <c r="I1394" s="3" t="n">
        <v>36161</v>
      </c>
      <c r="J1394" s="2" t="s">
        <v>19</v>
      </c>
      <c r="K1394" s="2" t="s">
        <v>20</v>
      </c>
      <c r="L1394" s="4" t="s">
        <v>3850</v>
      </c>
    </row>
    <row r="1395" customFormat="false" ht="15.65" hidden="false" customHeight="true" outlineLevel="0" collapsed="false">
      <c r="A1395" s="5" t="str">
        <f aca="false">HYPERLINK("https://www.fabsurplus.com/sdi_catalog/salesItemDetails.do?id=80314")</f>
        <v>https://www.fabsurplus.com/sdi_catalog/salesItemDetails.do?id=80314</v>
      </c>
      <c r="B1395" s="5" t="s">
        <v>3851</v>
      </c>
      <c r="C1395" s="5" t="s">
        <v>3721</v>
      </c>
      <c r="D1395" s="5" t="s">
        <v>3852</v>
      </c>
      <c r="E1395" s="5" t="s">
        <v>3853</v>
      </c>
      <c r="F1395" s="5" t="s">
        <v>108</v>
      </c>
      <c r="G1395" s="5" t="s">
        <v>104</v>
      </c>
      <c r="H1395" s="5" t="s">
        <v>18</v>
      </c>
      <c r="I1395" s="6" t="n">
        <v>36161</v>
      </c>
      <c r="J1395" s="5" t="s">
        <v>19</v>
      </c>
      <c r="K1395" s="5" t="s">
        <v>20</v>
      </c>
      <c r="L1395" s="7" t="s">
        <v>3854</v>
      </c>
    </row>
    <row r="1396" customFormat="false" ht="15.65" hidden="false" customHeight="true" outlineLevel="0" collapsed="false">
      <c r="A1396" s="2" t="str">
        <f aca="false">HYPERLINK("https://www.fabsurplus.com/sdi_catalog/salesItemDetails.do?id=106938")</f>
        <v>https://www.fabsurplus.com/sdi_catalog/salesItemDetails.do?id=106938</v>
      </c>
      <c r="B1396" s="2" t="s">
        <v>3855</v>
      </c>
      <c r="C1396" s="2" t="s">
        <v>3721</v>
      </c>
      <c r="D1396" s="2" t="s">
        <v>3833</v>
      </c>
      <c r="E1396" s="2" t="s">
        <v>3856</v>
      </c>
      <c r="F1396" s="2" t="s">
        <v>108</v>
      </c>
      <c r="G1396" s="2" t="s">
        <v>104</v>
      </c>
      <c r="H1396" s="2" t="s">
        <v>18</v>
      </c>
      <c r="I1396" s="3" t="n">
        <v>36161</v>
      </c>
      <c r="J1396" s="2" t="s">
        <v>19</v>
      </c>
      <c r="K1396" s="2" t="s">
        <v>20</v>
      </c>
      <c r="L1396" s="2" t="s">
        <v>3857</v>
      </c>
    </row>
    <row r="1397" customFormat="false" ht="15.65" hidden="false" customHeight="true" outlineLevel="0" collapsed="false">
      <c r="A1397" s="5" t="str">
        <f aca="false">HYPERLINK("https://www.fabsurplus.com/sdi_catalog/salesItemDetails.do?id=106939")</f>
        <v>https://www.fabsurplus.com/sdi_catalog/salesItemDetails.do?id=106939</v>
      </c>
      <c r="B1397" s="5" t="s">
        <v>3858</v>
      </c>
      <c r="C1397" s="5" t="s">
        <v>3721</v>
      </c>
      <c r="D1397" s="5" t="s">
        <v>3859</v>
      </c>
      <c r="E1397" s="5" t="s">
        <v>3860</v>
      </c>
      <c r="F1397" s="5" t="s">
        <v>16</v>
      </c>
      <c r="G1397" s="5" t="s">
        <v>104</v>
      </c>
      <c r="H1397" s="5" t="s">
        <v>18</v>
      </c>
      <c r="I1397" s="6" t="n">
        <v>38657</v>
      </c>
      <c r="J1397" s="5" t="s">
        <v>19</v>
      </c>
      <c r="K1397" s="5" t="s">
        <v>20</v>
      </c>
      <c r="L1397" s="7" t="s">
        <v>3861</v>
      </c>
    </row>
    <row r="1398" customFormat="false" ht="15.65" hidden="false" customHeight="true" outlineLevel="0" collapsed="false">
      <c r="A1398" s="2" t="str">
        <f aca="false">HYPERLINK("https://www.fabsurplus.com/sdi_catalog/salesItemDetails.do?id=80316")</f>
        <v>https://www.fabsurplus.com/sdi_catalog/salesItemDetails.do?id=80316</v>
      </c>
      <c r="B1398" s="2" t="s">
        <v>3862</v>
      </c>
      <c r="C1398" s="2" t="s">
        <v>3721</v>
      </c>
      <c r="D1398" s="2" t="s">
        <v>3863</v>
      </c>
      <c r="E1398" s="2" t="s">
        <v>3864</v>
      </c>
      <c r="F1398" s="2" t="s">
        <v>151</v>
      </c>
      <c r="G1398" s="2"/>
      <c r="H1398" s="2" t="s">
        <v>18</v>
      </c>
      <c r="I1398" s="3" t="n">
        <v>36161</v>
      </c>
      <c r="J1398" s="2" t="s">
        <v>19</v>
      </c>
      <c r="K1398" s="2" t="s">
        <v>20</v>
      </c>
      <c r="L1398" s="4" t="s">
        <v>3865</v>
      </c>
    </row>
    <row r="1399" customFormat="false" ht="15.65" hidden="false" customHeight="true" outlineLevel="0" collapsed="false">
      <c r="A1399" s="5" t="str">
        <f aca="false">HYPERLINK("https://www.fabsurplus.com/sdi_catalog/salesItemDetails.do?id=106940")</f>
        <v>https://www.fabsurplus.com/sdi_catalog/salesItemDetails.do?id=106940</v>
      </c>
      <c r="B1399" s="5" t="s">
        <v>3866</v>
      </c>
      <c r="C1399" s="5" t="s">
        <v>3721</v>
      </c>
      <c r="D1399" s="5" t="s">
        <v>3741</v>
      </c>
      <c r="E1399" s="5" t="s">
        <v>3867</v>
      </c>
      <c r="F1399" s="5" t="s">
        <v>16</v>
      </c>
      <c r="G1399" s="5" t="s">
        <v>104</v>
      </c>
      <c r="H1399" s="5" t="s">
        <v>18</v>
      </c>
      <c r="I1399" s="6" t="n">
        <v>36342</v>
      </c>
      <c r="J1399" s="5" t="s">
        <v>19</v>
      </c>
      <c r="K1399" s="5" t="s">
        <v>20</v>
      </c>
      <c r="L1399" s="7" t="s">
        <v>3868</v>
      </c>
    </row>
    <row r="1400" customFormat="false" ht="15.65" hidden="false" customHeight="true" outlineLevel="0" collapsed="false">
      <c r="A1400" s="2" t="str">
        <f aca="false">HYPERLINK("https://www.fabsurplus.com/sdi_catalog/salesItemDetails.do?id=80317")</f>
        <v>https://www.fabsurplus.com/sdi_catalog/salesItemDetails.do?id=80317</v>
      </c>
      <c r="B1400" s="2" t="s">
        <v>3869</v>
      </c>
      <c r="C1400" s="2" t="s">
        <v>3721</v>
      </c>
      <c r="D1400" s="2" t="s">
        <v>3806</v>
      </c>
      <c r="E1400" s="2" t="s">
        <v>3870</v>
      </c>
      <c r="F1400" s="2" t="s">
        <v>78</v>
      </c>
      <c r="G1400" s="2" t="s">
        <v>104</v>
      </c>
      <c r="H1400" s="2" t="s">
        <v>32</v>
      </c>
      <c r="I1400" s="2"/>
      <c r="J1400" s="2" t="s">
        <v>19</v>
      </c>
      <c r="K1400" s="2" t="s">
        <v>20</v>
      </c>
      <c r="L1400" s="4" t="s">
        <v>3871</v>
      </c>
    </row>
    <row r="1401" customFormat="false" ht="15.65" hidden="false" customHeight="true" outlineLevel="0" collapsed="false">
      <c r="A1401" s="5" t="str">
        <f aca="false">HYPERLINK("https://www.fabsurplus.com/sdi_catalog/salesItemDetails.do?id=80318")</f>
        <v>https://www.fabsurplus.com/sdi_catalog/salesItemDetails.do?id=80318</v>
      </c>
      <c r="B1401" s="5" t="s">
        <v>3872</v>
      </c>
      <c r="C1401" s="5" t="s">
        <v>3721</v>
      </c>
      <c r="D1401" s="5" t="s">
        <v>3819</v>
      </c>
      <c r="E1401" s="5" t="s">
        <v>3873</v>
      </c>
      <c r="F1401" s="5" t="s">
        <v>16</v>
      </c>
      <c r="G1401" s="5" t="s">
        <v>104</v>
      </c>
      <c r="H1401" s="5" t="s">
        <v>32</v>
      </c>
      <c r="I1401" s="6" t="n">
        <v>35582</v>
      </c>
      <c r="J1401" s="5" t="s">
        <v>19</v>
      </c>
      <c r="K1401" s="5" t="s">
        <v>20</v>
      </c>
      <c r="L1401" s="7" t="s">
        <v>3874</v>
      </c>
    </row>
    <row r="1402" customFormat="false" ht="15.65" hidden="false" customHeight="true" outlineLevel="0" collapsed="false">
      <c r="A1402" s="2" t="str">
        <f aca="false">HYPERLINK("https://www.fabsurplus.com/sdi_catalog/salesItemDetails.do?id=80320")</f>
        <v>https://www.fabsurplus.com/sdi_catalog/salesItemDetails.do?id=80320</v>
      </c>
      <c r="B1402" s="2" t="s">
        <v>3875</v>
      </c>
      <c r="C1402" s="2" t="s">
        <v>3721</v>
      </c>
      <c r="D1402" s="2" t="s">
        <v>3876</v>
      </c>
      <c r="E1402" s="2" t="s">
        <v>3798</v>
      </c>
      <c r="F1402" s="2" t="s">
        <v>16</v>
      </c>
      <c r="G1402" s="2"/>
      <c r="H1402" s="2" t="s">
        <v>18</v>
      </c>
      <c r="I1402" s="3" t="n">
        <v>36161</v>
      </c>
      <c r="J1402" s="2" t="s">
        <v>19</v>
      </c>
      <c r="K1402" s="2" t="s">
        <v>20</v>
      </c>
      <c r="L1402" s="4" t="s">
        <v>3877</v>
      </c>
    </row>
    <row r="1403" customFormat="false" ht="15.65" hidden="false" customHeight="true" outlineLevel="0" collapsed="false">
      <c r="A1403" s="5" t="str">
        <f aca="false">HYPERLINK("https://www.fabsurplus.com/sdi_catalog/salesItemDetails.do?id=81864")</f>
        <v>https://www.fabsurplus.com/sdi_catalog/salesItemDetails.do?id=81864</v>
      </c>
      <c r="B1403" s="5" t="s">
        <v>3878</v>
      </c>
      <c r="C1403" s="5" t="s">
        <v>3721</v>
      </c>
      <c r="D1403" s="5" t="s">
        <v>3879</v>
      </c>
      <c r="E1403" s="5" t="s">
        <v>3823</v>
      </c>
      <c r="F1403" s="5" t="s">
        <v>16</v>
      </c>
      <c r="G1403" s="5" t="s">
        <v>104</v>
      </c>
      <c r="H1403" s="5" t="s">
        <v>18</v>
      </c>
      <c r="I1403" s="6" t="n">
        <v>36192</v>
      </c>
      <c r="J1403" s="5" t="s">
        <v>19</v>
      </c>
      <c r="K1403" s="5" t="s">
        <v>20</v>
      </c>
      <c r="L1403" s="7" t="s">
        <v>3880</v>
      </c>
    </row>
    <row r="1404" customFormat="false" ht="15.65" hidden="false" customHeight="true" outlineLevel="0" collapsed="false">
      <c r="A1404" s="2" t="str">
        <f aca="false">HYPERLINK("https://www.fabsurplus.com/sdi_catalog/salesItemDetails.do?id=81866")</f>
        <v>https://www.fabsurplus.com/sdi_catalog/salesItemDetails.do?id=81866</v>
      </c>
      <c r="B1404" s="2" t="s">
        <v>3881</v>
      </c>
      <c r="C1404" s="2" t="s">
        <v>3721</v>
      </c>
      <c r="D1404" s="2" t="s">
        <v>3882</v>
      </c>
      <c r="E1404" s="2" t="s">
        <v>3883</v>
      </c>
      <c r="F1404" s="2" t="s">
        <v>16</v>
      </c>
      <c r="G1404" s="2" t="s">
        <v>104</v>
      </c>
      <c r="H1404" s="2" t="s">
        <v>18</v>
      </c>
      <c r="I1404" s="3" t="n">
        <v>39114</v>
      </c>
      <c r="J1404" s="2" t="s">
        <v>19</v>
      </c>
      <c r="K1404" s="2" t="s">
        <v>20</v>
      </c>
      <c r="L1404" s="4" t="s">
        <v>3884</v>
      </c>
    </row>
    <row r="1405" customFormat="false" ht="15.65" hidden="false" customHeight="true" outlineLevel="0" collapsed="false">
      <c r="A1405" s="5" t="str">
        <f aca="false">HYPERLINK("https://www.fabsurplus.com/sdi_catalog/salesItemDetails.do?id=82168")</f>
        <v>https://www.fabsurplus.com/sdi_catalog/salesItemDetails.do?id=82168</v>
      </c>
      <c r="B1405" s="5" t="s">
        <v>3885</v>
      </c>
      <c r="C1405" s="5" t="s">
        <v>3721</v>
      </c>
      <c r="D1405" s="5" t="s">
        <v>3886</v>
      </c>
      <c r="E1405" s="5" t="s">
        <v>3887</v>
      </c>
      <c r="F1405" s="5" t="s">
        <v>16</v>
      </c>
      <c r="G1405" s="5" t="s">
        <v>104</v>
      </c>
      <c r="H1405" s="5" t="s">
        <v>18</v>
      </c>
      <c r="I1405" s="6" t="n">
        <v>36342</v>
      </c>
      <c r="J1405" s="5" t="s">
        <v>19</v>
      </c>
      <c r="K1405" s="5" t="s">
        <v>20</v>
      </c>
      <c r="L1405" s="7" t="s">
        <v>3888</v>
      </c>
    </row>
    <row r="1406" customFormat="false" ht="15.65" hidden="false" customHeight="true" outlineLevel="0" collapsed="false">
      <c r="A1406" s="2" t="str">
        <f aca="false">HYPERLINK("https://www.fabsurplus.com/sdi_catalog/salesItemDetails.do?id=109081")</f>
        <v>https://www.fabsurplus.com/sdi_catalog/salesItemDetails.do?id=109081</v>
      </c>
      <c r="B1406" s="2" t="s">
        <v>3889</v>
      </c>
      <c r="C1406" s="2" t="s">
        <v>3890</v>
      </c>
      <c r="D1406" s="2" t="s">
        <v>3891</v>
      </c>
      <c r="E1406" s="2" t="s">
        <v>3892</v>
      </c>
      <c r="F1406" s="2" t="s">
        <v>16</v>
      </c>
      <c r="G1406" s="2" t="s">
        <v>2803</v>
      </c>
      <c r="H1406" s="2" t="s">
        <v>18</v>
      </c>
      <c r="I1406" s="3" t="n">
        <v>42156</v>
      </c>
      <c r="J1406" s="2" t="s">
        <v>19</v>
      </c>
      <c r="K1406" s="2" t="s">
        <v>20</v>
      </c>
      <c r="L1406" s="4" t="s">
        <v>3893</v>
      </c>
    </row>
    <row r="1407" customFormat="false" ht="15.65" hidden="false" customHeight="true" outlineLevel="0" collapsed="false">
      <c r="A1407" s="5" t="str">
        <f aca="false">HYPERLINK("https://www.fabsurplus.com/sdi_catalog/salesItemDetails.do?id=54562")</f>
        <v>https://www.fabsurplus.com/sdi_catalog/salesItemDetails.do?id=54562</v>
      </c>
      <c r="B1407" s="5" t="s">
        <v>3894</v>
      </c>
      <c r="C1407" s="5" t="s">
        <v>3895</v>
      </c>
      <c r="D1407" s="5" t="s">
        <v>3896</v>
      </c>
      <c r="E1407" s="5" t="s">
        <v>3897</v>
      </c>
      <c r="F1407" s="5" t="s">
        <v>16</v>
      </c>
      <c r="G1407" s="5" t="s">
        <v>141</v>
      </c>
      <c r="H1407" s="5" t="s">
        <v>18</v>
      </c>
      <c r="I1407" s="6" t="n">
        <v>35581.9166666667</v>
      </c>
      <c r="J1407" s="5" t="s">
        <v>19</v>
      </c>
      <c r="K1407" s="5" t="s">
        <v>20</v>
      </c>
      <c r="L1407" s="5" t="s">
        <v>3898</v>
      </c>
    </row>
    <row r="1408" customFormat="false" ht="15.65" hidden="false" customHeight="true" outlineLevel="0" collapsed="false">
      <c r="A1408" s="2" t="str">
        <f aca="false">HYPERLINK("https://www.fabsurplus.com/sdi_catalog/salesItemDetails.do?id=94583")</f>
        <v>https://www.fabsurplus.com/sdi_catalog/salesItemDetails.do?id=94583</v>
      </c>
      <c r="B1408" s="2" t="s">
        <v>3899</v>
      </c>
      <c r="C1408" s="2" t="s">
        <v>3890</v>
      </c>
      <c r="D1408" s="2" t="s">
        <v>3900</v>
      </c>
      <c r="E1408" s="2" t="s">
        <v>3901</v>
      </c>
      <c r="F1408" s="2" t="s">
        <v>16</v>
      </c>
      <c r="G1408" s="2" t="s">
        <v>141</v>
      </c>
      <c r="H1408" s="2"/>
      <c r="I1408" s="2"/>
      <c r="J1408" s="2" t="s">
        <v>19</v>
      </c>
      <c r="K1408" s="2"/>
      <c r="L1408" s="2" t="s">
        <v>3902</v>
      </c>
    </row>
    <row r="1409" customFormat="false" ht="15.65" hidden="false" customHeight="true" outlineLevel="0" collapsed="false">
      <c r="A1409" s="5" t="str">
        <f aca="false">HYPERLINK("https://www.fabsurplus.com/sdi_catalog/salesItemDetails.do?id=94584")</f>
        <v>https://www.fabsurplus.com/sdi_catalog/salesItemDetails.do?id=94584</v>
      </c>
      <c r="B1409" s="5" t="s">
        <v>3903</v>
      </c>
      <c r="C1409" s="5" t="s">
        <v>3890</v>
      </c>
      <c r="D1409" s="5" t="s">
        <v>3904</v>
      </c>
      <c r="E1409" s="5" t="s">
        <v>3901</v>
      </c>
      <c r="F1409" s="5" t="s">
        <v>16</v>
      </c>
      <c r="G1409" s="5" t="s">
        <v>141</v>
      </c>
      <c r="H1409" s="5"/>
      <c r="I1409" s="5"/>
      <c r="J1409" s="5" t="s">
        <v>19</v>
      </c>
      <c r="K1409" s="5"/>
      <c r="L1409" s="5" t="s">
        <v>3902</v>
      </c>
    </row>
    <row r="1410" customFormat="false" ht="15.65" hidden="false" customHeight="true" outlineLevel="0" collapsed="false">
      <c r="A1410" s="2" t="str">
        <f aca="false">HYPERLINK("https://www.fabsurplus.com/sdi_catalog/salesItemDetails.do?id=94585")</f>
        <v>https://www.fabsurplus.com/sdi_catalog/salesItemDetails.do?id=94585</v>
      </c>
      <c r="B1410" s="2" t="s">
        <v>3905</v>
      </c>
      <c r="C1410" s="2" t="s">
        <v>3890</v>
      </c>
      <c r="D1410" s="2" t="s">
        <v>3904</v>
      </c>
      <c r="E1410" s="2" t="s">
        <v>3901</v>
      </c>
      <c r="F1410" s="2" t="s">
        <v>16</v>
      </c>
      <c r="G1410" s="2" t="s">
        <v>141</v>
      </c>
      <c r="H1410" s="2"/>
      <c r="I1410" s="2"/>
      <c r="J1410" s="2" t="s">
        <v>19</v>
      </c>
      <c r="K1410" s="2"/>
      <c r="L1410" s="2" t="s">
        <v>3902</v>
      </c>
    </row>
    <row r="1411" customFormat="false" ht="15.65" hidden="false" customHeight="true" outlineLevel="0" collapsed="false">
      <c r="A1411" s="5" t="str">
        <f aca="false">HYPERLINK("https://www.fabsurplus.com/sdi_catalog/salesItemDetails.do?id=94586")</f>
        <v>https://www.fabsurplus.com/sdi_catalog/salesItemDetails.do?id=94586</v>
      </c>
      <c r="B1411" s="5" t="s">
        <v>3906</v>
      </c>
      <c r="C1411" s="5" t="s">
        <v>3890</v>
      </c>
      <c r="D1411" s="5" t="s">
        <v>3904</v>
      </c>
      <c r="E1411" s="5" t="s">
        <v>3901</v>
      </c>
      <c r="F1411" s="5" t="s">
        <v>16</v>
      </c>
      <c r="G1411" s="5" t="s">
        <v>141</v>
      </c>
      <c r="H1411" s="5"/>
      <c r="I1411" s="5"/>
      <c r="J1411" s="5" t="s">
        <v>19</v>
      </c>
      <c r="K1411" s="5"/>
      <c r="L1411" s="5" t="s">
        <v>3902</v>
      </c>
    </row>
    <row r="1412" customFormat="false" ht="15.65" hidden="false" customHeight="true" outlineLevel="0" collapsed="false">
      <c r="A1412" s="2" t="str">
        <f aca="false">HYPERLINK("https://www.fabsurplus.com/sdi_catalog/salesItemDetails.do?id=94587")</f>
        <v>https://www.fabsurplus.com/sdi_catalog/salesItemDetails.do?id=94587</v>
      </c>
      <c r="B1412" s="2" t="s">
        <v>3907</v>
      </c>
      <c r="C1412" s="2" t="s">
        <v>3890</v>
      </c>
      <c r="D1412" s="2" t="s">
        <v>3904</v>
      </c>
      <c r="E1412" s="2" t="s">
        <v>3901</v>
      </c>
      <c r="F1412" s="2" t="s">
        <v>16</v>
      </c>
      <c r="G1412" s="2" t="s">
        <v>141</v>
      </c>
      <c r="H1412" s="2"/>
      <c r="I1412" s="2"/>
      <c r="J1412" s="2" t="s">
        <v>19</v>
      </c>
      <c r="K1412" s="2"/>
      <c r="L1412" s="2" t="s">
        <v>3902</v>
      </c>
    </row>
    <row r="1413" customFormat="false" ht="15.65" hidden="false" customHeight="true" outlineLevel="0" collapsed="false">
      <c r="A1413" s="5" t="str">
        <f aca="false">HYPERLINK("https://www.fabsurplus.com/sdi_catalog/salesItemDetails.do?id=94588")</f>
        <v>https://www.fabsurplus.com/sdi_catalog/salesItemDetails.do?id=94588</v>
      </c>
      <c r="B1413" s="5" t="s">
        <v>3908</v>
      </c>
      <c r="C1413" s="5" t="s">
        <v>3890</v>
      </c>
      <c r="D1413" s="5" t="s">
        <v>3900</v>
      </c>
      <c r="E1413" s="5" t="s">
        <v>3901</v>
      </c>
      <c r="F1413" s="5" t="s">
        <v>16</v>
      </c>
      <c r="G1413" s="5" t="s">
        <v>141</v>
      </c>
      <c r="H1413" s="5"/>
      <c r="I1413" s="5"/>
      <c r="J1413" s="5" t="s">
        <v>19</v>
      </c>
      <c r="K1413" s="5"/>
      <c r="L1413" s="5" t="s">
        <v>3902</v>
      </c>
    </row>
    <row r="1414" customFormat="false" ht="15.65" hidden="false" customHeight="true" outlineLevel="0" collapsed="false">
      <c r="A1414" s="2" t="str">
        <f aca="false">HYPERLINK("https://www.fabsurplus.com/sdi_catalog/salesItemDetails.do?id=94589")</f>
        <v>https://www.fabsurplus.com/sdi_catalog/salesItemDetails.do?id=94589</v>
      </c>
      <c r="B1414" s="2" t="s">
        <v>3909</v>
      </c>
      <c r="C1414" s="2" t="s">
        <v>3890</v>
      </c>
      <c r="D1414" s="2" t="s">
        <v>3910</v>
      </c>
      <c r="E1414" s="2" t="s">
        <v>3911</v>
      </c>
      <c r="F1414" s="2" t="s">
        <v>16</v>
      </c>
      <c r="G1414" s="2" t="s">
        <v>141</v>
      </c>
      <c r="H1414" s="2"/>
      <c r="I1414" s="2"/>
      <c r="J1414" s="2" t="s">
        <v>19</v>
      </c>
      <c r="K1414" s="2"/>
      <c r="L1414" s="2" t="s">
        <v>3912</v>
      </c>
    </row>
    <row r="1415" customFormat="false" ht="15.65" hidden="false" customHeight="true" outlineLevel="0" collapsed="false">
      <c r="A1415" s="5" t="str">
        <f aca="false">HYPERLINK("https://www.fabsurplus.com/sdi_catalog/salesItemDetails.do?id=94590")</f>
        <v>https://www.fabsurplus.com/sdi_catalog/salesItemDetails.do?id=94590</v>
      </c>
      <c r="B1415" s="5" t="s">
        <v>3913</v>
      </c>
      <c r="C1415" s="5" t="s">
        <v>3890</v>
      </c>
      <c r="D1415" s="5" t="s">
        <v>3914</v>
      </c>
      <c r="E1415" s="5" t="s">
        <v>3915</v>
      </c>
      <c r="F1415" s="5" t="s">
        <v>16</v>
      </c>
      <c r="G1415" s="5" t="s">
        <v>141</v>
      </c>
      <c r="H1415" s="5"/>
      <c r="I1415" s="5"/>
      <c r="J1415" s="5" t="s">
        <v>19</v>
      </c>
      <c r="K1415" s="5"/>
      <c r="L1415" s="5" t="s">
        <v>3916</v>
      </c>
    </row>
    <row r="1416" customFormat="false" ht="15.65" hidden="false" customHeight="true" outlineLevel="0" collapsed="false">
      <c r="A1416" s="2" t="str">
        <f aca="false">HYPERLINK("https://www.fabsurplus.com/sdi_catalog/salesItemDetails.do?id=69855")</f>
        <v>https://www.fabsurplus.com/sdi_catalog/salesItemDetails.do?id=69855</v>
      </c>
      <c r="B1416" s="2" t="s">
        <v>3917</v>
      </c>
      <c r="C1416" s="2" t="s">
        <v>3890</v>
      </c>
      <c r="D1416" s="2" t="s">
        <v>3918</v>
      </c>
      <c r="E1416" s="2" t="s">
        <v>3897</v>
      </c>
      <c r="F1416" s="2" t="s">
        <v>16</v>
      </c>
      <c r="G1416" s="2" t="s">
        <v>3919</v>
      </c>
      <c r="H1416" s="2" t="s">
        <v>18</v>
      </c>
      <c r="I1416" s="3" t="n">
        <v>35581.9166666667</v>
      </c>
      <c r="J1416" s="2" t="s">
        <v>19</v>
      </c>
      <c r="K1416" s="2" t="s">
        <v>20</v>
      </c>
      <c r="L1416" s="4" t="s">
        <v>3920</v>
      </c>
    </row>
    <row r="1417" customFormat="false" ht="15.65" hidden="false" customHeight="true" outlineLevel="0" collapsed="false">
      <c r="A1417" s="5" t="str">
        <f aca="false">HYPERLINK("https://www.fabsurplus.com/sdi_catalog/salesItemDetails.do?id=4259")</f>
        <v>https://www.fabsurplus.com/sdi_catalog/salesItemDetails.do?id=4259</v>
      </c>
      <c r="B1417" s="5" t="s">
        <v>3921</v>
      </c>
      <c r="C1417" s="5" t="s">
        <v>3922</v>
      </c>
      <c r="D1417" s="5" t="s">
        <v>3923</v>
      </c>
      <c r="E1417" s="5" t="s">
        <v>3924</v>
      </c>
      <c r="F1417" s="5" t="s">
        <v>16</v>
      </c>
      <c r="G1417" s="5" t="s">
        <v>104</v>
      </c>
      <c r="H1417" s="5"/>
      <c r="I1417" s="5"/>
      <c r="J1417" s="5" t="s">
        <v>19</v>
      </c>
      <c r="K1417" s="5"/>
      <c r="L1417" s="5" t="s">
        <v>3925</v>
      </c>
    </row>
    <row r="1418" customFormat="false" ht="15.65" hidden="false" customHeight="true" outlineLevel="0" collapsed="false">
      <c r="A1418" s="2" t="str">
        <f aca="false">HYPERLINK("https://www.fabsurplus.com/sdi_catalog/salesItemDetails.do?id=4260")</f>
        <v>https://www.fabsurplus.com/sdi_catalog/salesItemDetails.do?id=4260</v>
      </c>
      <c r="B1418" s="2" t="s">
        <v>3926</v>
      </c>
      <c r="C1418" s="2" t="s">
        <v>3922</v>
      </c>
      <c r="D1418" s="2" t="s">
        <v>3927</v>
      </c>
      <c r="E1418" s="2" t="s">
        <v>3928</v>
      </c>
      <c r="F1418" s="2" t="s">
        <v>16</v>
      </c>
      <c r="G1418" s="2" t="s">
        <v>104</v>
      </c>
      <c r="H1418" s="2"/>
      <c r="I1418" s="3" t="n">
        <v>25569</v>
      </c>
      <c r="J1418" s="2" t="s">
        <v>19</v>
      </c>
      <c r="K1418" s="2"/>
      <c r="L1418" s="2"/>
    </row>
    <row r="1419" customFormat="false" ht="15.65" hidden="false" customHeight="true" outlineLevel="0" collapsed="false">
      <c r="A1419" s="5" t="str">
        <f aca="false">HYPERLINK("https://www.fabsurplus.com/sdi_catalog/salesItemDetails.do?id=4265")</f>
        <v>https://www.fabsurplus.com/sdi_catalog/salesItemDetails.do?id=4265</v>
      </c>
      <c r="B1419" s="5" t="s">
        <v>3929</v>
      </c>
      <c r="C1419" s="5" t="s">
        <v>3922</v>
      </c>
      <c r="D1419" s="5" t="s">
        <v>3923</v>
      </c>
      <c r="E1419" s="5" t="s">
        <v>3924</v>
      </c>
      <c r="F1419" s="5" t="s">
        <v>16</v>
      </c>
      <c r="G1419" s="5" t="s">
        <v>104</v>
      </c>
      <c r="H1419" s="5"/>
      <c r="I1419" s="5"/>
      <c r="J1419" s="5" t="s">
        <v>19</v>
      </c>
      <c r="K1419" s="5"/>
      <c r="L1419" s="5" t="s">
        <v>3925</v>
      </c>
    </row>
    <row r="1420" customFormat="false" ht="15.65" hidden="false" customHeight="true" outlineLevel="0" collapsed="false">
      <c r="A1420" s="2" t="str">
        <f aca="false">HYPERLINK("https://www.fabsurplus.com/sdi_catalog/salesItemDetails.do?id=4266")</f>
        <v>https://www.fabsurplus.com/sdi_catalog/salesItemDetails.do?id=4266</v>
      </c>
      <c r="B1420" s="2" t="s">
        <v>3930</v>
      </c>
      <c r="C1420" s="2" t="s">
        <v>3922</v>
      </c>
      <c r="D1420" s="2" t="s">
        <v>3927</v>
      </c>
      <c r="E1420" s="2" t="s">
        <v>3928</v>
      </c>
      <c r="F1420" s="2" t="s">
        <v>16</v>
      </c>
      <c r="G1420" s="2" t="s">
        <v>104</v>
      </c>
      <c r="H1420" s="2"/>
      <c r="I1420" s="3" t="n">
        <v>25569</v>
      </c>
      <c r="J1420" s="2" t="s">
        <v>19</v>
      </c>
      <c r="K1420" s="2"/>
      <c r="L1420" s="2"/>
    </row>
    <row r="1421" customFormat="false" ht="15.65" hidden="false" customHeight="true" outlineLevel="0" collapsed="false">
      <c r="A1421" s="5" t="str">
        <f aca="false">HYPERLINK("https://www.fabsurplus.com/sdi_catalog/salesItemDetails.do?id=106521")</f>
        <v>https://www.fabsurplus.com/sdi_catalog/salesItemDetails.do?id=106521</v>
      </c>
      <c r="B1421" s="5" t="s">
        <v>3931</v>
      </c>
      <c r="C1421" s="5" t="s">
        <v>3932</v>
      </c>
      <c r="D1421" s="5" t="s">
        <v>3933</v>
      </c>
      <c r="E1421" s="5" t="s">
        <v>3934</v>
      </c>
      <c r="F1421" s="5" t="s">
        <v>16</v>
      </c>
      <c r="G1421" s="5" t="s">
        <v>2858</v>
      </c>
      <c r="H1421" s="5" t="s">
        <v>32</v>
      </c>
      <c r="I1421" s="5"/>
      <c r="J1421" s="5" t="s">
        <v>19</v>
      </c>
      <c r="K1421" s="5" t="s">
        <v>20</v>
      </c>
      <c r="L1421" s="5" t="s">
        <v>2859</v>
      </c>
    </row>
    <row r="1422" customFormat="false" ht="15.65" hidden="false" customHeight="true" outlineLevel="0" collapsed="false">
      <c r="A1422" s="2" t="str">
        <f aca="false">HYPERLINK("https://www.fabsurplus.com/sdi_catalog/salesItemDetails.do?id=106523")</f>
        <v>https://www.fabsurplus.com/sdi_catalog/salesItemDetails.do?id=106523</v>
      </c>
      <c r="B1422" s="2" t="s">
        <v>3935</v>
      </c>
      <c r="C1422" s="2" t="s">
        <v>3932</v>
      </c>
      <c r="D1422" s="2" t="s">
        <v>3936</v>
      </c>
      <c r="E1422" s="2" t="s">
        <v>3937</v>
      </c>
      <c r="F1422" s="2" t="s">
        <v>16</v>
      </c>
      <c r="G1422" s="2" t="s">
        <v>3938</v>
      </c>
      <c r="H1422" s="2" t="s">
        <v>32</v>
      </c>
      <c r="I1422" s="2"/>
      <c r="J1422" s="2" t="s">
        <v>19</v>
      </c>
      <c r="K1422" s="2" t="s">
        <v>20</v>
      </c>
      <c r="L1422" s="2" t="s">
        <v>3939</v>
      </c>
    </row>
    <row r="1423" customFormat="false" ht="15.65" hidden="false" customHeight="true" outlineLevel="0" collapsed="false">
      <c r="A1423" s="5" t="str">
        <f aca="false">HYPERLINK("https://www.fabsurplus.com/sdi_catalog/salesItemDetails.do?id=4261")</f>
        <v>https://www.fabsurplus.com/sdi_catalog/salesItemDetails.do?id=4261</v>
      </c>
      <c r="B1423" s="5" t="s">
        <v>3940</v>
      </c>
      <c r="C1423" s="5" t="s">
        <v>3941</v>
      </c>
      <c r="D1423" s="5" t="s">
        <v>3942</v>
      </c>
      <c r="E1423" s="5" t="s">
        <v>3943</v>
      </c>
      <c r="F1423" s="5" t="s">
        <v>151</v>
      </c>
      <c r="G1423" s="5" t="s">
        <v>104</v>
      </c>
      <c r="H1423" s="5"/>
      <c r="I1423" s="6" t="n">
        <v>35855</v>
      </c>
      <c r="J1423" s="5" t="s">
        <v>19</v>
      </c>
      <c r="K1423" s="5"/>
      <c r="L1423" s="5"/>
    </row>
    <row r="1424" customFormat="false" ht="15.65" hidden="false" customHeight="true" outlineLevel="0" collapsed="false">
      <c r="A1424" s="2" t="str">
        <f aca="false">HYPERLINK("https://www.fabsurplus.com/sdi_catalog/salesItemDetails.do?id=4267")</f>
        <v>https://www.fabsurplus.com/sdi_catalog/salesItemDetails.do?id=4267</v>
      </c>
      <c r="B1424" s="2" t="s">
        <v>3944</v>
      </c>
      <c r="C1424" s="2" t="s">
        <v>3941</v>
      </c>
      <c r="D1424" s="2" t="s">
        <v>3942</v>
      </c>
      <c r="E1424" s="2" t="s">
        <v>3943</v>
      </c>
      <c r="F1424" s="2" t="s">
        <v>151</v>
      </c>
      <c r="G1424" s="2" t="s">
        <v>104</v>
      </c>
      <c r="H1424" s="2"/>
      <c r="I1424" s="3" t="n">
        <v>35855</v>
      </c>
      <c r="J1424" s="2" t="s">
        <v>19</v>
      </c>
      <c r="K1424" s="2"/>
      <c r="L1424" s="2"/>
    </row>
    <row r="1425" customFormat="false" ht="15.65" hidden="false" customHeight="true" outlineLevel="0" collapsed="false">
      <c r="A1425" s="5" t="str">
        <f aca="false">HYPERLINK("https://www.fabsurplus.com/sdi_catalog/salesItemDetails.do?id=83892")</f>
        <v>https://www.fabsurplus.com/sdi_catalog/salesItemDetails.do?id=83892</v>
      </c>
      <c r="B1425" s="5" t="s">
        <v>3945</v>
      </c>
      <c r="C1425" s="5" t="s">
        <v>3941</v>
      </c>
      <c r="D1425" s="5" t="s">
        <v>3946</v>
      </c>
      <c r="E1425" s="5" t="s">
        <v>3947</v>
      </c>
      <c r="F1425" s="5" t="s">
        <v>86</v>
      </c>
      <c r="G1425" s="5"/>
      <c r="H1425" s="5" t="s">
        <v>98</v>
      </c>
      <c r="I1425" s="5"/>
      <c r="J1425" s="5" t="s">
        <v>19</v>
      </c>
      <c r="K1425" s="5" t="s">
        <v>20</v>
      </c>
      <c r="L1425" s="7" t="s">
        <v>3948</v>
      </c>
    </row>
    <row r="1426" customFormat="false" ht="15.65" hidden="false" customHeight="true" outlineLevel="0" collapsed="false">
      <c r="A1426" s="2" t="str">
        <f aca="false">HYPERLINK("https://www.fabsurplus.com/sdi_catalog/salesItemDetails.do?id=109044")</f>
        <v>https://www.fabsurplus.com/sdi_catalog/salesItemDetails.do?id=109044</v>
      </c>
      <c r="B1426" s="2" t="s">
        <v>3949</v>
      </c>
      <c r="C1426" s="2" t="s">
        <v>3950</v>
      </c>
      <c r="D1426" s="2" t="s">
        <v>3951</v>
      </c>
      <c r="E1426" s="2" t="s">
        <v>3952</v>
      </c>
      <c r="F1426" s="2" t="s">
        <v>151</v>
      </c>
      <c r="G1426" s="2"/>
      <c r="H1426" s="2" t="s">
        <v>32</v>
      </c>
      <c r="I1426" s="3" t="n">
        <v>39819.6980555556</v>
      </c>
      <c r="J1426" s="2" t="s">
        <v>19</v>
      </c>
      <c r="K1426" s="2"/>
      <c r="L1426" s="2"/>
    </row>
    <row r="1427" customFormat="false" ht="15.65" hidden="false" customHeight="true" outlineLevel="0" collapsed="false">
      <c r="A1427" s="5" t="str">
        <f aca="false">HYPERLINK("https://www.fabsurplus.com/sdi_catalog/salesItemDetails.do?id=106647")</f>
        <v>https://www.fabsurplus.com/sdi_catalog/salesItemDetails.do?id=106647</v>
      </c>
      <c r="B1427" s="5" t="s">
        <v>3953</v>
      </c>
      <c r="C1427" s="5" t="s">
        <v>3954</v>
      </c>
      <c r="D1427" s="5" t="s">
        <v>3955</v>
      </c>
      <c r="E1427" s="5" t="s">
        <v>3956</v>
      </c>
      <c r="F1427" s="5" t="s">
        <v>16</v>
      </c>
      <c r="G1427" s="5" t="s">
        <v>38</v>
      </c>
      <c r="H1427" s="5"/>
      <c r="I1427" s="5"/>
      <c r="J1427" s="5" t="s">
        <v>19</v>
      </c>
      <c r="K1427" s="5"/>
      <c r="L1427" s="5" t="s">
        <v>518</v>
      </c>
    </row>
    <row r="1428" customFormat="false" ht="15.65" hidden="false" customHeight="true" outlineLevel="0" collapsed="false">
      <c r="A1428" s="2" t="str">
        <f aca="false">HYPERLINK("https://www.fabsurplus.com/sdi_catalog/salesItemDetails.do?id=106018")</f>
        <v>https://www.fabsurplus.com/sdi_catalog/salesItemDetails.do?id=106018</v>
      </c>
      <c r="B1428" s="2" t="s">
        <v>3957</v>
      </c>
      <c r="C1428" s="2" t="s">
        <v>3958</v>
      </c>
      <c r="D1428" s="2" t="s">
        <v>3959</v>
      </c>
      <c r="E1428" s="2" t="s">
        <v>3960</v>
      </c>
      <c r="F1428" s="2" t="s">
        <v>16</v>
      </c>
      <c r="G1428" s="2" t="s">
        <v>104</v>
      </c>
      <c r="H1428" s="2" t="s">
        <v>18</v>
      </c>
      <c r="I1428" s="3" t="n">
        <v>35246.9166666667</v>
      </c>
      <c r="J1428" s="2" t="s">
        <v>19</v>
      </c>
      <c r="K1428" s="2" t="s">
        <v>20</v>
      </c>
      <c r="L1428" s="4" t="s">
        <v>3961</v>
      </c>
    </row>
    <row r="1429" customFormat="false" ht="15.65" hidden="false" customHeight="true" outlineLevel="0" collapsed="false">
      <c r="A1429" s="5" t="str">
        <f aca="false">HYPERLINK("https://www.fabsurplus.com/sdi_catalog/salesItemDetails.do?id=108963")</f>
        <v>https://www.fabsurplus.com/sdi_catalog/salesItemDetails.do?id=108963</v>
      </c>
      <c r="B1429" s="5" t="s">
        <v>3962</v>
      </c>
      <c r="C1429" s="5" t="s">
        <v>3958</v>
      </c>
      <c r="D1429" s="5" t="s">
        <v>3963</v>
      </c>
      <c r="E1429" s="5" t="s">
        <v>3964</v>
      </c>
      <c r="F1429" s="5" t="s">
        <v>16</v>
      </c>
      <c r="G1429" s="5" t="s">
        <v>2803</v>
      </c>
      <c r="H1429" s="5" t="s">
        <v>32</v>
      </c>
      <c r="I1429" s="5"/>
      <c r="J1429" s="5" t="s">
        <v>19</v>
      </c>
      <c r="K1429" s="5" t="s">
        <v>20</v>
      </c>
      <c r="L1429" s="5" t="s">
        <v>3965</v>
      </c>
    </row>
    <row r="1430" customFormat="false" ht="15.65" hidden="false" customHeight="true" outlineLevel="0" collapsed="false">
      <c r="A1430" s="2" t="str">
        <f aca="false">HYPERLINK("https://www.fabsurplus.com/sdi_catalog/salesItemDetails.do?id=52159")</f>
        <v>https://www.fabsurplus.com/sdi_catalog/salesItemDetails.do?id=52159</v>
      </c>
      <c r="B1430" s="2" t="s">
        <v>3966</v>
      </c>
      <c r="C1430" s="2" t="s">
        <v>3958</v>
      </c>
      <c r="D1430" s="2" t="s">
        <v>3967</v>
      </c>
      <c r="E1430" s="2" t="s">
        <v>3968</v>
      </c>
      <c r="F1430" s="2" t="s">
        <v>16</v>
      </c>
      <c r="G1430" s="2" t="s">
        <v>165</v>
      </c>
      <c r="H1430" s="2" t="s">
        <v>18</v>
      </c>
      <c r="I1430" s="2"/>
      <c r="J1430" s="2" t="s">
        <v>19</v>
      </c>
      <c r="K1430" s="2" t="s">
        <v>20</v>
      </c>
      <c r="L1430" s="4" t="s">
        <v>3969</v>
      </c>
    </row>
    <row r="1431" customFormat="false" ht="15.65" hidden="false" customHeight="true" outlineLevel="0" collapsed="false">
      <c r="A1431" s="5" t="str">
        <f aca="false">HYPERLINK("https://www.fabsurplus.com/sdi_catalog/salesItemDetails.do?id=108806")</f>
        <v>https://www.fabsurplus.com/sdi_catalog/salesItemDetails.do?id=108806</v>
      </c>
      <c r="B1431" s="5" t="s">
        <v>3970</v>
      </c>
      <c r="C1431" s="5" t="s">
        <v>3971</v>
      </c>
      <c r="D1431" s="5" t="s">
        <v>3972</v>
      </c>
      <c r="E1431" s="5" t="s">
        <v>3973</v>
      </c>
      <c r="F1431" s="5" t="s">
        <v>16</v>
      </c>
      <c r="G1431" s="5" t="s">
        <v>2327</v>
      </c>
      <c r="H1431" s="5"/>
      <c r="I1431" s="5"/>
      <c r="J1431" s="5" t="s">
        <v>42</v>
      </c>
      <c r="K1431" s="5"/>
      <c r="L1431" s="5" t="s">
        <v>131</v>
      </c>
    </row>
    <row r="1432" customFormat="false" ht="15.65" hidden="false" customHeight="true" outlineLevel="0" collapsed="false">
      <c r="A1432" s="2" t="str">
        <f aca="false">HYPERLINK("https://www.fabsurplus.com/sdi_catalog/salesItemDetails.do?id=108807")</f>
        <v>https://www.fabsurplus.com/sdi_catalog/salesItemDetails.do?id=108807</v>
      </c>
      <c r="B1432" s="2" t="s">
        <v>3974</v>
      </c>
      <c r="C1432" s="2" t="s">
        <v>3971</v>
      </c>
      <c r="D1432" s="2" t="s">
        <v>3975</v>
      </c>
      <c r="E1432" s="2" t="s">
        <v>3976</v>
      </c>
      <c r="F1432" s="2" t="s">
        <v>16</v>
      </c>
      <c r="G1432" s="2" t="s">
        <v>2327</v>
      </c>
      <c r="H1432" s="2"/>
      <c r="I1432" s="2"/>
      <c r="J1432" s="2" t="s">
        <v>42</v>
      </c>
      <c r="K1432" s="2"/>
      <c r="L1432" s="2" t="s">
        <v>131</v>
      </c>
    </row>
    <row r="1433" customFormat="false" ht="15.65" hidden="false" customHeight="true" outlineLevel="0" collapsed="false">
      <c r="A1433" s="5" t="str">
        <f aca="false">HYPERLINK("https://www.fabsurplus.com/sdi_catalog/salesItemDetails.do?id=108808")</f>
        <v>https://www.fabsurplus.com/sdi_catalog/salesItemDetails.do?id=108808</v>
      </c>
      <c r="B1433" s="5" t="s">
        <v>3977</v>
      </c>
      <c r="C1433" s="5" t="s">
        <v>3978</v>
      </c>
      <c r="D1433" s="5" t="s">
        <v>3979</v>
      </c>
      <c r="E1433" s="5" t="s">
        <v>3980</v>
      </c>
      <c r="F1433" s="5" t="s">
        <v>16</v>
      </c>
      <c r="G1433" s="5" t="s">
        <v>165</v>
      </c>
      <c r="H1433" s="5"/>
      <c r="I1433" s="5"/>
      <c r="J1433" s="5" t="s">
        <v>42</v>
      </c>
      <c r="K1433" s="5"/>
      <c r="L1433" s="5" t="s">
        <v>131</v>
      </c>
    </row>
    <row r="1434" customFormat="false" ht="15.65" hidden="false" customHeight="true" outlineLevel="0" collapsed="false">
      <c r="A1434" s="2" t="str">
        <f aca="false">HYPERLINK("https://www.fabsurplus.com/sdi_catalog/salesItemDetails.do?id=108809")</f>
        <v>https://www.fabsurplus.com/sdi_catalog/salesItemDetails.do?id=108809</v>
      </c>
      <c r="B1434" s="2" t="s">
        <v>3981</v>
      </c>
      <c r="C1434" s="2" t="s">
        <v>3978</v>
      </c>
      <c r="D1434" s="2" t="s">
        <v>3982</v>
      </c>
      <c r="E1434" s="2" t="s">
        <v>3983</v>
      </c>
      <c r="F1434" s="2" t="s">
        <v>16</v>
      </c>
      <c r="G1434" s="2" t="s">
        <v>165</v>
      </c>
      <c r="H1434" s="2"/>
      <c r="I1434" s="2"/>
      <c r="J1434" s="2" t="s">
        <v>42</v>
      </c>
      <c r="K1434" s="2"/>
      <c r="L1434" s="2" t="s">
        <v>131</v>
      </c>
    </row>
    <row r="1435" customFormat="false" ht="15.65" hidden="false" customHeight="true" outlineLevel="0" collapsed="false">
      <c r="A1435" s="5" t="str">
        <f aca="false">HYPERLINK("https://www.fabsurplus.com/sdi_catalog/salesItemDetails.do?id=108810")</f>
        <v>https://www.fabsurplus.com/sdi_catalog/salesItemDetails.do?id=108810</v>
      </c>
      <c r="B1435" s="5" t="s">
        <v>3984</v>
      </c>
      <c r="C1435" s="5" t="s">
        <v>3978</v>
      </c>
      <c r="D1435" s="5" t="s">
        <v>3985</v>
      </c>
      <c r="E1435" s="5" t="s">
        <v>3986</v>
      </c>
      <c r="F1435" s="5" t="s">
        <v>16</v>
      </c>
      <c r="G1435" s="5" t="s">
        <v>165</v>
      </c>
      <c r="H1435" s="5"/>
      <c r="I1435" s="5"/>
      <c r="J1435" s="5" t="s">
        <v>42</v>
      </c>
      <c r="K1435" s="5"/>
      <c r="L1435" s="5" t="s">
        <v>131</v>
      </c>
    </row>
    <row r="1436" customFormat="false" ht="15.65" hidden="false" customHeight="true" outlineLevel="0" collapsed="false">
      <c r="A1436" s="2" t="str">
        <f aca="false">HYPERLINK("https://www.fabsurplus.com/sdi_catalog/salesItemDetails.do?id=108642")</f>
        <v>https://www.fabsurplus.com/sdi_catalog/salesItemDetails.do?id=108642</v>
      </c>
      <c r="B1436" s="2" t="s">
        <v>3987</v>
      </c>
      <c r="C1436" s="2" t="s">
        <v>3988</v>
      </c>
      <c r="D1436" s="2" t="s">
        <v>3989</v>
      </c>
      <c r="E1436" s="2" t="s">
        <v>3990</v>
      </c>
      <c r="F1436" s="2" t="s">
        <v>16</v>
      </c>
      <c r="G1436" s="2" t="s">
        <v>1362</v>
      </c>
      <c r="H1436" s="2" t="s">
        <v>32</v>
      </c>
      <c r="I1436" s="3" t="n">
        <v>38869</v>
      </c>
      <c r="J1436" s="2" t="s">
        <v>19</v>
      </c>
      <c r="K1436" s="2" t="s">
        <v>20</v>
      </c>
      <c r="L1436" s="4" t="s">
        <v>3991</v>
      </c>
    </row>
    <row r="1437" customFormat="false" ht="15.65" hidden="false" customHeight="true" outlineLevel="0" collapsed="false">
      <c r="A1437" s="5" t="str">
        <f aca="false">HYPERLINK("https://www.fabsurplus.com/sdi_catalog/salesItemDetails.do?id=95116")</f>
        <v>https://www.fabsurplus.com/sdi_catalog/salesItemDetails.do?id=95116</v>
      </c>
      <c r="B1437" s="5" t="s">
        <v>3992</v>
      </c>
      <c r="C1437" s="5" t="s">
        <v>3971</v>
      </c>
      <c r="D1437" s="5" t="s">
        <v>3993</v>
      </c>
      <c r="E1437" s="5" t="s">
        <v>3994</v>
      </c>
      <c r="F1437" s="5" t="s">
        <v>3473</v>
      </c>
      <c r="G1437" s="5" t="s">
        <v>3139</v>
      </c>
      <c r="H1437" s="5"/>
      <c r="I1437" s="6" t="n">
        <v>35885.9166666667</v>
      </c>
      <c r="J1437" s="5"/>
      <c r="K1437" s="5"/>
      <c r="L1437" s="5" t="s">
        <v>3995</v>
      </c>
    </row>
    <row r="1438" customFormat="false" ht="15.65" hidden="false" customHeight="true" outlineLevel="0" collapsed="false">
      <c r="A1438" s="2" t="str">
        <f aca="false">HYPERLINK("https://www.fabsurplus.com/sdi_catalog/salesItemDetails.do?id=69789")</f>
        <v>https://www.fabsurplus.com/sdi_catalog/salesItemDetails.do?id=69789</v>
      </c>
      <c r="B1438" s="2" t="s">
        <v>3996</v>
      </c>
      <c r="C1438" s="2" t="s">
        <v>3988</v>
      </c>
      <c r="D1438" s="2" t="s">
        <v>3997</v>
      </c>
      <c r="E1438" s="2" t="s">
        <v>3998</v>
      </c>
      <c r="F1438" s="2" t="s">
        <v>16</v>
      </c>
      <c r="G1438" s="2" t="s">
        <v>104</v>
      </c>
      <c r="H1438" s="2" t="s">
        <v>18</v>
      </c>
      <c r="I1438" s="2"/>
      <c r="J1438" s="2" t="s">
        <v>19</v>
      </c>
      <c r="K1438" s="2" t="s">
        <v>20</v>
      </c>
      <c r="L1438" s="4" t="s">
        <v>3999</v>
      </c>
    </row>
    <row r="1439" customFormat="false" ht="15.65" hidden="false" customHeight="true" outlineLevel="0" collapsed="false">
      <c r="A1439" s="5" t="str">
        <f aca="false">HYPERLINK("https://www.fabsurplus.com/sdi_catalog/salesItemDetails.do?id=108743")</f>
        <v>https://www.fabsurplus.com/sdi_catalog/salesItemDetails.do?id=108743</v>
      </c>
      <c r="B1439" s="5" t="s">
        <v>4000</v>
      </c>
      <c r="C1439" s="5" t="s">
        <v>3978</v>
      </c>
      <c r="D1439" s="5" t="s">
        <v>4001</v>
      </c>
      <c r="E1439" s="5" t="s">
        <v>4002</v>
      </c>
      <c r="F1439" s="5" t="s">
        <v>16</v>
      </c>
      <c r="G1439" s="5" t="s">
        <v>2327</v>
      </c>
      <c r="H1439" s="5" t="s">
        <v>275</v>
      </c>
      <c r="I1439" s="5"/>
      <c r="J1439" s="5" t="s">
        <v>19</v>
      </c>
      <c r="K1439" s="5" t="s">
        <v>2891</v>
      </c>
      <c r="L1439" s="7" t="s">
        <v>4003</v>
      </c>
    </row>
    <row r="1440" customFormat="false" ht="15.65" hidden="false" customHeight="true" outlineLevel="0" collapsed="false">
      <c r="A1440" s="2" t="str">
        <f aca="false">HYPERLINK("https://www.fabsurplus.com/sdi_catalog/salesItemDetails.do?id=108744")</f>
        <v>https://www.fabsurplus.com/sdi_catalog/salesItemDetails.do?id=108744</v>
      </c>
      <c r="B1440" s="2" t="s">
        <v>4004</v>
      </c>
      <c r="C1440" s="2" t="s">
        <v>3978</v>
      </c>
      <c r="D1440" s="2" t="s">
        <v>4005</v>
      </c>
      <c r="E1440" s="2" t="s">
        <v>4006</v>
      </c>
      <c r="F1440" s="2" t="s">
        <v>16</v>
      </c>
      <c r="G1440" s="2" t="s">
        <v>2327</v>
      </c>
      <c r="H1440" s="2" t="s">
        <v>18</v>
      </c>
      <c r="I1440" s="3" t="n">
        <v>34455</v>
      </c>
      <c r="J1440" s="2" t="s">
        <v>19</v>
      </c>
      <c r="K1440" s="2" t="s">
        <v>20</v>
      </c>
      <c r="L1440" s="4" t="s">
        <v>4007</v>
      </c>
    </row>
    <row r="1441" customFormat="false" ht="15.65" hidden="false" customHeight="true" outlineLevel="0" collapsed="false">
      <c r="A1441" s="5" t="str">
        <f aca="false">HYPERLINK("https://www.fabsurplus.com/sdi_catalog/salesItemDetails.do?id=108745")</f>
        <v>https://www.fabsurplus.com/sdi_catalog/salesItemDetails.do?id=108745</v>
      </c>
      <c r="B1441" s="5" t="s">
        <v>4008</v>
      </c>
      <c r="C1441" s="5" t="s">
        <v>3978</v>
      </c>
      <c r="D1441" s="5" t="s">
        <v>4009</v>
      </c>
      <c r="E1441" s="5" t="s">
        <v>4010</v>
      </c>
      <c r="F1441" s="5" t="s">
        <v>16</v>
      </c>
      <c r="G1441" s="5" t="s">
        <v>1362</v>
      </c>
      <c r="H1441" s="5" t="s">
        <v>18</v>
      </c>
      <c r="I1441" s="6" t="n">
        <v>35186</v>
      </c>
      <c r="J1441" s="5" t="s">
        <v>19</v>
      </c>
      <c r="K1441" s="5" t="s">
        <v>20</v>
      </c>
      <c r="L1441" s="7" t="s">
        <v>4011</v>
      </c>
    </row>
    <row r="1442" customFormat="false" ht="15.65" hidden="false" customHeight="true" outlineLevel="0" collapsed="false">
      <c r="A1442" s="2" t="str">
        <f aca="false">HYPERLINK("https://www.fabsurplus.com/sdi_catalog/salesItemDetails.do?id=108746")</f>
        <v>https://www.fabsurplus.com/sdi_catalog/salesItemDetails.do?id=108746</v>
      </c>
      <c r="B1442" s="2" t="s">
        <v>4012</v>
      </c>
      <c r="C1442" s="2" t="s">
        <v>3978</v>
      </c>
      <c r="D1442" s="2" t="s">
        <v>4013</v>
      </c>
      <c r="E1442" s="2" t="s">
        <v>4014</v>
      </c>
      <c r="F1442" s="2" t="s">
        <v>16</v>
      </c>
      <c r="G1442" s="2" t="s">
        <v>1362</v>
      </c>
      <c r="H1442" s="2" t="s">
        <v>18</v>
      </c>
      <c r="I1442" s="2"/>
      <c r="J1442" s="2" t="s">
        <v>19</v>
      </c>
      <c r="K1442" s="2" t="s">
        <v>20</v>
      </c>
      <c r="L1442" s="2"/>
    </row>
    <row r="1443" customFormat="false" ht="15.65" hidden="false" customHeight="true" outlineLevel="0" collapsed="false">
      <c r="A1443" s="5" t="str">
        <f aca="false">HYPERLINK("https://www.fabsurplus.com/sdi_catalog/salesItemDetails.do?id=106447")</f>
        <v>https://www.fabsurplus.com/sdi_catalog/salesItemDetails.do?id=106447</v>
      </c>
      <c r="B1443" s="5" t="s">
        <v>4015</v>
      </c>
      <c r="C1443" s="5" t="s">
        <v>3988</v>
      </c>
      <c r="D1443" s="5" t="s">
        <v>3989</v>
      </c>
      <c r="E1443" s="5" t="s">
        <v>4016</v>
      </c>
      <c r="F1443" s="5" t="s">
        <v>16</v>
      </c>
      <c r="G1443" s="5" t="s">
        <v>2858</v>
      </c>
      <c r="H1443" s="5" t="s">
        <v>32</v>
      </c>
      <c r="I1443" s="6" t="n">
        <v>36678</v>
      </c>
      <c r="J1443" s="5" t="s">
        <v>19</v>
      </c>
      <c r="K1443" s="5" t="s">
        <v>20</v>
      </c>
      <c r="L1443" s="5" t="s">
        <v>4017</v>
      </c>
    </row>
    <row r="1444" customFormat="false" ht="15.65" hidden="false" customHeight="true" outlineLevel="0" collapsed="false">
      <c r="A1444" s="2" t="str">
        <f aca="false">HYPERLINK("https://www.fabsurplus.com/sdi_catalog/salesItemDetails.do?id=106448")</f>
        <v>https://www.fabsurplus.com/sdi_catalog/salesItemDetails.do?id=106448</v>
      </c>
      <c r="B1444" s="2" t="s">
        <v>4018</v>
      </c>
      <c r="C1444" s="2" t="s">
        <v>3988</v>
      </c>
      <c r="D1444" s="2" t="s">
        <v>3989</v>
      </c>
      <c r="E1444" s="2" t="s">
        <v>4019</v>
      </c>
      <c r="F1444" s="2" t="s">
        <v>16</v>
      </c>
      <c r="G1444" s="2" t="s">
        <v>2858</v>
      </c>
      <c r="H1444" s="2" t="s">
        <v>32</v>
      </c>
      <c r="I1444" s="2"/>
      <c r="J1444" s="2" t="s">
        <v>19</v>
      </c>
      <c r="K1444" s="2" t="s">
        <v>20</v>
      </c>
      <c r="L1444" s="2" t="s">
        <v>4017</v>
      </c>
    </row>
    <row r="1445" customFormat="false" ht="15.65" hidden="false" customHeight="true" outlineLevel="0" collapsed="false">
      <c r="A1445" s="5" t="str">
        <f aca="false">HYPERLINK("https://www.fabsurplus.com/sdi_catalog/salesItemDetails.do?id=109390")</f>
        <v>https://www.fabsurplus.com/sdi_catalog/salesItemDetails.do?id=109390</v>
      </c>
      <c r="B1445" s="5" t="s">
        <v>4020</v>
      </c>
      <c r="C1445" s="5" t="s">
        <v>4021</v>
      </c>
      <c r="D1445" s="5" t="s">
        <v>4022</v>
      </c>
      <c r="E1445" s="5" t="s">
        <v>103</v>
      </c>
      <c r="F1445" s="5" t="s">
        <v>86</v>
      </c>
      <c r="G1445" s="5" t="s">
        <v>104</v>
      </c>
      <c r="H1445" s="5"/>
      <c r="I1445" s="5"/>
      <c r="J1445" s="5" t="s">
        <v>19</v>
      </c>
      <c r="K1445" s="5"/>
      <c r="L1445" s="5"/>
    </row>
    <row r="1446" customFormat="false" ht="15.65" hidden="false" customHeight="true" outlineLevel="0" collapsed="false">
      <c r="A1446" s="2" t="str">
        <f aca="false">HYPERLINK("https://www.fabsurplus.com/sdi_catalog/salesItemDetails.do?id=109391")</f>
        <v>https://www.fabsurplus.com/sdi_catalog/salesItemDetails.do?id=109391</v>
      </c>
      <c r="B1446" s="2" t="s">
        <v>4023</v>
      </c>
      <c r="C1446" s="2" t="s">
        <v>4021</v>
      </c>
      <c r="D1446" s="2" t="s">
        <v>4024</v>
      </c>
      <c r="E1446" s="2" t="s">
        <v>103</v>
      </c>
      <c r="F1446" s="2" t="s">
        <v>16</v>
      </c>
      <c r="G1446" s="2" t="s">
        <v>104</v>
      </c>
      <c r="H1446" s="2"/>
      <c r="I1446" s="2"/>
      <c r="J1446" s="2" t="s">
        <v>19</v>
      </c>
      <c r="K1446" s="2"/>
      <c r="L1446" s="2" t="s">
        <v>4025</v>
      </c>
    </row>
    <row r="1447" customFormat="false" ht="15.65" hidden="false" customHeight="true" outlineLevel="0" collapsed="false">
      <c r="A1447" s="5" t="str">
        <f aca="false">HYPERLINK("https://www.fabsurplus.com/sdi_catalog/salesItemDetails.do?id=109392")</f>
        <v>https://www.fabsurplus.com/sdi_catalog/salesItemDetails.do?id=109392</v>
      </c>
      <c r="B1447" s="5" t="s">
        <v>4026</v>
      </c>
      <c r="C1447" s="5" t="s">
        <v>4021</v>
      </c>
      <c r="D1447" s="5" t="s">
        <v>4027</v>
      </c>
      <c r="E1447" s="5" t="s">
        <v>103</v>
      </c>
      <c r="F1447" s="5" t="s">
        <v>86</v>
      </c>
      <c r="G1447" s="5" t="s">
        <v>104</v>
      </c>
      <c r="H1447" s="5"/>
      <c r="I1447" s="5"/>
      <c r="J1447" s="5" t="s">
        <v>19</v>
      </c>
      <c r="K1447" s="5"/>
      <c r="L1447" s="5"/>
    </row>
    <row r="1448" customFormat="false" ht="15.65" hidden="false" customHeight="true" outlineLevel="0" collapsed="false">
      <c r="A1448" s="2" t="str">
        <f aca="false">HYPERLINK("https://www.fabsurplus.com/sdi_catalog/salesItemDetails.do?id=109393")</f>
        <v>https://www.fabsurplus.com/sdi_catalog/salesItemDetails.do?id=109393</v>
      </c>
      <c r="B1448" s="2" t="s">
        <v>4028</v>
      </c>
      <c r="C1448" s="2" t="s">
        <v>4021</v>
      </c>
      <c r="D1448" s="2" t="s">
        <v>4029</v>
      </c>
      <c r="E1448" s="2" t="s">
        <v>103</v>
      </c>
      <c r="F1448" s="2" t="s">
        <v>203</v>
      </c>
      <c r="G1448" s="2" t="s">
        <v>104</v>
      </c>
      <c r="H1448" s="2"/>
      <c r="I1448" s="2"/>
      <c r="J1448" s="2" t="s">
        <v>19</v>
      </c>
      <c r="K1448" s="2"/>
      <c r="L1448" s="2"/>
    </row>
    <row r="1449" customFormat="false" ht="15.65" hidden="false" customHeight="true" outlineLevel="0" collapsed="false">
      <c r="A1449" s="5" t="str">
        <f aca="false">HYPERLINK("https://www.fabsurplus.com/sdi_catalog/salesItemDetails.do?id=109394")</f>
        <v>https://www.fabsurplus.com/sdi_catalog/salesItemDetails.do?id=109394</v>
      </c>
      <c r="B1449" s="5" t="s">
        <v>4030</v>
      </c>
      <c r="C1449" s="5" t="s">
        <v>4021</v>
      </c>
      <c r="D1449" s="5" t="s">
        <v>4031</v>
      </c>
      <c r="E1449" s="5" t="s">
        <v>103</v>
      </c>
      <c r="F1449" s="5" t="s">
        <v>16</v>
      </c>
      <c r="G1449" s="5" t="s">
        <v>104</v>
      </c>
      <c r="H1449" s="5"/>
      <c r="I1449" s="5"/>
      <c r="J1449" s="5" t="s">
        <v>19</v>
      </c>
      <c r="K1449" s="5"/>
      <c r="L1449" s="5"/>
    </row>
    <row r="1450" customFormat="false" ht="15.65" hidden="false" customHeight="true" outlineLevel="0" collapsed="false">
      <c r="A1450" s="2" t="str">
        <f aca="false">HYPERLINK("https://www.fabsurplus.com/sdi_catalog/salesItemDetails.do?id=109395")</f>
        <v>https://www.fabsurplus.com/sdi_catalog/salesItemDetails.do?id=109395</v>
      </c>
      <c r="B1450" s="2" t="s">
        <v>4032</v>
      </c>
      <c r="C1450" s="2" t="s">
        <v>4021</v>
      </c>
      <c r="D1450" s="2" t="s">
        <v>4033</v>
      </c>
      <c r="E1450" s="2" t="s">
        <v>103</v>
      </c>
      <c r="F1450" s="2" t="s">
        <v>151</v>
      </c>
      <c r="G1450" s="2" t="s">
        <v>104</v>
      </c>
      <c r="H1450" s="2"/>
      <c r="I1450" s="2"/>
      <c r="J1450" s="2" t="s">
        <v>19</v>
      </c>
      <c r="K1450" s="2"/>
      <c r="L1450" s="2"/>
    </row>
    <row r="1451" customFormat="false" ht="15.65" hidden="false" customHeight="true" outlineLevel="0" collapsed="false">
      <c r="A1451" s="5" t="str">
        <f aca="false">HYPERLINK("https://www.fabsurplus.com/sdi_catalog/salesItemDetails.do?id=109396")</f>
        <v>https://www.fabsurplus.com/sdi_catalog/salesItemDetails.do?id=109396</v>
      </c>
      <c r="B1451" s="5" t="s">
        <v>4034</v>
      </c>
      <c r="C1451" s="5" t="s">
        <v>4021</v>
      </c>
      <c r="D1451" s="5" t="s">
        <v>4035</v>
      </c>
      <c r="E1451" s="5" t="s">
        <v>103</v>
      </c>
      <c r="F1451" s="5" t="s">
        <v>151</v>
      </c>
      <c r="G1451" s="5" t="s">
        <v>104</v>
      </c>
      <c r="H1451" s="5"/>
      <c r="I1451" s="5"/>
      <c r="J1451" s="5" t="s">
        <v>19</v>
      </c>
      <c r="K1451" s="5"/>
      <c r="L1451" s="5"/>
    </row>
    <row r="1452" customFormat="false" ht="15.65" hidden="false" customHeight="true" outlineLevel="0" collapsed="false">
      <c r="A1452" s="2" t="str">
        <f aca="false">HYPERLINK("https://www.fabsurplus.com/sdi_catalog/salesItemDetails.do?id=109397")</f>
        <v>https://www.fabsurplus.com/sdi_catalog/salesItemDetails.do?id=109397</v>
      </c>
      <c r="B1452" s="2" t="s">
        <v>4036</v>
      </c>
      <c r="C1452" s="2" t="s">
        <v>4021</v>
      </c>
      <c r="D1452" s="2" t="s">
        <v>4037</v>
      </c>
      <c r="E1452" s="2" t="s">
        <v>103</v>
      </c>
      <c r="F1452" s="2" t="s">
        <v>4038</v>
      </c>
      <c r="G1452" s="2" t="s">
        <v>104</v>
      </c>
      <c r="H1452" s="2"/>
      <c r="I1452" s="2"/>
      <c r="J1452" s="2" t="s">
        <v>19</v>
      </c>
      <c r="K1452" s="2"/>
      <c r="L1452" s="2" t="s">
        <v>4039</v>
      </c>
    </row>
    <row r="1453" customFormat="false" ht="15.65" hidden="false" customHeight="true" outlineLevel="0" collapsed="false">
      <c r="A1453" s="5" t="str">
        <f aca="false">HYPERLINK("https://www.fabsurplus.com/sdi_catalog/salesItemDetails.do?id=109398")</f>
        <v>https://www.fabsurplus.com/sdi_catalog/salesItemDetails.do?id=109398</v>
      </c>
      <c r="B1453" s="5" t="s">
        <v>4040</v>
      </c>
      <c r="C1453" s="5" t="s">
        <v>4021</v>
      </c>
      <c r="D1453" s="5" t="s">
        <v>4041</v>
      </c>
      <c r="E1453" s="5" t="s">
        <v>103</v>
      </c>
      <c r="F1453" s="5" t="s">
        <v>16</v>
      </c>
      <c r="G1453" s="5" t="s">
        <v>104</v>
      </c>
      <c r="H1453" s="5"/>
      <c r="I1453" s="5"/>
      <c r="J1453" s="5" t="s">
        <v>19</v>
      </c>
      <c r="K1453" s="5"/>
      <c r="L1453" s="5" t="s">
        <v>4042</v>
      </c>
    </row>
    <row r="1454" customFormat="false" ht="15.65" hidden="false" customHeight="true" outlineLevel="0" collapsed="false">
      <c r="A1454" s="2" t="str">
        <f aca="false">HYPERLINK("https://www.fabsurplus.com/sdi_catalog/salesItemDetails.do?id=109399")</f>
        <v>https://www.fabsurplus.com/sdi_catalog/salesItemDetails.do?id=109399</v>
      </c>
      <c r="B1454" s="2" t="s">
        <v>4043</v>
      </c>
      <c r="C1454" s="2" t="s">
        <v>4021</v>
      </c>
      <c r="D1454" s="2" t="s">
        <v>4041</v>
      </c>
      <c r="E1454" s="2" t="s">
        <v>103</v>
      </c>
      <c r="F1454" s="2" t="s">
        <v>2550</v>
      </c>
      <c r="G1454" s="2" t="s">
        <v>104</v>
      </c>
      <c r="H1454" s="2"/>
      <c r="I1454" s="2"/>
      <c r="J1454" s="2" t="s">
        <v>19</v>
      </c>
      <c r="K1454" s="2"/>
      <c r="L1454" s="2" t="s">
        <v>4044</v>
      </c>
    </row>
    <row r="1455" customFormat="false" ht="15.65" hidden="false" customHeight="true" outlineLevel="0" collapsed="false">
      <c r="A1455" s="5" t="str">
        <f aca="false">HYPERLINK("https://www.fabsurplus.com/sdi_catalog/salesItemDetails.do?id=109400")</f>
        <v>https://www.fabsurplus.com/sdi_catalog/salesItemDetails.do?id=109400</v>
      </c>
      <c r="B1455" s="5" t="s">
        <v>4045</v>
      </c>
      <c r="C1455" s="5" t="s">
        <v>4021</v>
      </c>
      <c r="D1455" s="5" t="s">
        <v>4046</v>
      </c>
      <c r="E1455" s="5" t="s">
        <v>103</v>
      </c>
      <c r="F1455" s="5" t="s">
        <v>60</v>
      </c>
      <c r="G1455" s="5" t="s">
        <v>104</v>
      </c>
      <c r="H1455" s="5"/>
      <c r="I1455" s="5"/>
      <c r="J1455" s="5" t="s">
        <v>19</v>
      </c>
      <c r="K1455" s="5"/>
      <c r="L1455" s="5" t="s">
        <v>4047</v>
      </c>
    </row>
    <row r="1456" customFormat="false" ht="15.65" hidden="false" customHeight="true" outlineLevel="0" collapsed="false">
      <c r="A1456" s="2" t="str">
        <f aca="false">HYPERLINK("https://www.fabsurplus.com/sdi_catalog/salesItemDetails.do?id=109401")</f>
        <v>https://www.fabsurplus.com/sdi_catalog/salesItemDetails.do?id=109401</v>
      </c>
      <c r="B1456" s="2" t="s">
        <v>4048</v>
      </c>
      <c r="C1456" s="2" t="s">
        <v>4021</v>
      </c>
      <c r="D1456" s="2" t="s">
        <v>4046</v>
      </c>
      <c r="E1456" s="2" t="s">
        <v>103</v>
      </c>
      <c r="F1456" s="2" t="s">
        <v>236</v>
      </c>
      <c r="G1456" s="2" t="s">
        <v>104</v>
      </c>
      <c r="H1456" s="2"/>
      <c r="I1456" s="2"/>
      <c r="J1456" s="2" t="s">
        <v>19</v>
      </c>
      <c r="K1456" s="2"/>
      <c r="L1456" s="2" t="s">
        <v>4049</v>
      </c>
    </row>
    <row r="1457" customFormat="false" ht="15.65" hidden="false" customHeight="true" outlineLevel="0" collapsed="false">
      <c r="A1457" s="5" t="str">
        <f aca="false">HYPERLINK("https://www.fabsurplus.com/sdi_catalog/salesItemDetails.do?id=109402")</f>
        <v>https://www.fabsurplus.com/sdi_catalog/salesItemDetails.do?id=109402</v>
      </c>
      <c r="B1457" s="5" t="s">
        <v>4050</v>
      </c>
      <c r="C1457" s="5" t="s">
        <v>4021</v>
      </c>
      <c r="D1457" s="5" t="s">
        <v>4051</v>
      </c>
      <c r="E1457" s="5" t="s">
        <v>103</v>
      </c>
      <c r="F1457" s="5" t="s">
        <v>561</v>
      </c>
      <c r="G1457" s="5" t="s">
        <v>104</v>
      </c>
      <c r="H1457" s="5"/>
      <c r="I1457" s="5"/>
      <c r="J1457" s="5" t="s">
        <v>19</v>
      </c>
      <c r="K1457" s="5"/>
      <c r="L1457" s="5" t="s">
        <v>4052</v>
      </c>
    </row>
    <row r="1458" customFormat="false" ht="15.65" hidden="false" customHeight="true" outlineLevel="0" collapsed="false">
      <c r="A1458" s="2" t="str">
        <f aca="false">HYPERLINK("https://www.fabsurplus.com/sdi_catalog/salesItemDetails.do?id=109403")</f>
        <v>https://www.fabsurplus.com/sdi_catalog/salesItemDetails.do?id=109403</v>
      </c>
      <c r="B1458" s="2" t="s">
        <v>4053</v>
      </c>
      <c r="C1458" s="2" t="s">
        <v>4021</v>
      </c>
      <c r="D1458" s="2" t="s">
        <v>4054</v>
      </c>
      <c r="E1458" s="2" t="s">
        <v>103</v>
      </c>
      <c r="F1458" s="2" t="s">
        <v>151</v>
      </c>
      <c r="G1458" s="2" t="s">
        <v>104</v>
      </c>
      <c r="H1458" s="2"/>
      <c r="I1458" s="2"/>
      <c r="J1458" s="2" t="s">
        <v>19</v>
      </c>
      <c r="K1458" s="2"/>
      <c r="L1458" s="2"/>
    </row>
    <row r="1459" customFormat="false" ht="15.65" hidden="false" customHeight="true" outlineLevel="0" collapsed="false">
      <c r="A1459" s="5" t="str">
        <f aca="false">HYPERLINK("https://www.fabsurplus.com/sdi_catalog/salesItemDetails.do?id=109404")</f>
        <v>https://www.fabsurplus.com/sdi_catalog/salesItemDetails.do?id=109404</v>
      </c>
      <c r="B1459" s="5" t="s">
        <v>4055</v>
      </c>
      <c r="C1459" s="5" t="s">
        <v>4021</v>
      </c>
      <c r="D1459" s="5" t="s">
        <v>4056</v>
      </c>
      <c r="E1459" s="5" t="s">
        <v>103</v>
      </c>
      <c r="F1459" s="5" t="s">
        <v>16</v>
      </c>
      <c r="G1459" s="5" t="s">
        <v>104</v>
      </c>
      <c r="H1459" s="5"/>
      <c r="I1459" s="5"/>
      <c r="J1459" s="5" t="s">
        <v>19</v>
      </c>
      <c r="K1459" s="5"/>
      <c r="L1459" s="5"/>
    </row>
    <row r="1460" customFormat="false" ht="15.65" hidden="false" customHeight="true" outlineLevel="0" collapsed="false">
      <c r="A1460" s="2" t="str">
        <f aca="false">HYPERLINK("https://www.fabsurplus.com/sdi_catalog/salesItemDetails.do?id=109405")</f>
        <v>https://www.fabsurplus.com/sdi_catalog/salesItemDetails.do?id=109405</v>
      </c>
      <c r="B1460" s="2" t="s">
        <v>4057</v>
      </c>
      <c r="C1460" s="2" t="s">
        <v>4021</v>
      </c>
      <c r="D1460" s="2" t="s">
        <v>4058</v>
      </c>
      <c r="E1460" s="2" t="s">
        <v>103</v>
      </c>
      <c r="F1460" s="2" t="s">
        <v>86</v>
      </c>
      <c r="G1460" s="2" t="s">
        <v>104</v>
      </c>
      <c r="H1460" s="2"/>
      <c r="I1460" s="2"/>
      <c r="J1460" s="2" t="s">
        <v>19</v>
      </c>
      <c r="K1460" s="2"/>
      <c r="L1460" s="2" t="s">
        <v>4059</v>
      </c>
    </row>
    <row r="1461" customFormat="false" ht="15.65" hidden="false" customHeight="true" outlineLevel="0" collapsed="false">
      <c r="A1461" s="5" t="str">
        <f aca="false">HYPERLINK("https://www.fabsurplus.com/sdi_catalog/salesItemDetails.do?id=109406")</f>
        <v>https://www.fabsurplus.com/sdi_catalog/salesItemDetails.do?id=109406</v>
      </c>
      <c r="B1461" s="5" t="s">
        <v>4060</v>
      </c>
      <c r="C1461" s="5" t="s">
        <v>4021</v>
      </c>
      <c r="D1461" s="5" t="s">
        <v>4061</v>
      </c>
      <c r="E1461" s="5" t="s">
        <v>103</v>
      </c>
      <c r="F1461" s="5" t="s">
        <v>16</v>
      </c>
      <c r="G1461" s="5" t="s">
        <v>104</v>
      </c>
      <c r="H1461" s="5"/>
      <c r="I1461" s="5"/>
      <c r="J1461" s="5" t="s">
        <v>19</v>
      </c>
      <c r="K1461" s="5"/>
      <c r="L1461" s="5" t="s">
        <v>4062</v>
      </c>
    </row>
    <row r="1462" customFormat="false" ht="15.65" hidden="false" customHeight="true" outlineLevel="0" collapsed="false">
      <c r="A1462" s="2" t="str">
        <f aca="false">HYPERLINK("https://www.fabsurplus.com/sdi_catalog/salesItemDetails.do?id=109407")</f>
        <v>https://www.fabsurplus.com/sdi_catalog/salesItemDetails.do?id=109407</v>
      </c>
      <c r="B1462" s="2" t="s">
        <v>4063</v>
      </c>
      <c r="C1462" s="2" t="s">
        <v>4021</v>
      </c>
      <c r="D1462" s="2" t="s">
        <v>4064</v>
      </c>
      <c r="E1462" s="2" t="s">
        <v>103</v>
      </c>
      <c r="F1462" s="2" t="s">
        <v>16</v>
      </c>
      <c r="G1462" s="2" t="s">
        <v>104</v>
      </c>
      <c r="H1462" s="2"/>
      <c r="I1462" s="2"/>
      <c r="J1462" s="2" t="s">
        <v>19</v>
      </c>
      <c r="K1462" s="2"/>
      <c r="L1462" s="2" t="s">
        <v>4065</v>
      </c>
    </row>
    <row r="1463" customFormat="false" ht="15.65" hidden="false" customHeight="true" outlineLevel="0" collapsed="false">
      <c r="A1463" s="5" t="str">
        <f aca="false">HYPERLINK("https://www.fabsurplus.com/sdi_catalog/salesItemDetails.do?id=109408")</f>
        <v>https://www.fabsurplus.com/sdi_catalog/salesItemDetails.do?id=109408</v>
      </c>
      <c r="B1463" s="5" t="s">
        <v>4066</v>
      </c>
      <c r="C1463" s="5" t="s">
        <v>4021</v>
      </c>
      <c r="D1463" s="5" t="s">
        <v>4067</v>
      </c>
      <c r="E1463" s="5" t="s">
        <v>103</v>
      </c>
      <c r="F1463" s="5" t="s">
        <v>86</v>
      </c>
      <c r="G1463" s="5" t="s">
        <v>104</v>
      </c>
      <c r="H1463" s="5"/>
      <c r="I1463" s="5"/>
      <c r="J1463" s="5" t="s">
        <v>19</v>
      </c>
      <c r="K1463" s="5"/>
      <c r="L1463" s="5"/>
    </row>
    <row r="1464" customFormat="false" ht="15.65" hidden="false" customHeight="true" outlineLevel="0" collapsed="false">
      <c r="A1464" s="2" t="str">
        <f aca="false">HYPERLINK("https://www.fabsurplus.com/sdi_catalog/salesItemDetails.do?id=109409")</f>
        <v>https://www.fabsurplus.com/sdi_catalog/salesItemDetails.do?id=109409</v>
      </c>
      <c r="B1464" s="2" t="s">
        <v>4068</v>
      </c>
      <c r="C1464" s="2" t="s">
        <v>4021</v>
      </c>
      <c r="D1464" s="2" t="s">
        <v>4069</v>
      </c>
      <c r="E1464" s="2" t="s">
        <v>103</v>
      </c>
      <c r="F1464" s="2" t="s">
        <v>86</v>
      </c>
      <c r="G1464" s="2" t="s">
        <v>104</v>
      </c>
      <c r="H1464" s="2"/>
      <c r="I1464" s="2"/>
      <c r="J1464" s="2" t="s">
        <v>19</v>
      </c>
      <c r="K1464" s="2"/>
      <c r="L1464" s="2" t="s">
        <v>4070</v>
      </c>
    </row>
    <row r="1465" customFormat="false" ht="15.65" hidden="false" customHeight="true" outlineLevel="0" collapsed="false">
      <c r="A1465" s="5" t="str">
        <f aca="false">HYPERLINK("https://www.fabsurplus.com/sdi_catalog/salesItemDetails.do?id=109410")</f>
        <v>https://www.fabsurplus.com/sdi_catalog/salesItemDetails.do?id=109410</v>
      </c>
      <c r="B1465" s="5" t="s">
        <v>4071</v>
      </c>
      <c r="C1465" s="5" t="s">
        <v>4021</v>
      </c>
      <c r="D1465" s="5" t="s">
        <v>4072</v>
      </c>
      <c r="E1465" s="5" t="s">
        <v>103</v>
      </c>
      <c r="F1465" s="5" t="s">
        <v>151</v>
      </c>
      <c r="G1465" s="5" t="s">
        <v>104</v>
      </c>
      <c r="H1465" s="5"/>
      <c r="I1465" s="5"/>
      <c r="J1465" s="5" t="s">
        <v>19</v>
      </c>
      <c r="K1465" s="5"/>
      <c r="L1465" s="5"/>
    </row>
    <row r="1466" customFormat="false" ht="15.65" hidden="false" customHeight="true" outlineLevel="0" collapsed="false">
      <c r="A1466" s="2" t="str">
        <f aca="false">HYPERLINK("https://www.fabsurplus.com/sdi_catalog/salesItemDetails.do?id=109411")</f>
        <v>https://www.fabsurplus.com/sdi_catalog/salesItemDetails.do?id=109411</v>
      </c>
      <c r="B1466" s="2" t="s">
        <v>4073</v>
      </c>
      <c r="C1466" s="2" t="s">
        <v>4021</v>
      </c>
      <c r="D1466" s="2" t="s">
        <v>4074</v>
      </c>
      <c r="E1466" s="2" t="s">
        <v>103</v>
      </c>
      <c r="F1466" s="2" t="s">
        <v>151</v>
      </c>
      <c r="G1466" s="2" t="s">
        <v>104</v>
      </c>
      <c r="H1466" s="2"/>
      <c r="I1466" s="2"/>
      <c r="J1466" s="2" t="s">
        <v>19</v>
      </c>
      <c r="K1466" s="2"/>
      <c r="L1466" s="2"/>
    </row>
    <row r="1467" customFormat="false" ht="15.65" hidden="false" customHeight="true" outlineLevel="0" collapsed="false">
      <c r="A1467" s="5" t="str">
        <f aca="false">HYPERLINK("https://www.fabsurplus.com/sdi_catalog/salesItemDetails.do?id=109412")</f>
        <v>https://www.fabsurplus.com/sdi_catalog/salesItemDetails.do?id=109412</v>
      </c>
      <c r="B1467" s="5" t="s">
        <v>4075</v>
      </c>
      <c r="C1467" s="5" t="s">
        <v>4021</v>
      </c>
      <c r="D1467" s="5" t="s">
        <v>4076</v>
      </c>
      <c r="E1467" s="5" t="s">
        <v>103</v>
      </c>
      <c r="F1467" s="5" t="s">
        <v>4038</v>
      </c>
      <c r="G1467" s="5" t="s">
        <v>104</v>
      </c>
      <c r="H1467" s="5"/>
      <c r="I1467" s="5"/>
      <c r="J1467" s="5" t="s">
        <v>19</v>
      </c>
      <c r="K1467" s="5"/>
      <c r="L1467" s="5" t="s">
        <v>4077</v>
      </c>
    </row>
    <row r="1468" customFormat="false" ht="15.65" hidden="false" customHeight="true" outlineLevel="0" collapsed="false">
      <c r="A1468" s="2" t="str">
        <f aca="false">HYPERLINK("https://www.fabsurplus.com/sdi_catalog/salesItemDetails.do?id=109413")</f>
        <v>https://www.fabsurplus.com/sdi_catalog/salesItemDetails.do?id=109413</v>
      </c>
      <c r="B1468" s="2" t="s">
        <v>4078</v>
      </c>
      <c r="C1468" s="2" t="s">
        <v>4021</v>
      </c>
      <c r="D1468" s="2" t="s">
        <v>4079</v>
      </c>
      <c r="E1468" s="2" t="s">
        <v>103</v>
      </c>
      <c r="F1468" s="2" t="s">
        <v>16</v>
      </c>
      <c r="G1468" s="2" t="s">
        <v>104</v>
      </c>
      <c r="H1468" s="2"/>
      <c r="I1468" s="2"/>
      <c r="J1468" s="2" t="s">
        <v>19</v>
      </c>
      <c r="K1468" s="2"/>
      <c r="L1468" s="2" t="s">
        <v>4080</v>
      </c>
    </row>
    <row r="1469" customFormat="false" ht="15.65" hidden="false" customHeight="true" outlineLevel="0" collapsed="false">
      <c r="A1469" s="5" t="str">
        <f aca="false">HYPERLINK("https://www.fabsurplus.com/sdi_catalog/salesItemDetails.do?id=109414")</f>
        <v>https://www.fabsurplus.com/sdi_catalog/salesItemDetails.do?id=109414</v>
      </c>
      <c r="B1469" s="5" t="s">
        <v>4081</v>
      </c>
      <c r="C1469" s="5" t="s">
        <v>4021</v>
      </c>
      <c r="D1469" s="5" t="s">
        <v>4079</v>
      </c>
      <c r="E1469" s="5" t="s">
        <v>103</v>
      </c>
      <c r="F1469" s="5" t="s">
        <v>78</v>
      </c>
      <c r="G1469" s="5" t="s">
        <v>104</v>
      </c>
      <c r="H1469" s="5"/>
      <c r="I1469" s="5"/>
      <c r="J1469" s="5" t="s">
        <v>19</v>
      </c>
      <c r="K1469" s="5"/>
      <c r="L1469" s="5"/>
    </row>
    <row r="1470" customFormat="false" ht="15.65" hidden="false" customHeight="true" outlineLevel="0" collapsed="false">
      <c r="A1470" s="2" t="str">
        <f aca="false">HYPERLINK("https://www.fabsurplus.com/sdi_catalog/salesItemDetails.do?id=109415")</f>
        <v>https://www.fabsurplus.com/sdi_catalog/salesItemDetails.do?id=109415</v>
      </c>
      <c r="B1470" s="2" t="s">
        <v>4082</v>
      </c>
      <c r="C1470" s="2" t="s">
        <v>4021</v>
      </c>
      <c r="D1470" s="2" t="s">
        <v>4083</v>
      </c>
      <c r="E1470" s="2" t="s">
        <v>103</v>
      </c>
      <c r="F1470" s="2" t="s">
        <v>16</v>
      </c>
      <c r="G1470" s="2" t="s">
        <v>104</v>
      </c>
      <c r="H1470" s="2"/>
      <c r="I1470" s="2"/>
      <c r="J1470" s="2" t="s">
        <v>19</v>
      </c>
      <c r="K1470" s="2"/>
      <c r="L1470" s="2"/>
    </row>
    <row r="1471" customFormat="false" ht="15.65" hidden="false" customHeight="true" outlineLevel="0" collapsed="false">
      <c r="A1471" s="5" t="str">
        <f aca="false">HYPERLINK("https://www.fabsurplus.com/sdi_catalog/salesItemDetails.do?id=109416")</f>
        <v>https://www.fabsurplus.com/sdi_catalog/salesItemDetails.do?id=109416</v>
      </c>
      <c r="B1471" s="5" t="s">
        <v>4084</v>
      </c>
      <c r="C1471" s="5" t="s">
        <v>4021</v>
      </c>
      <c r="D1471" s="5" t="s">
        <v>4085</v>
      </c>
      <c r="E1471" s="5" t="s">
        <v>103</v>
      </c>
      <c r="F1471" s="5" t="s">
        <v>151</v>
      </c>
      <c r="G1471" s="5" t="s">
        <v>104</v>
      </c>
      <c r="H1471" s="5"/>
      <c r="I1471" s="5"/>
      <c r="J1471" s="5" t="s">
        <v>19</v>
      </c>
      <c r="K1471" s="5"/>
      <c r="L1471" s="5"/>
    </row>
    <row r="1472" customFormat="false" ht="15.65" hidden="false" customHeight="true" outlineLevel="0" collapsed="false">
      <c r="A1472" s="2" t="str">
        <f aca="false">HYPERLINK("https://www.fabsurplus.com/sdi_catalog/salesItemDetails.do?id=110038")</f>
        <v>https://www.fabsurplus.com/sdi_catalog/salesItemDetails.do?id=110038</v>
      </c>
      <c r="B1472" s="2" t="s">
        <v>4086</v>
      </c>
      <c r="C1472" s="2" t="s">
        <v>4087</v>
      </c>
      <c r="D1472" s="2" t="s">
        <v>4088</v>
      </c>
      <c r="E1472" s="2" t="s">
        <v>763</v>
      </c>
      <c r="F1472" s="2" t="s">
        <v>16</v>
      </c>
      <c r="G1472" s="2" t="s">
        <v>165</v>
      </c>
      <c r="H1472" s="2"/>
      <c r="I1472" s="2"/>
      <c r="J1472" s="2" t="s">
        <v>42</v>
      </c>
      <c r="K1472" s="2"/>
      <c r="L1472" s="2" t="s">
        <v>4089</v>
      </c>
    </row>
    <row r="1473" customFormat="false" ht="15.65" hidden="false" customHeight="true" outlineLevel="0" collapsed="false">
      <c r="A1473" s="5" t="str">
        <f aca="false">HYPERLINK("https://www.fabsurplus.com/sdi_catalog/salesItemDetails.do?id=110039")</f>
        <v>https://www.fabsurplus.com/sdi_catalog/salesItemDetails.do?id=110039</v>
      </c>
      <c r="B1473" s="5" t="s">
        <v>4090</v>
      </c>
      <c r="C1473" s="5" t="s">
        <v>4087</v>
      </c>
      <c r="D1473" s="5" t="s">
        <v>4088</v>
      </c>
      <c r="E1473" s="5" t="s">
        <v>763</v>
      </c>
      <c r="F1473" s="5" t="s">
        <v>16</v>
      </c>
      <c r="G1473" s="5" t="s">
        <v>165</v>
      </c>
      <c r="H1473" s="5"/>
      <c r="I1473" s="5"/>
      <c r="J1473" s="5" t="s">
        <v>42</v>
      </c>
      <c r="K1473" s="5"/>
      <c r="L1473" s="5" t="s">
        <v>4091</v>
      </c>
    </row>
    <row r="1474" customFormat="false" ht="15.65" hidden="false" customHeight="true" outlineLevel="0" collapsed="false">
      <c r="A1474" s="2" t="str">
        <f aca="false">HYPERLINK("https://www.fabsurplus.com/sdi_catalog/salesItemDetails.do?id=110040")</f>
        <v>https://www.fabsurplus.com/sdi_catalog/salesItemDetails.do?id=110040</v>
      </c>
      <c r="B1474" s="2" t="s">
        <v>4092</v>
      </c>
      <c r="C1474" s="2" t="s">
        <v>4087</v>
      </c>
      <c r="D1474" s="2" t="s">
        <v>883</v>
      </c>
      <c r="E1474" s="2" t="s">
        <v>763</v>
      </c>
      <c r="F1474" s="2" t="s">
        <v>16</v>
      </c>
      <c r="G1474" s="2" t="s">
        <v>165</v>
      </c>
      <c r="H1474" s="2"/>
      <c r="I1474" s="2"/>
      <c r="J1474" s="2" t="s">
        <v>42</v>
      </c>
      <c r="K1474" s="2"/>
      <c r="L1474" s="2" t="s">
        <v>4093</v>
      </c>
    </row>
    <row r="1475" customFormat="false" ht="15.65" hidden="false" customHeight="true" outlineLevel="0" collapsed="false">
      <c r="A1475" s="5" t="str">
        <f aca="false">HYPERLINK("https://www.fabsurplus.com/sdi_catalog/salesItemDetails.do?id=110041")</f>
        <v>https://www.fabsurplus.com/sdi_catalog/salesItemDetails.do?id=110041</v>
      </c>
      <c r="B1475" s="5" t="s">
        <v>4094</v>
      </c>
      <c r="C1475" s="5" t="s">
        <v>4087</v>
      </c>
      <c r="D1475" s="5" t="s">
        <v>4095</v>
      </c>
      <c r="E1475" s="5" t="s">
        <v>763</v>
      </c>
      <c r="F1475" s="5" t="s">
        <v>16</v>
      </c>
      <c r="G1475" s="5" t="s">
        <v>165</v>
      </c>
      <c r="H1475" s="5"/>
      <c r="I1475" s="5"/>
      <c r="J1475" s="5" t="s">
        <v>42</v>
      </c>
      <c r="K1475" s="5"/>
      <c r="L1475" s="5" t="s">
        <v>4096</v>
      </c>
    </row>
    <row r="1476" customFormat="false" ht="15.65" hidden="false" customHeight="true" outlineLevel="0" collapsed="false">
      <c r="A1476" s="2" t="str">
        <f aca="false">HYPERLINK("https://www.fabsurplus.com/sdi_catalog/salesItemDetails.do?id=110042")</f>
        <v>https://www.fabsurplus.com/sdi_catalog/salesItemDetails.do?id=110042</v>
      </c>
      <c r="B1476" s="2" t="s">
        <v>4097</v>
      </c>
      <c r="C1476" s="2" t="s">
        <v>4098</v>
      </c>
      <c r="D1476" s="2" t="s">
        <v>4099</v>
      </c>
      <c r="E1476" s="2" t="s">
        <v>170</v>
      </c>
      <c r="F1476" s="2" t="s">
        <v>16</v>
      </c>
      <c r="G1476" s="2" t="s">
        <v>165</v>
      </c>
      <c r="H1476" s="2"/>
      <c r="I1476" s="2"/>
      <c r="J1476" s="2" t="s">
        <v>42</v>
      </c>
      <c r="K1476" s="2"/>
      <c r="L1476" s="2" t="s">
        <v>4100</v>
      </c>
    </row>
    <row r="1477" customFormat="false" ht="15.65" hidden="false" customHeight="true" outlineLevel="0" collapsed="false">
      <c r="A1477" s="5" t="str">
        <f aca="false">HYPERLINK("https://www.fabsurplus.com/sdi_catalog/salesItemDetails.do?id=110043")</f>
        <v>https://www.fabsurplus.com/sdi_catalog/salesItemDetails.do?id=110043</v>
      </c>
      <c r="B1477" s="5" t="s">
        <v>4101</v>
      </c>
      <c r="C1477" s="5" t="s">
        <v>4021</v>
      </c>
      <c r="D1477" s="5" t="s">
        <v>4102</v>
      </c>
      <c r="E1477" s="5" t="s">
        <v>763</v>
      </c>
      <c r="F1477" s="5" t="s">
        <v>16</v>
      </c>
      <c r="G1477" s="5" t="s">
        <v>165</v>
      </c>
      <c r="H1477" s="5"/>
      <c r="I1477" s="5"/>
      <c r="J1477" s="5" t="s">
        <v>42</v>
      </c>
      <c r="K1477" s="5"/>
      <c r="L1477" s="5" t="s">
        <v>4103</v>
      </c>
    </row>
    <row r="1478" customFormat="false" ht="15.65" hidden="false" customHeight="true" outlineLevel="0" collapsed="false">
      <c r="A1478" s="2" t="str">
        <f aca="false">HYPERLINK("https://www.fabsurplus.com/sdi_catalog/salesItemDetails.do?id=110044")</f>
        <v>https://www.fabsurplus.com/sdi_catalog/salesItemDetails.do?id=110044</v>
      </c>
      <c r="B1478" s="2" t="s">
        <v>4104</v>
      </c>
      <c r="C1478" s="2" t="s">
        <v>4098</v>
      </c>
      <c r="D1478" s="2" t="s">
        <v>4105</v>
      </c>
      <c r="E1478" s="2" t="s">
        <v>170</v>
      </c>
      <c r="F1478" s="2" t="s">
        <v>16</v>
      </c>
      <c r="G1478" s="2" t="s">
        <v>165</v>
      </c>
      <c r="H1478" s="2"/>
      <c r="I1478" s="2"/>
      <c r="J1478" s="2" t="s">
        <v>42</v>
      </c>
      <c r="K1478" s="2"/>
      <c r="L1478" s="2" t="s">
        <v>4106</v>
      </c>
    </row>
    <row r="1479" customFormat="false" ht="15.65" hidden="false" customHeight="true" outlineLevel="0" collapsed="false">
      <c r="A1479" s="5" t="str">
        <f aca="false">HYPERLINK("https://www.fabsurplus.com/sdi_catalog/salesItemDetails.do?id=110045")</f>
        <v>https://www.fabsurplus.com/sdi_catalog/salesItemDetails.do?id=110045</v>
      </c>
      <c r="B1479" s="5" t="s">
        <v>4107</v>
      </c>
      <c r="C1479" s="5" t="s">
        <v>4021</v>
      </c>
      <c r="D1479" s="5" t="s">
        <v>4108</v>
      </c>
      <c r="E1479" s="5" t="s">
        <v>164</v>
      </c>
      <c r="F1479" s="5" t="s">
        <v>16</v>
      </c>
      <c r="G1479" s="5" t="s">
        <v>165</v>
      </c>
      <c r="H1479" s="5"/>
      <c r="I1479" s="5"/>
      <c r="J1479" s="5" t="s">
        <v>42</v>
      </c>
      <c r="K1479" s="5"/>
      <c r="L1479" s="5" t="s">
        <v>4109</v>
      </c>
    </row>
    <row r="1480" customFormat="false" ht="15.65" hidden="false" customHeight="true" outlineLevel="0" collapsed="false">
      <c r="A1480" s="2" t="str">
        <f aca="false">HYPERLINK("https://www.fabsurplus.com/sdi_catalog/salesItemDetails.do?id=91136")</f>
        <v>https://www.fabsurplus.com/sdi_catalog/salesItemDetails.do?id=91136</v>
      </c>
      <c r="B1480" s="2" t="s">
        <v>4110</v>
      </c>
      <c r="C1480" s="2" t="s">
        <v>4111</v>
      </c>
      <c r="D1480" s="2" t="s">
        <v>4112</v>
      </c>
      <c r="E1480" s="2" t="s">
        <v>4113</v>
      </c>
      <c r="F1480" s="2" t="s">
        <v>16</v>
      </c>
      <c r="G1480" s="2" t="s">
        <v>61</v>
      </c>
      <c r="H1480" s="2" t="s">
        <v>32</v>
      </c>
      <c r="I1480" s="3" t="n">
        <v>39753</v>
      </c>
      <c r="J1480" s="2" t="s">
        <v>19</v>
      </c>
      <c r="K1480" s="2" t="s">
        <v>20</v>
      </c>
      <c r="L1480" s="4" t="s">
        <v>4114</v>
      </c>
    </row>
    <row r="1481" customFormat="false" ht="15.65" hidden="false" customHeight="true" outlineLevel="0" collapsed="false">
      <c r="A1481" s="5" t="str">
        <f aca="false">HYPERLINK("https://www.fabsurplus.com/sdi_catalog/salesItemDetails.do?id=106482")</f>
        <v>https://www.fabsurplus.com/sdi_catalog/salesItemDetails.do?id=106482</v>
      </c>
      <c r="B1481" s="5" t="s">
        <v>4115</v>
      </c>
      <c r="C1481" s="5" t="s">
        <v>4116</v>
      </c>
      <c r="D1481" s="5" t="s">
        <v>4117</v>
      </c>
      <c r="E1481" s="5" t="s">
        <v>4118</v>
      </c>
      <c r="F1481" s="5" t="s">
        <v>16</v>
      </c>
      <c r="G1481" s="5" t="s">
        <v>4119</v>
      </c>
      <c r="H1481" s="5" t="s">
        <v>18</v>
      </c>
      <c r="I1481" s="5"/>
      <c r="J1481" s="5" t="s">
        <v>19</v>
      </c>
      <c r="K1481" s="5" t="s">
        <v>20</v>
      </c>
      <c r="L1481" s="7" t="s">
        <v>4120</v>
      </c>
    </row>
    <row r="1482" customFormat="false" ht="15.65" hidden="false" customHeight="true" outlineLevel="0" collapsed="false">
      <c r="A1482" s="2" t="str">
        <f aca="false">HYPERLINK("https://www.fabsurplus.com/sdi_catalog/salesItemDetails.do?id=80176")</f>
        <v>https://www.fabsurplus.com/sdi_catalog/salesItemDetails.do?id=80176</v>
      </c>
      <c r="B1482" s="2" t="s">
        <v>4121</v>
      </c>
      <c r="C1482" s="2" t="s">
        <v>4122</v>
      </c>
      <c r="D1482" s="2" t="s">
        <v>4123</v>
      </c>
      <c r="E1482" s="2" t="s">
        <v>4124</v>
      </c>
      <c r="F1482" s="2" t="s">
        <v>16</v>
      </c>
      <c r="G1482" s="2"/>
      <c r="H1482" s="2" t="s">
        <v>18</v>
      </c>
      <c r="I1482" s="3" t="n">
        <v>40909</v>
      </c>
      <c r="J1482" s="2" t="s">
        <v>19</v>
      </c>
      <c r="K1482" s="2" t="s">
        <v>20</v>
      </c>
      <c r="L1482" s="2" t="s">
        <v>4125</v>
      </c>
    </row>
    <row r="1483" customFormat="false" ht="15.65" hidden="false" customHeight="true" outlineLevel="0" collapsed="false">
      <c r="A1483" s="5" t="str">
        <f aca="false">HYPERLINK("https://www.fabsurplus.com/sdi_catalog/salesItemDetails.do?id=109032")</f>
        <v>https://www.fabsurplus.com/sdi_catalog/salesItemDetails.do?id=109032</v>
      </c>
      <c r="B1483" s="5" t="s">
        <v>4126</v>
      </c>
      <c r="C1483" s="5" t="s">
        <v>4127</v>
      </c>
      <c r="D1483" s="5" t="s">
        <v>4128</v>
      </c>
      <c r="E1483" s="5" t="s">
        <v>4129</v>
      </c>
      <c r="F1483" s="5" t="s">
        <v>16</v>
      </c>
      <c r="G1483" s="5" t="s">
        <v>1491</v>
      </c>
      <c r="H1483" s="5" t="s">
        <v>32</v>
      </c>
      <c r="I1483" s="5"/>
      <c r="J1483" s="5" t="s">
        <v>19</v>
      </c>
      <c r="K1483" s="5" t="s">
        <v>20</v>
      </c>
      <c r="L1483" s="7" t="s">
        <v>4130</v>
      </c>
    </row>
    <row r="1484" customFormat="false" ht="15.65" hidden="false" customHeight="true" outlineLevel="0" collapsed="false">
      <c r="A1484" s="2" t="str">
        <f aca="false">HYPERLINK("https://www.fabsurplus.com/sdi_catalog/salesItemDetails.do?id=109040")</f>
        <v>https://www.fabsurplus.com/sdi_catalog/salesItemDetails.do?id=109040</v>
      </c>
      <c r="B1484" s="2" t="s">
        <v>4131</v>
      </c>
      <c r="C1484" s="2" t="s">
        <v>4132</v>
      </c>
      <c r="D1484" s="2" t="s">
        <v>4133</v>
      </c>
      <c r="E1484" s="2" t="s">
        <v>2690</v>
      </c>
      <c r="F1484" s="2" t="s">
        <v>86</v>
      </c>
      <c r="G1484" s="2" t="s">
        <v>1491</v>
      </c>
      <c r="H1484" s="2" t="s">
        <v>1395</v>
      </c>
      <c r="I1484" s="3" t="n">
        <v>43435</v>
      </c>
      <c r="J1484" s="2" t="s">
        <v>19</v>
      </c>
      <c r="K1484" s="2" t="s">
        <v>20</v>
      </c>
      <c r="L1484" s="2"/>
    </row>
    <row r="1485" customFormat="false" ht="15.65" hidden="false" customHeight="true" outlineLevel="0" collapsed="false">
      <c r="A1485" s="5" t="str">
        <f aca="false">HYPERLINK("https://www.fabsurplus.com/sdi_catalog/salesItemDetails.do?id=84375")</f>
        <v>https://www.fabsurplus.com/sdi_catalog/salesItemDetails.do?id=84375</v>
      </c>
      <c r="B1485" s="5" t="s">
        <v>4134</v>
      </c>
      <c r="C1485" s="5" t="s">
        <v>4135</v>
      </c>
      <c r="D1485" s="5" t="s">
        <v>4136</v>
      </c>
      <c r="E1485" s="5" t="s">
        <v>4137</v>
      </c>
      <c r="F1485" s="5" t="s">
        <v>16</v>
      </c>
      <c r="G1485" s="5" t="s">
        <v>4138</v>
      </c>
      <c r="H1485" s="5" t="s">
        <v>18</v>
      </c>
      <c r="I1485" s="6" t="n">
        <v>36250.9166666667</v>
      </c>
      <c r="J1485" s="5" t="s">
        <v>19</v>
      </c>
      <c r="K1485" s="5" t="s">
        <v>20</v>
      </c>
      <c r="L1485" s="7" t="s">
        <v>4139</v>
      </c>
    </row>
    <row r="1486" customFormat="false" ht="15.65" hidden="false" customHeight="true" outlineLevel="0" collapsed="false">
      <c r="A1486" s="2" t="str">
        <f aca="false">HYPERLINK("https://www.fabsurplus.com/sdi_catalog/salesItemDetails.do?id=77204")</f>
        <v>https://www.fabsurplus.com/sdi_catalog/salesItemDetails.do?id=77204</v>
      </c>
      <c r="B1486" s="2" t="s">
        <v>4140</v>
      </c>
      <c r="C1486" s="2" t="s">
        <v>4141</v>
      </c>
      <c r="D1486" s="2" t="s">
        <v>4142</v>
      </c>
      <c r="E1486" s="2" t="s">
        <v>4143</v>
      </c>
      <c r="F1486" s="2" t="s">
        <v>16</v>
      </c>
      <c r="G1486" s="2"/>
      <c r="H1486" s="2" t="s">
        <v>1395</v>
      </c>
      <c r="I1486" s="3" t="n">
        <v>39814</v>
      </c>
      <c r="J1486" s="2" t="s">
        <v>19</v>
      </c>
      <c r="K1486" s="2" t="s">
        <v>20</v>
      </c>
      <c r="L1486" s="4" t="s">
        <v>4144</v>
      </c>
    </row>
    <row r="1487" customFormat="false" ht="15.65" hidden="false" customHeight="true" outlineLevel="0" collapsed="false">
      <c r="A1487" s="5" t="str">
        <f aca="false">HYPERLINK("https://www.fabsurplus.com/sdi_catalog/salesItemDetails.do?id=106450")</f>
        <v>https://www.fabsurplus.com/sdi_catalog/salesItemDetails.do?id=106450</v>
      </c>
      <c r="B1487" s="5" t="s">
        <v>4145</v>
      </c>
      <c r="C1487" s="5" t="s">
        <v>4141</v>
      </c>
      <c r="D1487" s="5" t="s">
        <v>4146</v>
      </c>
      <c r="E1487" s="5" t="s">
        <v>4147</v>
      </c>
      <c r="F1487" s="5" t="s">
        <v>16</v>
      </c>
      <c r="G1487" s="5" t="s">
        <v>2858</v>
      </c>
      <c r="H1487" s="5" t="s">
        <v>4148</v>
      </c>
      <c r="I1487" s="6" t="n">
        <v>38384</v>
      </c>
      <c r="J1487" s="5" t="s">
        <v>19</v>
      </c>
      <c r="K1487" s="5" t="s">
        <v>20</v>
      </c>
      <c r="L1487" s="5" t="s">
        <v>2863</v>
      </c>
    </row>
    <row r="1488" customFormat="false" ht="15.65" hidden="false" customHeight="true" outlineLevel="0" collapsed="false">
      <c r="A1488" s="2" t="str">
        <f aca="false">HYPERLINK("https://www.fabsurplus.com/sdi_catalog/salesItemDetails.do?id=106451")</f>
        <v>https://www.fabsurplus.com/sdi_catalog/salesItemDetails.do?id=106451</v>
      </c>
      <c r="B1488" s="2" t="s">
        <v>4149</v>
      </c>
      <c r="C1488" s="2" t="s">
        <v>4141</v>
      </c>
      <c r="D1488" s="2" t="s">
        <v>4150</v>
      </c>
      <c r="E1488" s="2" t="s">
        <v>4151</v>
      </c>
      <c r="F1488" s="2" t="s">
        <v>16</v>
      </c>
      <c r="G1488" s="2" t="s">
        <v>38</v>
      </c>
      <c r="H1488" s="2" t="s">
        <v>32</v>
      </c>
      <c r="I1488" s="3" t="n">
        <v>38504</v>
      </c>
      <c r="J1488" s="2" t="s">
        <v>19</v>
      </c>
      <c r="K1488" s="2" t="s">
        <v>20</v>
      </c>
      <c r="L1488" s="2" t="s">
        <v>2859</v>
      </c>
    </row>
    <row r="1489" customFormat="false" ht="15.65" hidden="false" customHeight="true" outlineLevel="0" collapsed="false">
      <c r="A1489" s="5" t="str">
        <f aca="false">HYPERLINK("https://www.fabsurplus.com/sdi_catalog/salesItemDetails.do?id=106456")</f>
        <v>https://www.fabsurplus.com/sdi_catalog/salesItemDetails.do?id=106456</v>
      </c>
      <c r="B1489" s="5" t="s">
        <v>4152</v>
      </c>
      <c r="C1489" s="5" t="s">
        <v>4141</v>
      </c>
      <c r="D1489" s="5" t="s">
        <v>3932</v>
      </c>
      <c r="E1489" s="5" t="s">
        <v>4153</v>
      </c>
      <c r="F1489" s="5" t="s">
        <v>16</v>
      </c>
      <c r="G1489" s="5" t="s">
        <v>2858</v>
      </c>
      <c r="H1489" s="5" t="s">
        <v>32</v>
      </c>
      <c r="I1489" s="6" t="n">
        <v>38504</v>
      </c>
      <c r="J1489" s="5" t="s">
        <v>19</v>
      </c>
      <c r="K1489" s="5" t="s">
        <v>20</v>
      </c>
      <c r="L1489" s="5" t="s">
        <v>2863</v>
      </c>
    </row>
    <row r="1490" customFormat="false" ht="15.65" hidden="false" customHeight="true" outlineLevel="0" collapsed="false">
      <c r="A1490" s="2" t="str">
        <f aca="false">HYPERLINK("https://www.fabsurplus.com/sdi_catalog/salesItemDetails.do?id=106458")</f>
        <v>https://www.fabsurplus.com/sdi_catalog/salesItemDetails.do?id=106458</v>
      </c>
      <c r="B1490" s="2" t="s">
        <v>4154</v>
      </c>
      <c r="C1490" s="2" t="s">
        <v>4141</v>
      </c>
      <c r="D1490" s="2" t="s">
        <v>4155</v>
      </c>
      <c r="E1490" s="2" t="s">
        <v>4156</v>
      </c>
      <c r="F1490" s="2" t="s">
        <v>16</v>
      </c>
      <c r="G1490" s="2" t="s">
        <v>2858</v>
      </c>
      <c r="H1490" s="2" t="s">
        <v>18</v>
      </c>
      <c r="I1490" s="2"/>
      <c r="J1490" s="2" t="s">
        <v>19</v>
      </c>
      <c r="K1490" s="2" t="s">
        <v>20</v>
      </c>
      <c r="L1490" s="2" t="s">
        <v>2859</v>
      </c>
    </row>
    <row r="1491" customFormat="false" ht="15.65" hidden="false" customHeight="true" outlineLevel="0" collapsed="false">
      <c r="A1491" s="5" t="str">
        <f aca="false">HYPERLINK("https://www.fabsurplus.com/sdi_catalog/salesItemDetails.do?id=108747")</f>
        <v>https://www.fabsurplus.com/sdi_catalog/salesItemDetails.do?id=108747</v>
      </c>
      <c r="B1491" s="5" t="s">
        <v>4157</v>
      </c>
      <c r="C1491" s="5" t="s">
        <v>4158</v>
      </c>
      <c r="D1491" s="5" t="s">
        <v>4159</v>
      </c>
      <c r="E1491" s="5" t="s">
        <v>4160</v>
      </c>
      <c r="F1491" s="5" t="s">
        <v>16</v>
      </c>
      <c r="G1491" s="5"/>
      <c r="H1491" s="5"/>
      <c r="I1491" s="5"/>
      <c r="J1491" s="5" t="s">
        <v>19</v>
      </c>
      <c r="K1491" s="5"/>
      <c r="L1491" s="5"/>
    </row>
    <row r="1492" customFormat="false" ht="15.65" hidden="false" customHeight="true" outlineLevel="0" collapsed="false">
      <c r="A1492" s="2" t="str">
        <f aca="false">HYPERLINK("https://www.fabsurplus.com/sdi_catalog/salesItemDetails.do?id=110594")</f>
        <v>https://www.fabsurplus.com/sdi_catalog/salesItemDetails.do?id=110594</v>
      </c>
      <c r="B1492" s="2" t="s">
        <v>4161</v>
      </c>
      <c r="C1492" s="2" t="s">
        <v>4162</v>
      </c>
      <c r="D1492" s="2" t="s">
        <v>4163</v>
      </c>
      <c r="E1492" s="2" t="s">
        <v>4164</v>
      </c>
      <c r="F1492" s="2" t="s">
        <v>16</v>
      </c>
      <c r="G1492" s="2" t="s">
        <v>1362</v>
      </c>
      <c r="H1492" s="2" t="s">
        <v>275</v>
      </c>
      <c r="I1492" s="3" t="n">
        <v>38869</v>
      </c>
      <c r="J1492" s="2" t="s">
        <v>286</v>
      </c>
      <c r="K1492" s="2" t="s">
        <v>20</v>
      </c>
      <c r="L1492" s="4" t="s">
        <v>4165</v>
      </c>
    </row>
    <row r="1493" customFormat="false" ht="15.65" hidden="false" customHeight="true" outlineLevel="0" collapsed="false">
      <c r="A1493" s="5" t="str">
        <f aca="false">HYPERLINK("https://www.fabsurplus.com/sdi_catalog/salesItemDetails.do?id=110595")</f>
        <v>https://www.fabsurplus.com/sdi_catalog/salesItemDetails.do?id=110595</v>
      </c>
      <c r="B1493" s="5" t="s">
        <v>4166</v>
      </c>
      <c r="C1493" s="5" t="s">
        <v>4162</v>
      </c>
      <c r="D1493" s="5" t="s">
        <v>4167</v>
      </c>
      <c r="E1493" s="5" t="s">
        <v>4168</v>
      </c>
      <c r="F1493" s="5" t="s">
        <v>16</v>
      </c>
      <c r="G1493" s="5" t="s">
        <v>1362</v>
      </c>
      <c r="H1493" s="5" t="s">
        <v>275</v>
      </c>
      <c r="I1493" s="6" t="n">
        <v>39234</v>
      </c>
      <c r="J1493" s="5" t="s">
        <v>42</v>
      </c>
      <c r="K1493" s="5" t="s">
        <v>20</v>
      </c>
      <c r="L1493" s="7" t="s">
        <v>4169</v>
      </c>
    </row>
    <row r="1494" customFormat="false" ht="15.65" hidden="false" customHeight="true" outlineLevel="0" collapsed="false">
      <c r="A1494" s="2" t="str">
        <f aca="false">HYPERLINK("https://www.fabsurplus.com/sdi_catalog/salesItemDetails.do?id=83627")</f>
        <v>https://www.fabsurplus.com/sdi_catalog/salesItemDetails.do?id=83627</v>
      </c>
      <c r="B1494" s="2" t="s">
        <v>4170</v>
      </c>
      <c r="C1494" s="2" t="s">
        <v>4171</v>
      </c>
      <c r="D1494" s="2" t="s">
        <v>4172</v>
      </c>
      <c r="E1494" s="2" t="s">
        <v>4173</v>
      </c>
      <c r="F1494" s="2" t="s">
        <v>151</v>
      </c>
      <c r="G1494" s="2"/>
      <c r="H1494" s="2" t="s">
        <v>98</v>
      </c>
      <c r="I1494" s="2"/>
      <c r="J1494" s="2" t="s">
        <v>19</v>
      </c>
      <c r="K1494" s="2" t="s">
        <v>20</v>
      </c>
      <c r="L1494" s="4" t="s">
        <v>4174</v>
      </c>
    </row>
    <row r="1495" customFormat="false" ht="15.65" hidden="false" customHeight="true" outlineLevel="0" collapsed="false">
      <c r="A1495" s="5" t="str">
        <f aca="false">HYPERLINK("https://www.fabsurplus.com/sdi_catalog/salesItemDetails.do?id=108811")</f>
        <v>https://www.fabsurplus.com/sdi_catalog/salesItemDetails.do?id=108811</v>
      </c>
      <c r="B1495" s="5" t="s">
        <v>4175</v>
      </c>
      <c r="C1495" s="5" t="s">
        <v>4176</v>
      </c>
      <c r="D1495" s="5" t="s">
        <v>4177</v>
      </c>
      <c r="E1495" s="5" t="s">
        <v>4178</v>
      </c>
      <c r="F1495" s="5" t="s">
        <v>16</v>
      </c>
      <c r="G1495" s="5"/>
      <c r="H1495" s="5"/>
      <c r="I1495" s="5"/>
      <c r="J1495" s="5" t="s">
        <v>42</v>
      </c>
      <c r="K1495" s="5"/>
      <c r="L1495" s="5" t="s">
        <v>131</v>
      </c>
    </row>
    <row r="1496" customFormat="false" ht="15.65" hidden="false" customHeight="true" outlineLevel="0" collapsed="false">
      <c r="A1496" s="2" t="str">
        <f aca="false">HYPERLINK("https://www.fabsurplus.com/sdi_catalog/salesItemDetails.do?id=77186")</f>
        <v>https://www.fabsurplus.com/sdi_catalog/salesItemDetails.do?id=77186</v>
      </c>
      <c r="B1496" s="2" t="s">
        <v>4179</v>
      </c>
      <c r="C1496" s="2" t="s">
        <v>4180</v>
      </c>
      <c r="D1496" s="2" t="s">
        <v>4181</v>
      </c>
      <c r="E1496" s="2" t="s">
        <v>4182</v>
      </c>
      <c r="F1496" s="2" t="s">
        <v>16</v>
      </c>
      <c r="G1496" s="2" t="s">
        <v>97</v>
      </c>
      <c r="H1496" s="2" t="s">
        <v>1395</v>
      </c>
      <c r="I1496" s="2"/>
      <c r="J1496" s="2" t="s">
        <v>19</v>
      </c>
      <c r="K1496" s="2" t="s">
        <v>20</v>
      </c>
      <c r="L1496" s="2" t="s">
        <v>4183</v>
      </c>
    </row>
    <row r="1497" customFormat="false" ht="15.65" hidden="false" customHeight="true" outlineLevel="0" collapsed="false">
      <c r="A1497" s="5" t="str">
        <f aca="false">HYPERLINK("https://www.fabsurplus.com/sdi_catalog/salesItemDetails.do?id=77187")</f>
        <v>https://www.fabsurplus.com/sdi_catalog/salesItemDetails.do?id=77187</v>
      </c>
      <c r="B1497" s="5" t="s">
        <v>4184</v>
      </c>
      <c r="C1497" s="5" t="s">
        <v>4180</v>
      </c>
      <c r="D1497" s="5" t="s">
        <v>4185</v>
      </c>
      <c r="E1497" s="5" t="s">
        <v>4186</v>
      </c>
      <c r="F1497" s="5" t="s">
        <v>16</v>
      </c>
      <c r="G1497" s="5" t="s">
        <v>104</v>
      </c>
      <c r="H1497" s="5" t="s">
        <v>1969</v>
      </c>
      <c r="I1497" s="5"/>
      <c r="J1497" s="5" t="s">
        <v>19</v>
      </c>
      <c r="K1497" s="5" t="s">
        <v>20</v>
      </c>
      <c r="L1497" s="7" t="s">
        <v>4187</v>
      </c>
    </row>
    <row r="1498" customFormat="false" ht="15.65" hidden="false" customHeight="true" outlineLevel="0" collapsed="false">
      <c r="A1498" s="2" t="str">
        <f aca="false">HYPERLINK("https://www.fabsurplus.com/sdi_catalog/salesItemDetails.do?id=108995")</f>
        <v>https://www.fabsurplus.com/sdi_catalog/salesItemDetails.do?id=108995</v>
      </c>
      <c r="B1498" s="2" t="s">
        <v>4188</v>
      </c>
      <c r="C1498" s="2" t="s">
        <v>4180</v>
      </c>
      <c r="D1498" s="2" t="s">
        <v>4189</v>
      </c>
      <c r="E1498" s="2" t="s">
        <v>4190</v>
      </c>
      <c r="F1498" s="2" t="s">
        <v>16</v>
      </c>
      <c r="G1498" s="2" t="s">
        <v>97</v>
      </c>
      <c r="H1498" s="2" t="s">
        <v>1969</v>
      </c>
      <c r="I1498" s="2"/>
      <c r="J1498" s="2" t="s">
        <v>19</v>
      </c>
      <c r="K1498" s="2" t="s">
        <v>20</v>
      </c>
      <c r="L1498" s="4" t="s">
        <v>4191</v>
      </c>
    </row>
    <row r="1499" customFormat="false" ht="15.65" hidden="false" customHeight="true" outlineLevel="0" collapsed="false">
      <c r="A1499" s="5" t="str">
        <f aca="false">HYPERLINK("https://www.fabsurplus.com/sdi_catalog/salesItemDetails.do?id=81837")</f>
        <v>https://www.fabsurplus.com/sdi_catalog/salesItemDetails.do?id=81837</v>
      </c>
      <c r="B1499" s="5" t="s">
        <v>4192</v>
      </c>
      <c r="C1499" s="5" t="s">
        <v>4193</v>
      </c>
      <c r="D1499" s="5" t="s">
        <v>4194</v>
      </c>
      <c r="E1499" s="5" t="s">
        <v>4195</v>
      </c>
      <c r="F1499" s="5" t="s">
        <v>16</v>
      </c>
      <c r="G1499" s="5" t="s">
        <v>104</v>
      </c>
      <c r="H1499" s="5" t="s">
        <v>98</v>
      </c>
      <c r="I1499" s="5"/>
      <c r="J1499" s="5" t="s">
        <v>19</v>
      </c>
      <c r="K1499" s="5" t="s">
        <v>20</v>
      </c>
      <c r="L1499" s="7" t="s">
        <v>4196</v>
      </c>
    </row>
    <row r="1500" customFormat="false" ht="15.65" hidden="false" customHeight="true" outlineLevel="0" collapsed="false">
      <c r="A1500" s="2" t="str">
        <f aca="false">HYPERLINK("https://www.fabsurplus.com/sdi_catalog/salesItemDetails.do?id=110599")</f>
        <v>https://www.fabsurplus.com/sdi_catalog/salesItemDetails.do?id=110599</v>
      </c>
      <c r="B1500" s="2" t="s">
        <v>4197</v>
      </c>
      <c r="C1500" s="2" t="s">
        <v>4198</v>
      </c>
      <c r="D1500" s="2" t="s">
        <v>4199</v>
      </c>
      <c r="E1500" s="2" t="s">
        <v>4200</v>
      </c>
      <c r="F1500" s="2" t="s">
        <v>16</v>
      </c>
      <c r="G1500" s="2" t="s">
        <v>1362</v>
      </c>
      <c r="H1500" s="2" t="s">
        <v>18</v>
      </c>
      <c r="I1500" s="3" t="n">
        <v>42491</v>
      </c>
      <c r="J1500" s="2" t="s">
        <v>19</v>
      </c>
      <c r="K1500" s="2" t="s">
        <v>20</v>
      </c>
      <c r="L1500" s="4" t="s">
        <v>4201</v>
      </c>
    </row>
    <row r="1501" customFormat="false" ht="15.65" hidden="false" customHeight="true" outlineLevel="0" collapsed="false">
      <c r="A1501" s="5" t="str">
        <f aca="false">HYPERLINK("https://www.fabsurplus.com/sdi_catalog/salesItemDetails.do?id=110614")</f>
        <v>https://www.fabsurplus.com/sdi_catalog/salesItemDetails.do?id=110614</v>
      </c>
      <c r="B1501" s="5" t="s">
        <v>4202</v>
      </c>
      <c r="C1501" s="5" t="s">
        <v>4198</v>
      </c>
      <c r="D1501" s="5"/>
      <c r="E1501" s="5" t="s">
        <v>2588</v>
      </c>
      <c r="F1501" s="5" t="s">
        <v>16</v>
      </c>
      <c r="G1501" s="5" t="s">
        <v>1362</v>
      </c>
      <c r="H1501" s="5" t="s">
        <v>32</v>
      </c>
      <c r="I1501" s="5"/>
      <c r="J1501" s="5" t="s">
        <v>19</v>
      </c>
      <c r="K1501" s="5" t="s">
        <v>20</v>
      </c>
      <c r="L1501" s="7" t="s">
        <v>4203</v>
      </c>
    </row>
    <row r="1502" customFormat="false" ht="15.65" hidden="false" customHeight="true" outlineLevel="0" collapsed="false">
      <c r="A1502" s="2" t="str">
        <f aca="false">HYPERLINK("https://www.fabsurplus.com/sdi_catalog/salesItemDetails.do?id=76954")</f>
        <v>https://www.fabsurplus.com/sdi_catalog/salesItemDetails.do?id=76954</v>
      </c>
      <c r="B1502" s="2" t="s">
        <v>4204</v>
      </c>
      <c r="C1502" s="2" t="s">
        <v>4205</v>
      </c>
      <c r="D1502" s="2" t="s">
        <v>4206</v>
      </c>
      <c r="E1502" s="2" t="s">
        <v>4207</v>
      </c>
      <c r="F1502" s="2" t="s">
        <v>108</v>
      </c>
      <c r="G1502" s="2" t="s">
        <v>97</v>
      </c>
      <c r="H1502" s="2" t="s">
        <v>1969</v>
      </c>
      <c r="I1502" s="2"/>
      <c r="J1502" s="2" t="s">
        <v>19</v>
      </c>
      <c r="K1502" s="2" t="s">
        <v>20</v>
      </c>
      <c r="L1502" s="4" t="s">
        <v>4208</v>
      </c>
    </row>
    <row r="1503" customFormat="false" ht="15.65" hidden="false" customHeight="true" outlineLevel="0" collapsed="false">
      <c r="A1503" s="5" t="str">
        <f aca="false">HYPERLINK("https://www.fabsurplus.com/sdi_catalog/salesItemDetails.do?id=109110")</f>
        <v>https://www.fabsurplus.com/sdi_catalog/salesItemDetails.do?id=109110</v>
      </c>
      <c r="B1503" s="5" t="s">
        <v>4209</v>
      </c>
      <c r="C1503" s="5" t="s">
        <v>4210</v>
      </c>
      <c r="D1503" s="5" t="s">
        <v>4211</v>
      </c>
      <c r="E1503" s="5" t="s">
        <v>4212</v>
      </c>
      <c r="F1503" s="5" t="s">
        <v>145</v>
      </c>
      <c r="G1503" s="5" t="s">
        <v>38</v>
      </c>
      <c r="H1503" s="5" t="s">
        <v>275</v>
      </c>
      <c r="I1503" s="6" t="n">
        <v>39448</v>
      </c>
      <c r="J1503" s="5" t="s">
        <v>19</v>
      </c>
      <c r="K1503" s="5" t="s">
        <v>20</v>
      </c>
      <c r="L1503" s="7" t="s">
        <v>4213</v>
      </c>
    </row>
    <row r="1504" customFormat="false" ht="15.65" hidden="false" customHeight="true" outlineLevel="0" collapsed="false">
      <c r="A1504" s="2" t="str">
        <f aca="false">HYPERLINK("https://www.fabsurplus.com/sdi_catalog/salesItemDetails.do?id=109111")</f>
        <v>https://www.fabsurplus.com/sdi_catalog/salesItemDetails.do?id=109111</v>
      </c>
      <c r="B1504" s="2" t="s">
        <v>4214</v>
      </c>
      <c r="C1504" s="2" t="s">
        <v>4210</v>
      </c>
      <c r="D1504" s="2" t="s">
        <v>4215</v>
      </c>
      <c r="E1504" s="2" t="s">
        <v>4216</v>
      </c>
      <c r="F1504" s="2" t="s">
        <v>16</v>
      </c>
      <c r="G1504" s="2" t="s">
        <v>38</v>
      </c>
      <c r="H1504" s="2" t="s">
        <v>18</v>
      </c>
      <c r="I1504" s="3" t="n">
        <v>39234</v>
      </c>
      <c r="J1504" s="2" t="s">
        <v>19</v>
      </c>
      <c r="K1504" s="2" t="s">
        <v>20</v>
      </c>
      <c r="L1504" s="4" t="s">
        <v>4217</v>
      </c>
    </row>
    <row r="1505" customFormat="false" ht="15.65" hidden="false" customHeight="true" outlineLevel="0" collapsed="false">
      <c r="A1505" s="5" t="str">
        <f aca="false">HYPERLINK("https://www.fabsurplus.com/sdi_catalog/salesItemDetails.do?id=106816")</f>
        <v>https://www.fabsurplus.com/sdi_catalog/salesItemDetails.do?id=106816</v>
      </c>
      <c r="B1505" s="5" t="s">
        <v>4218</v>
      </c>
      <c r="C1505" s="5" t="s">
        <v>4210</v>
      </c>
      <c r="D1505" s="5" t="s">
        <v>4219</v>
      </c>
      <c r="E1505" s="5" t="s">
        <v>4220</v>
      </c>
      <c r="F1505" s="5" t="s">
        <v>16</v>
      </c>
      <c r="G1505" s="5" t="s">
        <v>1293</v>
      </c>
      <c r="H1505" s="5" t="s">
        <v>32</v>
      </c>
      <c r="I1505" s="6" t="n">
        <v>37012</v>
      </c>
      <c r="J1505" s="5" t="s">
        <v>19</v>
      </c>
      <c r="K1505" s="5" t="s">
        <v>20</v>
      </c>
      <c r="L1505" s="7" t="s">
        <v>4221</v>
      </c>
    </row>
    <row r="1506" customFormat="false" ht="15.65" hidden="false" customHeight="true" outlineLevel="0" collapsed="false">
      <c r="A1506" s="2" t="str">
        <f aca="false">HYPERLINK("https://www.fabsurplus.com/sdi_catalog/salesItemDetails.do?id=108396")</f>
        <v>https://www.fabsurplus.com/sdi_catalog/salesItemDetails.do?id=108396</v>
      </c>
      <c r="B1506" s="2" t="s">
        <v>4222</v>
      </c>
      <c r="C1506" s="2" t="s">
        <v>4210</v>
      </c>
      <c r="D1506" s="2" t="s">
        <v>4223</v>
      </c>
      <c r="E1506" s="2" t="s">
        <v>4224</v>
      </c>
      <c r="F1506" s="2" t="s">
        <v>16</v>
      </c>
      <c r="G1506" s="2" t="s">
        <v>61</v>
      </c>
      <c r="H1506" s="2"/>
      <c r="I1506" s="2"/>
      <c r="J1506" s="2" t="s">
        <v>19</v>
      </c>
      <c r="K1506" s="2"/>
      <c r="L1506" s="4" t="s">
        <v>4225</v>
      </c>
    </row>
    <row r="1507" customFormat="false" ht="15.65" hidden="false" customHeight="true" outlineLevel="0" collapsed="false">
      <c r="A1507" s="5" t="str">
        <f aca="false">HYPERLINK("https://www.fabsurplus.com/sdi_catalog/salesItemDetails.do?id=108397")</f>
        <v>https://www.fabsurplus.com/sdi_catalog/salesItemDetails.do?id=108397</v>
      </c>
      <c r="B1507" s="5" t="s">
        <v>4226</v>
      </c>
      <c r="C1507" s="5" t="s">
        <v>4210</v>
      </c>
      <c r="D1507" s="5" t="s">
        <v>4227</v>
      </c>
      <c r="E1507" s="5" t="s">
        <v>4224</v>
      </c>
      <c r="F1507" s="5" t="s">
        <v>16</v>
      </c>
      <c r="G1507" s="5" t="s">
        <v>38</v>
      </c>
      <c r="H1507" s="5" t="s">
        <v>1395</v>
      </c>
      <c r="I1507" s="6" t="n">
        <v>42370</v>
      </c>
      <c r="J1507" s="5" t="s">
        <v>19</v>
      </c>
      <c r="K1507" s="5"/>
      <c r="L1507" s="5" t="s">
        <v>4228</v>
      </c>
    </row>
    <row r="1508" customFormat="false" ht="15.65" hidden="false" customHeight="true" outlineLevel="0" collapsed="false">
      <c r="A1508" s="2" t="str">
        <f aca="false">HYPERLINK("https://www.fabsurplus.com/sdi_catalog/salesItemDetails.do?id=108398")</f>
        <v>https://www.fabsurplus.com/sdi_catalog/salesItemDetails.do?id=108398</v>
      </c>
      <c r="B1508" s="2" t="s">
        <v>4229</v>
      </c>
      <c r="C1508" s="2" t="s">
        <v>4210</v>
      </c>
      <c r="D1508" s="2" t="s">
        <v>4230</v>
      </c>
      <c r="E1508" s="2" t="s">
        <v>4231</v>
      </c>
      <c r="F1508" s="2" t="s">
        <v>16</v>
      </c>
      <c r="G1508" s="2" t="s">
        <v>61</v>
      </c>
      <c r="H1508" s="2"/>
      <c r="I1508" s="2"/>
      <c r="J1508" s="2" t="s">
        <v>19</v>
      </c>
      <c r="K1508" s="2"/>
      <c r="L1508" s="2"/>
    </row>
    <row r="1509" customFormat="false" ht="15.65" hidden="false" customHeight="true" outlineLevel="0" collapsed="false">
      <c r="A1509" s="5" t="str">
        <f aca="false">HYPERLINK("https://www.fabsurplus.com/sdi_catalog/salesItemDetails.do?id=109169")</f>
        <v>https://www.fabsurplus.com/sdi_catalog/salesItemDetails.do?id=109169</v>
      </c>
      <c r="B1509" s="5" t="s">
        <v>4232</v>
      </c>
      <c r="C1509" s="5" t="s">
        <v>4233</v>
      </c>
      <c r="D1509" s="5" t="s">
        <v>4223</v>
      </c>
      <c r="E1509" s="5" t="s">
        <v>4224</v>
      </c>
      <c r="F1509" s="5" t="s">
        <v>16</v>
      </c>
      <c r="G1509" s="5" t="s">
        <v>84</v>
      </c>
      <c r="H1509" s="5"/>
      <c r="I1509" s="5"/>
      <c r="J1509" s="5" t="s">
        <v>19</v>
      </c>
      <c r="K1509" s="5"/>
      <c r="L1509" s="5"/>
    </row>
    <row r="1510" customFormat="false" ht="15.65" hidden="false" customHeight="true" outlineLevel="0" collapsed="false">
      <c r="A1510" s="2" t="str">
        <f aca="false">HYPERLINK("https://www.fabsurplus.com/sdi_catalog/salesItemDetails.do?id=109170")</f>
        <v>https://www.fabsurplus.com/sdi_catalog/salesItemDetails.do?id=109170</v>
      </c>
      <c r="B1510" s="2" t="s">
        <v>4234</v>
      </c>
      <c r="C1510" s="2" t="s">
        <v>4233</v>
      </c>
      <c r="D1510" s="2" t="s">
        <v>4223</v>
      </c>
      <c r="E1510" s="2" t="s">
        <v>4224</v>
      </c>
      <c r="F1510" s="2" t="s">
        <v>16</v>
      </c>
      <c r="G1510" s="2" t="s">
        <v>84</v>
      </c>
      <c r="H1510" s="2"/>
      <c r="I1510" s="2"/>
      <c r="J1510" s="2" t="s">
        <v>19</v>
      </c>
      <c r="K1510" s="2"/>
      <c r="L1510" s="2"/>
    </row>
    <row r="1511" customFormat="false" ht="15.65" hidden="false" customHeight="true" outlineLevel="0" collapsed="false">
      <c r="A1511" s="5" t="str">
        <f aca="false">HYPERLINK("https://www.fabsurplus.com/sdi_catalog/salesItemDetails.do?id=109171")</f>
        <v>https://www.fabsurplus.com/sdi_catalog/salesItemDetails.do?id=109171</v>
      </c>
      <c r="B1511" s="5" t="s">
        <v>4235</v>
      </c>
      <c r="C1511" s="5" t="s">
        <v>4233</v>
      </c>
      <c r="D1511" s="5" t="s">
        <v>4236</v>
      </c>
      <c r="E1511" s="5" t="s">
        <v>4237</v>
      </c>
      <c r="F1511" s="5" t="s">
        <v>16</v>
      </c>
      <c r="G1511" s="5" t="s">
        <v>84</v>
      </c>
      <c r="H1511" s="5"/>
      <c r="I1511" s="5"/>
      <c r="J1511" s="5" t="s">
        <v>19</v>
      </c>
      <c r="K1511" s="5"/>
      <c r="L1511" s="5"/>
    </row>
    <row r="1512" customFormat="false" ht="15.65" hidden="false" customHeight="true" outlineLevel="0" collapsed="false">
      <c r="A1512" s="2" t="str">
        <f aca="false">HYPERLINK("https://www.fabsurplus.com/sdi_catalog/salesItemDetails.do?id=108155")</f>
        <v>https://www.fabsurplus.com/sdi_catalog/salesItemDetails.do?id=108155</v>
      </c>
      <c r="B1512" s="2" t="s">
        <v>4238</v>
      </c>
      <c r="C1512" s="2" t="s">
        <v>4233</v>
      </c>
      <c r="D1512" s="2" t="s">
        <v>4239</v>
      </c>
      <c r="E1512" s="2" t="s">
        <v>4240</v>
      </c>
      <c r="F1512" s="2" t="s">
        <v>16</v>
      </c>
      <c r="G1512" s="2" t="s">
        <v>38</v>
      </c>
      <c r="H1512" s="2"/>
      <c r="I1512" s="3" t="n">
        <v>33756</v>
      </c>
      <c r="J1512" s="2" t="s">
        <v>19</v>
      </c>
      <c r="K1512" s="2"/>
      <c r="L1512" s="2" t="s">
        <v>1480</v>
      </c>
    </row>
    <row r="1513" customFormat="false" ht="15.65" hidden="false" customHeight="true" outlineLevel="0" collapsed="false">
      <c r="A1513" s="5" t="str">
        <f aca="false">HYPERLINK("https://www.fabsurplus.com/sdi_catalog/salesItemDetails.do?id=108951")</f>
        <v>https://www.fabsurplus.com/sdi_catalog/salesItemDetails.do?id=108951</v>
      </c>
      <c r="B1513" s="5" t="s">
        <v>4241</v>
      </c>
      <c r="C1513" s="5" t="s">
        <v>4210</v>
      </c>
      <c r="D1513" s="5" t="s">
        <v>4242</v>
      </c>
      <c r="E1513" s="5" t="s">
        <v>4243</v>
      </c>
      <c r="F1513" s="5" t="s">
        <v>16</v>
      </c>
      <c r="G1513" s="5"/>
      <c r="H1513" s="5" t="s">
        <v>18</v>
      </c>
      <c r="I1513" s="5"/>
      <c r="J1513" s="5" t="s">
        <v>19</v>
      </c>
      <c r="K1513" s="5" t="s">
        <v>20</v>
      </c>
      <c r="L1513" s="5" t="s">
        <v>4244</v>
      </c>
    </row>
    <row r="1514" customFormat="false" ht="15.65" hidden="false" customHeight="true" outlineLevel="0" collapsed="false">
      <c r="A1514" s="2" t="str">
        <f aca="false">HYPERLINK("https://www.fabsurplus.com/sdi_catalog/salesItemDetails.do?id=106461")</f>
        <v>https://www.fabsurplus.com/sdi_catalog/salesItemDetails.do?id=106461</v>
      </c>
      <c r="B1514" s="2" t="s">
        <v>4245</v>
      </c>
      <c r="C1514" s="2" t="s">
        <v>4210</v>
      </c>
      <c r="D1514" s="2" t="s">
        <v>4246</v>
      </c>
      <c r="E1514" s="2" t="s">
        <v>4247</v>
      </c>
      <c r="F1514" s="2" t="s">
        <v>16</v>
      </c>
      <c r="G1514" s="2" t="s">
        <v>38</v>
      </c>
      <c r="H1514" s="2" t="s">
        <v>18</v>
      </c>
      <c r="I1514" s="3" t="n">
        <v>40118</v>
      </c>
      <c r="J1514" s="2" t="s">
        <v>19</v>
      </c>
      <c r="K1514" s="2" t="s">
        <v>20</v>
      </c>
      <c r="L1514" s="4" t="s">
        <v>4248</v>
      </c>
    </row>
    <row r="1515" customFormat="false" ht="15.65" hidden="false" customHeight="true" outlineLevel="0" collapsed="false">
      <c r="A1515" s="5" t="str">
        <f aca="false">HYPERLINK("https://www.fabsurplus.com/sdi_catalog/salesItemDetails.do?id=106462")</f>
        <v>https://www.fabsurplus.com/sdi_catalog/salesItemDetails.do?id=106462</v>
      </c>
      <c r="B1515" s="5" t="s">
        <v>4249</v>
      </c>
      <c r="C1515" s="5" t="s">
        <v>4210</v>
      </c>
      <c r="D1515" s="5" t="s">
        <v>4250</v>
      </c>
      <c r="E1515" s="5" t="s">
        <v>4247</v>
      </c>
      <c r="F1515" s="5" t="s">
        <v>16</v>
      </c>
      <c r="G1515" s="5" t="s">
        <v>2858</v>
      </c>
      <c r="H1515" s="5" t="s">
        <v>18</v>
      </c>
      <c r="I1515" s="6" t="n">
        <v>42491</v>
      </c>
      <c r="J1515" s="5" t="s">
        <v>19</v>
      </c>
      <c r="K1515" s="5" t="s">
        <v>20</v>
      </c>
      <c r="L1515" s="5" t="s">
        <v>4251</v>
      </c>
    </row>
    <row r="1516" customFormat="false" ht="15.65" hidden="false" customHeight="true" outlineLevel="0" collapsed="false">
      <c r="A1516" s="2" t="str">
        <f aca="false">HYPERLINK("https://www.fabsurplus.com/sdi_catalog/salesItemDetails.do?id=106463")</f>
        <v>https://www.fabsurplus.com/sdi_catalog/salesItemDetails.do?id=106463</v>
      </c>
      <c r="B1516" s="2" t="s">
        <v>4252</v>
      </c>
      <c r="C1516" s="2" t="s">
        <v>4210</v>
      </c>
      <c r="D1516" s="2" t="s">
        <v>4253</v>
      </c>
      <c r="E1516" s="2" t="s">
        <v>4254</v>
      </c>
      <c r="F1516" s="2" t="s">
        <v>16</v>
      </c>
      <c r="G1516" s="2" t="s">
        <v>2858</v>
      </c>
      <c r="H1516" s="2" t="s">
        <v>32</v>
      </c>
      <c r="I1516" s="3" t="n">
        <v>34851</v>
      </c>
      <c r="J1516" s="2" t="s">
        <v>19</v>
      </c>
      <c r="K1516" s="2" t="s">
        <v>20</v>
      </c>
      <c r="L1516" s="4" t="s">
        <v>4255</v>
      </c>
    </row>
    <row r="1517" customFormat="false" ht="15.65" hidden="false" customHeight="true" outlineLevel="0" collapsed="false">
      <c r="A1517" s="5" t="str">
        <f aca="false">HYPERLINK("https://www.fabsurplus.com/sdi_catalog/salesItemDetails.do?id=106464")</f>
        <v>https://www.fabsurplus.com/sdi_catalog/salesItemDetails.do?id=106464</v>
      </c>
      <c r="B1517" s="5" t="s">
        <v>4256</v>
      </c>
      <c r="C1517" s="5" t="s">
        <v>4210</v>
      </c>
      <c r="D1517" s="5" t="s">
        <v>4253</v>
      </c>
      <c r="E1517" s="5" t="s">
        <v>4257</v>
      </c>
      <c r="F1517" s="5" t="s">
        <v>16</v>
      </c>
      <c r="G1517" s="5" t="s">
        <v>2858</v>
      </c>
      <c r="H1517" s="5" t="s">
        <v>32</v>
      </c>
      <c r="I1517" s="6" t="n">
        <v>36678</v>
      </c>
      <c r="J1517" s="5" t="s">
        <v>19</v>
      </c>
      <c r="K1517" s="5" t="s">
        <v>20</v>
      </c>
      <c r="L1517" s="7" t="s">
        <v>4255</v>
      </c>
    </row>
    <row r="1518" customFormat="false" ht="15.65" hidden="false" customHeight="true" outlineLevel="0" collapsed="false">
      <c r="A1518" s="2" t="str">
        <f aca="false">HYPERLINK("https://www.fabsurplus.com/sdi_catalog/salesItemDetails.do?id=90089")</f>
        <v>https://www.fabsurplus.com/sdi_catalog/salesItemDetails.do?id=90089</v>
      </c>
      <c r="B1518" s="2" t="s">
        <v>4258</v>
      </c>
      <c r="C1518" s="2" t="s">
        <v>4233</v>
      </c>
      <c r="D1518" s="2" t="s">
        <v>4223</v>
      </c>
      <c r="E1518" s="2" t="s">
        <v>4259</v>
      </c>
      <c r="F1518" s="2" t="s">
        <v>16</v>
      </c>
      <c r="G1518" s="2" t="s">
        <v>61</v>
      </c>
      <c r="H1518" s="2" t="s">
        <v>18</v>
      </c>
      <c r="I1518" s="3" t="n">
        <v>41030</v>
      </c>
      <c r="J1518" s="2" t="s">
        <v>19</v>
      </c>
      <c r="K1518" s="2" t="s">
        <v>20</v>
      </c>
      <c r="L1518" s="4" t="s">
        <v>4260</v>
      </c>
    </row>
    <row r="1519" customFormat="false" ht="15.65" hidden="false" customHeight="true" outlineLevel="0" collapsed="false">
      <c r="A1519" s="5" t="str">
        <f aca="false">HYPERLINK("https://www.fabsurplus.com/sdi_catalog/salesItemDetails.do?id=91658")</f>
        <v>https://www.fabsurplus.com/sdi_catalog/salesItemDetails.do?id=91658</v>
      </c>
      <c r="B1519" s="5" t="s">
        <v>4261</v>
      </c>
      <c r="C1519" s="5" t="s">
        <v>4262</v>
      </c>
      <c r="D1519" s="5" t="s">
        <v>4263</v>
      </c>
      <c r="E1519" s="5" t="s">
        <v>4264</v>
      </c>
      <c r="F1519" s="5" t="s">
        <v>16</v>
      </c>
      <c r="G1519" s="5" t="s">
        <v>61</v>
      </c>
      <c r="H1519" s="5"/>
      <c r="I1519" s="5"/>
      <c r="J1519" s="5" t="s">
        <v>19</v>
      </c>
      <c r="K1519" s="5"/>
      <c r="L1519" s="5" t="s">
        <v>142</v>
      </c>
    </row>
    <row r="1520" customFormat="false" ht="15.65" hidden="false" customHeight="true" outlineLevel="0" collapsed="false">
      <c r="A1520" s="2" t="str">
        <f aca="false">HYPERLINK("https://www.fabsurplus.com/sdi_catalog/salesItemDetails.do?id=91660")</f>
        <v>https://www.fabsurplus.com/sdi_catalog/salesItemDetails.do?id=91660</v>
      </c>
      <c r="B1520" s="2" t="s">
        <v>4265</v>
      </c>
      <c r="C1520" s="2" t="s">
        <v>4262</v>
      </c>
      <c r="D1520" s="2" t="s">
        <v>4263</v>
      </c>
      <c r="E1520" s="2" t="s">
        <v>4264</v>
      </c>
      <c r="F1520" s="2" t="s">
        <v>16</v>
      </c>
      <c r="G1520" s="2" t="s">
        <v>61</v>
      </c>
      <c r="H1520" s="2"/>
      <c r="I1520" s="2"/>
      <c r="J1520" s="2" t="s">
        <v>19</v>
      </c>
      <c r="K1520" s="2"/>
      <c r="L1520" s="2" t="s">
        <v>142</v>
      </c>
    </row>
    <row r="1521" customFormat="false" ht="15.65" hidden="false" customHeight="true" outlineLevel="0" collapsed="false">
      <c r="A1521" s="5" t="str">
        <f aca="false">HYPERLINK("https://www.fabsurplus.com/sdi_catalog/salesItemDetails.do?id=91661")</f>
        <v>https://www.fabsurplus.com/sdi_catalog/salesItemDetails.do?id=91661</v>
      </c>
      <c r="B1521" s="5" t="s">
        <v>4266</v>
      </c>
      <c r="C1521" s="5" t="s">
        <v>4262</v>
      </c>
      <c r="D1521" s="5" t="s">
        <v>4263</v>
      </c>
      <c r="E1521" s="5" t="s">
        <v>4264</v>
      </c>
      <c r="F1521" s="5" t="s">
        <v>16</v>
      </c>
      <c r="G1521" s="5" t="s">
        <v>61</v>
      </c>
      <c r="H1521" s="5"/>
      <c r="I1521" s="6" t="n">
        <v>39233.9166666667</v>
      </c>
      <c r="J1521" s="5" t="s">
        <v>19</v>
      </c>
      <c r="K1521" s="5"/>
      <c r="L1521" s="7" t="s">
        <v>4267</v>
      </c>
    </row>
    <row r="1522" customFormat="false" ht="15.65" hidden="false" customHeight="true" outlineLevel="0" collapsed="false">
      <c r="A1522" s="2" t="str">
        <f aca="false">HYPERLINK("https://www.fabsurplus.com/sdi_catalog/salesItemDetails.do?id=91662")</f>
        <v>https://www.fabsurplus.com/sdi_catalog/salesItemDetails.do?id=91662</v>
      </c>
      <c r="B1522" s="2" t="s">
        <v>4268</v>
      </c>
      <c r="C1522" s="2" t="s">
        <v>4262</v>
      </c>
      <c r="D1522" s="2" t="s">
        <v>4269</v>
      </c>
      <c r="E1522" s="2" t="s">
        <v>4270</v>
      </c>
      <c r="F1522" s="2" t="s">
        <v>16</v>
      </c>
      <c r="G1522" s="2" t="s">
        <v>61</v>
      </c>
      <c r="H1522" s="2"/>
      <c r="I1522" s="3" t="n">
        <v>38168.9166666667</v>
      </c>
      <c r="J1522" s="2" t="s">
        <v>19</v>
      </c>
      <c r="K1522" s="2"/>
      <c r="L1522" s="4" t="s">
        <v>4271</v>
      </c>
    </row>
    <row r="1523" customFormat="false" ht="15.65" hidden="false" customHeight="true" outlineLevel="0" collapsed="false">
      <c r="A1523" s="5" t="str">
        <f aca="false">HYPERLINK("https://www.fabsurplus.com/sdi_catalog/salesItemDetails.do?id=107022")</f>
        <v>https://www.fabsurplus.com/sdi_catalog/salesItemDetails.do?id=107022</v>
      </c>
      <c r="B1523" s="5" t="s">
        <v>4272</v>
      </c>
      <c r="C1523" s="5" t="s">
        <v>4262</v>
      </c>
      <c r="D1523" s="5" t="s">
        <v>4273</v>
      </c>
      <c r="E1523" s="5" t="s">
        <v>4274</v>
      </c>
      <c r="F1523" s="5" t="s">
        <v>16</v>
      </c>
      <c r="G1523" s="5"/>
      <c r="H1523" s="5" t="s">
        <v>453</v>
      </c>
      <c r="I1523" s="5"/>
      <c r="J1523" s="5" t="s">
        <v>19</v>
      </c>
      <c r="K1523" s="5" t="s">
        <v>20</v>
      </c>
      <c r="L1523" s="5"/>
    </row>
    <row r="1524" customFormat="false" ht="15.65" hidden="false" customHeight="true" outlineLevel="0" collapsed="false">
      <c r="A1524" s="2" t="str">
        <f aca="false">HYPERLINK("https://www.fabsurplus.com/sdi_catalog/salesItemDetails.do?id=91664")</f>
        <v>https://www.fabsurplus.com/sdi_catalog/salesItemDetails.do?id=91664</v>
      </c>
      <c r="B1524" s="2" t="s">
        <v>4275</v>
      </c>
      <c r="C1524" s="2" t="s">
        <v>4262</v>
      </c>
      <c r="D1524" s="2" t="s">
        <v>4269</v>
      </c>
      <c r="E1524" s="2" t="s">
        <v>4276</v>
      </c>
      <c r="F1524" s="2" t="s">
        <v>16</v>
      </c>
      <c r="G1524" s="2" t="s">
        <v>61</v>
      </c>
      <c r="H1524" s="2"/>
      <c r="I1524" s="3" t="n">
        <v>38503.9166666667</v>
      </c>
      <c r="J1524" s="2" t="s">
        <v>19</v>
      </c>
      <c r="K1524" s="2"/>
      <c r="L1524" s="2" t="s">
        <v>142</v>
      </c>
    </row>
    <row r="1525" customFormat="false" ht="15.65" hidden="false" customHeight="true" outlineLevel="0" collapsed="false">
      <c r="A1525" s="5" t="str">
        <f aca="false">HYPERLINK("https://www.fabsurplus.com/sdi_catalog/salesItemDetails.do?id=91667")</f>
        <v>https://www.fabsurplus.com/sdi_catalog/salesItemDetails.do?id=91667</v>
      </c>
      <c r="B1525" s="5" t="s">
        <v>4277</v>
      </c>
      <c r="C1525" s="5" t="s">
        <v>4262</v>
      </c>
      <c r="D1525" s="5" t="s">
        <v>4269</v>
      </c>
      <c r="E1525" s="5" t="s">
        <v>4276</v>
      </c>
      <c r="F1525" s="5" t="s">
        <v>16</v>
      </c>
      <c r="G1525" s="5" t="s">
        <v>61</v>
      </c>
      <c r="H1525" s="5"/>
      <c r="I1525" s="6" t="n">
        <v>39233.9166666667</v>
      </c>
      <c r="J1525" s="5" t="s">
        <v>19</v>
      </c>
      <c r="K1525" s="5"/>
      <c r="L1525" s="5" t="s">
        <v>142</v>
      </c>
    </row>
    <row r="1526" customFormat="false" ht="15.65" hidden="false" customHeight="true" outlineLevel="0" collapsed="false">
      <c r="A1526" s="2" t="str">
        <f aca="false">HYPERLINK("https://www.fabsurplus.com/sdi_catalog/salesItemDetails.do?id=91674")</f>
        <v>https://www.fabsurplus.com/sdi_catalog/salesItemDetails.do?id=91674</v>
      </c>
      <c r="B1526" s="2" t="s">
        <v>4278</v>
      </c>
      <c r="C1526" s="2" t="s">
        <v>4262</v>
      </c>
      <c r="D1526" s="2" t="s">
        <v>4279</v>
      </c>
      <c r="E1526" s="2" t="s">
        <v>4280</v>
      </c>
      <c r="F1526" s="2" t="s">
        <v>16</v>
      </c>
      <c r="G1526" s="2" t="s">
        <v>61</v>
      </c>
      <c r="H1526" s="2"/>
      <c r="I1526" s="2"/>
      <c r="J1526" s="2" t="s">
        <v>19</v>
      </c>
      <c r="K1526" s="2"/>
      <c r="L1526" s="2" t="s">
        <v>142</v>
      </c>
    </row>
    <row r="1527" customFormat="false" ht="15.65" hidden="false" customHeight="true" outlineLevel="0" collapsed="false">
      <c r="A1527" s="5" t="str">
        <f aca="false">HYPERLINK("https://www.fabsurplus.com/sdi_catalog/salesItemDetails.do?id=91675")</f>
        <v>https://www.fabsurplus.com/sdi_catalog/salesItemDetails.do?id=91675</v>
      </c>
      <c r="B1527" s="5" t="s">
        <v>4281</v>
      </c>
      <c r="C1527" s="5" t="s">
        <v>4262</v>
      </c>
      <c r="D1527" s="5" t="s">
        <v>4279</v>
      </c>
      <c r="E1527" s="5" t="s">
        <v>4282</v>
      </c>
      <c r="F1527" s="5" t="s">
        <v>16</v>
      </c>
      <c r="G1527" s="5" t="s">
        <v>61</v>
      </c>
      <c r="H1527" s="5"/>
      <c r="I1527" s="5"/>
      <c r="J1527" s="5" t="s">
        <v>19</v>
      </c>
      <c r="K1527" s="5"/>
      <c r="L1527" s="5" t="s">
        <v>142</v>
      </c>
    </row>
    <row r="1528" customFormat="false" ht="15.65" hidden="false" customHeight="true" outlineLevel="0" collapsed="false">
      <c r="A1528" s="2" t="str">
        <f aca="false">HYPERLINK("https://www.fabsurplus.com/sdi_catalog/salesItemDetails.do?id=91677")</f>
        <v>https://www.fabsurplus.com/sdi_catalog/salesItemDetails.do?id=91677</v>
      </c>
      <c r="B1528" s="2" t="s">
        <v>4283</v>
      </c>
      <c r="C1528" s="2" t="s">
        <v>4262</v>
      </c>
      <c r="D1528" s="2" t="s">
        <v>4279</v>
      </c>
      <c r="E1528" s="2" t="s">
        <v>4280</v>
      </c>
      <c r="F1528" s="2" t="s">
        <v>16</v>
      </c>
      <c r="G1528" s="2" t="s">
        <v>61</v>
      </c>
      <c r="H1528" s="2"/>
      <c r="I1528" s="2"/>
      <c r="J1528" s="2" t="s">
        <v>19</v>
      </c>
      <c r="K1528" s="2"/>
      <c r="L1528" s="2" t="s">
        <v>142</v>
      </c>
    </row>
    <row r="1529" customFormat="false" ht="15.65" hidden="false" customHeight="true" outlineLevel="0" collapsed="false">
      <c r="A1529" s="5" t="str">
        <f aca="false">HYPERLINK("https://www.fabsurplus.com/sdi_catalog/salesItemDetails.do?id=91678")</f>
        <v>https://www.fabsurplus.com/sdi_catalog/salesItemDetails.do?id=91678</v>
      </c>
      <c r="B1529" s="5" t="s">
        <v>4284</v>
      </c>
      <c r="C1529" s="5" t="s">
        <v>4262</v>
      </c>
      <c r="D1529" s="5" t="s">
        <v>4279</v>
      </c>
      <c r="E1529" s="5" t="s">
        <v>4280</v>
      </c>
      <c r="F1529" s="5" t="s">
        <v>16</v>
      </c>
      <c r="G1529" s="5" t="s">
        <v>61</v>
      </c>
      <c r="H1529" s="5"/>
      <c r="I1529" s="5"/>
      <c r="J1529" s="5" t="s">
        <v>19</v>
      </c>
      <c r="K1529" s="5"/>
      <c r="L1529" s="5" t="s">
        <v>142</v>
      </c>
    </row>
    <row r="1530" customFormat="false" ht="15.65" hidden="false" customHeight="true" outlineLevel="0" collapsed="false">
      <c r="A1530" s="2" t="str">
        <f aca="false">HYPERLINK("https://www.fabsurplus.com/sdi_catalog/salesItemDetails.do?id=91679")</f>
        <v>https://www.fabsurplus.com/sdi_catalog/salesItemDetails.do?id=91679</v>
      </c>
      <c r="B1530" s="2" t="s">
        <v>4285</v>
      </c>
      <c r="C1530" s="2" t="s">
        <v>4262</v>
      </c>
      <c r="D1530" s="2" t="s">
        <v>4279</v>
      </c>
      <c r="E1530" s="2" t="s">
        <v>4280</v>
      </c>
      <c r="F1530" s="2" t="s">
        <v>16</v>
      </c>
      <c r="G1530" s="2" t="s">
        <v>61</v>
      </c>
      <c r="H1530" s="2"/>
      <c r="I1530" s="2"/>
      <c r="J1530" s="2" t="s">
        <v>19</v>
      </c>
      <c r="K1530" s="2"/>
      <c r="L1530" s="2" t="s">
        <v>142</v>
      </c>
    </row>
    <row r="1531" customFormat="false" ht="15.65" hidden="false" customHeight="true" outlineLevel="0" collapsed="false">
      <c r="A1531" s="5" t="str">
        <f aca="false">HYPERLINK("https://www.fabsurplus.com/sdi_catalog/salesItemDetails.do?id=91680")</f>
        <v>https://www.fabsurplus.com/sdi_catalog/salesItemDetails.do?id=91680</v>
      </c>
      <c r="B1531" s="5" t="s">
        <v>4286</v>
      </c>
      <c r="C1531" s="5" t="s">
        <v>4262</v>
      </c>
      <c r="D1531" s="5" t="s">
        <v>4279</v>
      </c>
      <c r="E1531" s="5" t="s">
        <v>4287</v>
      </c>
      <c r="F1531" s="5" t="s">
        <v>16</v>
      </c>
      <c r="G1531" s="5" t="s">
        <v>61</v>
      </c>
      <c r="H1531" s="5"/>
      <c r="I1531" s="5"/>
      <c r="J1531" s="5" t="s">
        <v>19</v>
      </c>
      <c r="K1531" s="5"/>
      <c r="L1531" s="5" t="s">
        <v>142</v>
      </c>
    </row>
    <row r="1532" customFormat="false" ht="15.65" hidden="false" customHeight="true" outlineLevel="0" collapsed="false">
      <c r="A1532" s="2" t="str">
        <f aca="false">HYPERLINK("https://www.fabsurplus.com/sdi_catalog/salesItemDetails.do?id=110624")</f>
        <v>https://www.fabsurplus.com/sdi_catalog/salesItemDetails.do?id=110624</v>
      </c>
      <c r="B1532" s="2" t="s">
        <v>4288</v>
      </c>
      <c r="C1532" s="2" t="s">
        <v>4262</v>
      </c>
      <c r="D1532" s="2" t="s">
        <v>4289</v>
      </c>
      <c r="E1532" s="2" t="s">
        <v>4290</v>
      </c>
      <c r="F1532" s="2" t="s">
        <v>16</v>
      </c>
      <c r="G1532" s="2" t="s">
        <v>38</v>
      </c>
      <c r="H1532" s="2"/>
      <c r="I1532" s="2"/>
      <c r="J1532" s="2" t="s">
        <v>19</v>
      </c>
      <c r="K1532" s="2"/>
      <c r="L1532" s="4" t="s">
        <v>1617</v>
      </c>
    </row>
    <row r="1533" customFormat="false" ht="15.65" hidden="false" customHeight="true" outlineLevel="0" collapsed="false">
      <c r="A1533" s="5" t="str">
        <f aca="false">HYPERLINK("https://www.fabsurplus.com/sdi_catalog/salesItemDetails.do?id=91681")</f>
        <v>https://www.fabsurplus.com/sdi_catalog/salesItemDetails.do?id=91681</v>
      </c>
      <c r="B1533" s="5" t="s">
        <v>4291</v>
      </c>
      <c r="C1533" s="5" t="s">
        <v>4262</v>
      </c>
      <c r="D1533" s="5" t="s">
        <v>4279</v>
      </c>
      <c r="E1533" s="5" t="s">
        <v>4292</v>
      </c>
      <c r="F1533" s="5" t="s">
        <v>16</v>
      </c>
      <c r="G1533" s="5" t="s">
        <v>61</v>
      </c>
      <c r="H1533" s="5"/>
      <c r="I1533" s="5"/>
      <c r="J1533" s="5" t="s">
        <v>19</v>
      </c>
      <c r="K1533" s="5"/>
      <c r="L1533" s="5" t="s">
        <v>142</v>
      </c>
    </row>
    <row r="1534" customFormat="false" ht="15.65" hidden="false" customHeight="true" outlineLevel="0" collapsed="false">
      <c r="A1534" s="2" t="str">
        <f aca="false">HYPERLINK("https://www.fabsurplus.com/sdi_catalog/salesItemDetails.do?id=110625")</f>
        <v>https://www.fabsurplus.com/sdi_catalog/salesItemDetails.do?id=110625</v>
      </c>
      <c r="B1534" s="2" t="s">
        <v>4293</v>
      </c>
      <c r="C1534" s="2" t="s">
        <v>4262</v>
      </c>
      <c r="D1534" s="2" t="s">
        <v>4289</v>
      </c>
      <c r="E1534" s="2" t="s">
        <v>4290</v>
      </c>
      <c r="F1534" s="2" t="s">
        <v>16</v>
      </c>
      <c r="G1534" s="2" t="s">
        <v>38</v>
      </c>
      <c r="H1534" s="2"/>
      <c r="I1534" s="2"/>
      <c r="J1534" s="2" t="s">
        <v>19</v>
      </c>
      <c r="K1534" s="2"/>
      <c r="L1534" s="4" t="s">
        <v>1617</v>
      </c>
    </row>
    <row r="1535" customFormat="false" ht="15.65" hidden="false" customHeight="true" outlineLevel="0" collapsed="false">
      <c r="A1535" s="5" t="str">
        <f aca="false">HYPERLINK("https://www.fabsurplus.com/sdi_catalog/salesItemDetails.do?id=110626")</f>
        <v>https://www.fabsurplus.com/sdi_catalog/salesItemDetails.do?id=110626</v>
      </c>
      <c r="B1535" s="5" t="s">
        <v>4294</v>
      </c>
      <c r="C1535" s="5" t="s">
        <v>4262</v>
      </c>
      <c r="D1535" s="5" t="s">
        <v>4295</v>
      </c>
      <c r="E1535" s="5" t="s">
        <v>4290</v>
      </c>
      <c r="F1535" s="5" t="s">
        <v>16</v>
      </c>
      <c r="G1535" s="5" t="s">
        <v>38</v>
      </c>
      <c r="H1535" s="5"/>
      <c r="I1535" s="5"/>
      <c r="J1535" s="5" t="s">
        <v>19</v>
      </c>
      <c r="K1535" s="5"/>
      <c r="L1535" s="7" t="s">
        <v>1617</v>
      </c>
    </row>
    <row r="1536" customFormat="false" ht="15.65" hidden="false" customHeight="true" outlineLevel="0" collapsed="false">
      <c r="A1536" s="2" t="str">
        <f aca="false">HYPERLINK("https://www.fabsurplus.com/sdi_catalog/salesItemDetails.do?id=91683")</f>
        <v>https://www.fabsurplus.com/sdi_catalog/salesItemDetails.do?id=91683</v>
      </c>
      <c r="B1536" s="2" t="s">
        <v>4296</v>
      </c>
      <c r="C1536" s="2" t="s">
        <v>4262</v>
      </c>
      <c r="D1536" s="2" t="s">
        <v>4279</v>
      </c>
      <c r="E1536" s="2" t="s">
        <v>4292</v>
      </c>
      <c r="F1536" s="2" t="s">
        <v>16</v>
      </c>
      <c r="G1536" s="2" t="s">
        <v>61</v>
      </c>
      <c r="H1536" s="2"/>
      <c r="I1536" s="2"/>
      <c r="J1536" s="2" t="s">
        <v>19</v>
      </c>
      <c r="K1536" s="2"/>
      <c r="L1536" s="2" t="s">
        <v>142</v>
      </c>
    </row>
    <row r="1537" customFormat="false" ht="15.65" hidden="false" customHeight="true" outlineLevel="0" collapsed="false">
      <c r="A1537" s="5" t="str">
        <f aca="false">HYPERLINK("https://www.fabsurplus.com/sdi_catalog/salesItemDetails.do?id=91684")</f>
        <v>https://www.fabsurplus.com/sdi_catalog/salesItemDetails.do?id=91684</v>
      </c>
      <c r="B1537" s="5" t="s">
        <v>4297</v>
      </c>
      <c r="C1537" s="5" t="s">
        <v>4262</v>
      </c>
      <c r="D1537" s="5" t="s">
        <v>4279</v>
      </c>
      <c r="E1537" s="5" t="s">
        <v>4292</v>
      </c>
      <c r="F1537" s="5" t="s">
        <v>16</v>
      </c>
      <c r="G1537" s="5" t="s">
        <v>61</v>
      </c>
      <c r="H1537" s="5"/>
      <c r="I1537" s="6" t="n">
        <v>39599.9166666667</v>
      </c>
      <c r="J1537" s="5" t="s">
        <v>19</v>
      </c>
      <c r="K1537" s="5"/>
      <c r="L1537" s="5" t="s">
        <v>142</v>
      </c>
    </row>
    <row r="1538" customFormat="false" ht="15.65" hidden="false" customHeight="true" outlineLevel="0" collapsed="false">
      <c r="A1538" s="2" t="str">
        <f aca="false">HYPERLINK("https://www.fabsurplus.com/sdi_catalog/salesItemDetails.do?id=110628")</f>
        <v>https://www.fabsurplus.com/sdi_catalog/salesItemDetails.do?id=110628</v>
      </c>
      <c r="B1538" s="2" t="s">
        <v>4298</v>
      </c>
      <c r="C1538" s="2" t="s">
        <v>4262</v>
      </c>
      <c r="D1538" s="2" t="s">
        <v>4299</v>
      </c>
      <c r="E1538" s="2" t="s">
        <v>4300</v>
      </c>
      <c r="F1538" s="2" t="s">
        <v>16</v>
      </c>
      <c r="G1538" s="2" t="s">
        <v>38</v>
      </c>
      <c r="H1538" s="2"/>
      <c r="I1538" s="2"/>
      <c r="J1538" s="2" t="s">
        <v>19</v>
      </c>
      <c r="K1538" s="2"/>
      <c r="L1538" s="4" t="s">
        <v>1617</v>
      </c>
    </row>
    <row r="1539" customFormat="false" ht="15.65" hidden="false" customHeight="true" outlineLevel="0" collapsed="false">
      <c r="A1539" s="5" t="str">
        <f aca="false">HYPERLINK("https://www.fabsurplus.com/sdi_catalog/salesItemDetails.do?id=110629")</f>
        <v>https://www.fabsurplus.com/sdi_catalog/salesItemDetails.do?id=110629</v>
      </c>
      <c r="B1539" s="5" t="s">
        <v>4301</v>
      </c>
      <c r="C1539" s="5" t="s">
        <v>4262</v>
      </c>
      <c r="D1539" s="5" t="s">
        <v>4302</v>
      </c>
      <c r="E1539" s="5" t="s">
        <v>4300</v>
      </c>
      <c r="F1539" s="5" t="s">
        <v>16</v>
      </c>
      <c r="G1539" s="5" t="s">
        <v>38</v>
      </c>
      <c r="H1539" s="5"/>
      <c r="I1539" s="5"/>
      <c r="J1539" s="5" t="s">
        <v>19</v>
      </c>
      <c r="K1539" s="5"/>
      <c r="L1539" s="7" t="s">
        <v>1617</v>
      </c>
    </row>
    <row r="1540" customFormat="false" ht="15.65" hidden="false" customHeight="true" outlineLevel="0" collapsed="false">
      <c r="A1540" s="2" t="str">
        <f aca="false">HYPERLINK("https://www.fabsurplus.com/sdi_catalog/salesItemDetails.do?id=106022")</f>
        <v>https://www.fabsurplus.com/sdi_catalog/salesItemDetails.do?id=106022</v>
      </c>
      <c r="B1540" s="2" t="s">
        <v>4303</v>
      </c>
      <c r="C1540" s="2" t="s">
        <v>4262</v>
      </c>
      <c r="D1540" s="2" t="s">
        <v>4304</v>
      </c>
      <c r="E1540" s="2" t="s">
        <v>4305</v>
      </c>
      <c r="F1540" s="2" t="s">
        <v>16</v>
      </c>
      <c r="G1540" s="2" t="s">
        <v>38</v>
      </c>
      <c r="H1540" s="2" t="s">
        <v>18</v>
      </c>
      <c r="I1540" s="3" t="n">
        <v>37894.9166666667</v>
      </c>
      <c r="J1540" s="2" t="s">
        <v>19</v>
      </c>
      <c r="K1540" s="2" t="s">
        <v>20</v>
      </c>
      <c r="L1540" s="4" t="s">
        <v>4306</v>
      </c>
    </row>
    <row r="1541" customFormat="false" ht="15.65" hidden="false" customHeight="true" outlineLevel="0" collapsed="false">
      <c r="A1541" s="5" t="str">
        <f aca="false">HYPERLINK("https://www.fabsurplus.com/sdi_catalog/salesItemDetails.do?id=110630")</f>
        <v>https://www.fabsurplus.com/sdi_catalog/salesItemDetails.do?id=110630</v>
      </c>
      <c r="B1541" s="5" t="s">
        <v>4307</v>
      </c>
      <c r="C1541" s="5" t="s">
        <v>4262</v>
      </c>
      <c r="D1541" s="5" t="s">
        <v>4308</v>
      </c>
      <c r="E1541" s="5" t="s">
        <v>4300</v>
      </c>
      <c r="F1541" s="5" t="s">
        <v>16</v>
      </c>
      <c r="G1541" s="5" t="s">
        <v>61</v>
      </c>
      <c r="H1541" s="5"/>
      <c r="I1541" s="5"/>
      <c r="J1541" s="5" t="s">
        <v>19</v>
      </c>
      <c r="K1541" s="5"/>
      <c r="L1541" s="7" t="s">
        <v>1617</v>
      </c>
    </row>
    <row r="1542" customFormat="false" ht="15.65" hidden="false" customHeight="true" outlineLevel="0" collapsed="false">
      <c r="A1542" s="2" t="str">
        <f aca="false">HYPERLINK("https://www.fabsurplus.com/sdi_catalog/salesItemDetails.do?id=106023")</f>
        <v>https://www.fabsurplus.com/sdi_catalog/salesItemDetails.do?id=106023</v>
      </c>
      <c r="B1542" s="2" t="s">
        <v>4309</v>
      </c>
      <c r="C1542" s="2" t="s">
        <v>4262</v>
      </c>
      <c r="D1542" s="2" t="s">
        <v>4304</v>
      </c>
      <c r="E1542" s="2" t="s">
        <v>4310</v>
      </c>
      <c r="F1542" s="2" t="s">
        <v>16</v>
      </c>
      <c r="G1542" s="2" t="s">
        <v>38</v>
      </c>
      <c r="H1542" s="2" t="s">
        <v>18</v>
      </c>
      <c r="I1542" s="3" t="n">
        <v>38077.9166666667</v>
      </c>
      <c r="J1542" s="2" t="s">
        <v>19</v>
      </c>
      <c r="K1542" s="2" t="s">
        <v>20</v>
      </c>
      <c r="L1542" s="4" t="s">
        <v>4311</v>
      </c>
    </row>
    <row r="1543" customFormat="false" ht="15.65" hidden="false" customHeight="true" outlineLevel="0" collapsed="false">
      <c r="A1543" s="5" t="str">
        <f aca="false">HYPERLINK("https://www.fabsurplus.com/sdi_catalog/salesItemDetails.do?id=110637")</f>
        <v>https://www.fabsurplus.com/sdi_catalog/salesItemDetails.do?id=110637</v>
      </c>
      <c r="B1543" s="5" t="s">
        <v>4312</v>
      </c>
      <c r="C1543" s="5" t="s">
        <v>4262</v>
      </c>
      <c r="D1543" s="5" t="s">
        <v>4313</v>
      </c>
      <c r="E1543" s="5" t="s">
        <v>4290</v>
      </c>
      <c r="F1543" s="5" t="s">
        <v>16</v>
      </c>
      <c r="G1543" s="5" t="s">
        <v>61</v>
      </c>
      <c r="H1543" s="5"/>
      <c r="I1543" s="5"/>
      <c r="J1543" s="5" t="s">
        <v>19</v>
      </c>
      <c r="K1543" s="5"/>
      <c r="L1543" s="7" t="s">
        <v>1617</v>
      </c>
    </row>
    <row r="1544" customFormat="false" ht="15.65" hidden="false" customHeight="true" outlineLevel="0" collapsed="false">
      <c r="A1544" s="2" t="str">
        <f aca="false">HYPERLINK("https://www.fabsurplus.com/sdi_catalog/salesItemDetails.do?id=106817")</f>
        <v>https://www.fabsurplus.com/sdi_catalog/salesItemDetails.do?id=106817</v>
      </c>
      <c r="B1544" s="2" t="s">
        <v>4314</v>
      </c>
      <c r="C1544" s="2" t="s">
        <v>4315</v>
      </c>
      <c r="D1544" s="2" t="s">
        <v>4316</v>
      </c>
      <c r="E1544" s="2" t="s">
        <v>4317</v>
      </c>
      <c r="F1544" s="2" t="s">
        <v>16</v>
      </c>
      <c r="G1544" s="2" t="s">
        <v>84</v>
      </c>
      <c r="H1544" s="2"/>
      <c r="I1544" s="2"/>
      <c r="J1544" s="2" t="s">
        <v>42</v>
      </c>
      <c r="K1544" s="2"/>
      <c r="L1544" s="2" t="s">
        <v>142</v>
      </c>
    </row>
    <row r="1545" customFormat="false" ht="15.65" hidden="false" customHeight="true" outlineLevel="0" collapsed="false">
      <c r="A1545" s="5" t="str">
        <f aca="false">HYPERLINK("https://www.fabsurplus.com/sdi_catalog/salesItemDetails.do?id=103518")</f>
        <v>https://www.fabsurplus.com/sdi_catalog/salesItemDetails.do?id=103518</v>
      </c>
      <c r="B1545" s="5" t="s">
        <v>4318</v>
      </c>
      <c r="C1545" s="5" t="s">
        <v>4262</v>
      </c>
      <c r="D1545" s="5" t="s">
        <v>4313</v>
      </c>
      <c r="E1545" s="5" t="s">
        <v>4319</v>
      </c>
      <c r="F1545" s="5" t="s">
        <v>16</v>
      </c>
      <c r="G1545" s="5" t="s">
        <v>61</v>
      </c>
      <c r="H1545" s="5"/>
      <c r="I1545" s="6" t="n">
        <v>39964.9166666667</v>
      </c>
      <c r="J1545" s="5" t="s">
        <v>19</v>
      </c>
      <c r="K1545" s="5"/>
      <c r="L1545" s="7" t="s">
        <v>1682</v>
      </c>
    </row>
    <row r="1546" customFormat="false" ht="15.65" hidden="false" customHeight="true" outlineLevel="0" collapsed="false">
      <c r="A1546" s="2" t="str">
        <f aca="false">HYPERLINK("https://www.fabsurplus.com/sdi_catalog/salesItemDetails.do?id=103520")</f>
        <v>https://www.fabsurplus.com/sdi_catalog/salesItemDetails.do?id=103520</v>
      </c>
      <c r="B1546" s="2" t="s">
        <v>4320</v>
      </c>
      <c r="C1546" s="2" t="s">
        <v>4262</v>
      </c>
      <c r="D1546" s="2" t="s">
        <v>4269</v>
      </c>
      <c r="E1546" s="2" t="s">
        <v>4321</v>
      </c>
      <c r="F1546" s="2" t="s">
        <v>16</v>
      </c>
      <c r="G1546" s="2" t="s">
        <v>61</v>
      </c>
      <c r="H1546" s="2"/>
      <c r="I1546" s="3" t="n">
        <v>37772.9166666667</v>
      </c>
      <c r="J1546" s="2" t="s">
        <v>19</v>
      </c>
      <c r="K1546" s="2"/>
      <c r="L1546" s="4" t="s">
        <v>1682</v>
      </c>
    </row>
    <row r="1547" customFormat="false" ht="15.65" hidden="false" customHeight="true" outlineLevel="0" collapsed="false">
      <c r="A1547" s="5" t="str">
        <f aca="false">HYPERLINK("https://www.fabsurplus.com/sdi_catalog/salesItemDetails.do?id=103521")</f>
        <v>https://www.fabsurplus.com/sdi_catalog/salesItemDetails.do?id=103521</v>
      </c>
      <c r="B1547" s="5" t="s">
        <v>4322</v>
      </c>
      <c r="C1547" s="5" t="s">
        <v>4262</v>
      </c>
      <c r="D1547" s="5" t="s">
        <v>4269</v>
      </c>
      <c r="E1547" s="5" t="s">
        <v>4321</v>
      </c>
      <c r="F1547" s="5" t="s">
        <v>16</v>
      </c>
      <c r="G1547" s="5" t="s">
        <v>61</v>
      </c>
      <c r="H1547" s="5"/>
      <c r="I1547" s="6" t="n">
        <v>37042.9166666667</v>
      </c>
      <c r="J1547" s="5" t="s">
        <v>19</v>
      </c>
      <c r="K1547" s="5"/>
      <c r="L1547" s="7" t="s">
        <v>1682</v>
      </c>
    </row>
    <row r="1548" customFormat="false" ht="15.65" hidden="false" customHeight="true" outlineLevel="0" collapsed="false">
      <c r="A1548" s="2" t="str">
        <f aca="false">HYPERLINK("https://www.fabsurplus.com/sdi_catalog/salesItemDetails.do?id=103522")</f>
        <v>https://www.fabsurplus.com/sdi_catalog/salesItemDetails.do?id=103522</v>
      </c>
      <c r="B1548" s="2" t="s">
        <v>4323</v>
      </c>
      <c r="C1548" s="2" t="s">
        <v>4262</v>
      </c>
      <c r="D1548" s="2" t="s">
        <v>4269</v>
      </c>
      <c r="E1548" s="2" t="s">
        <v>4324</v>
      </c>
      <c r="F1548" s="2" t="s">
        <v>16</v>
      </c>
      <c r="G1548" s="2" t="s">
        <v>61</v>
      </c>
      <c r="H1548" s="2"/>
      <c r="I1548" s="2"/>
      <c r="J1548" s="2" t="s">
        <v>19</v>
      </c>
      <c r="K1548" s="2"/>
      <c r="L1548" s="4" t="s">
        <v>1682</v>
      </c>
    </row>
    <row r="1549" customFormat="false" ht="15.65" hidden="false" customHeight="true" outlineLevel="0" collapsed="false">
      <c r="A1549" s="5" t="str">
        <f aca="false">HYPERLINK("https://www.fabsurplus.com/sdi_catalog/salesItemDetails.do?id=108898")</f>
        <v>https://www.fabsurplus.com/sdi_catalog/salesItemDetails.do?id=108898</v>
      </c>
      <c r="B1549" s="5" t="s">
        <v>4325</v>
      </c>
      <c r="C1549" s="5" t="s">
        <v>4262</v>
      </c>
      <c r="D1549" s="5" t="s">
        <v>4326</v>
      </c>
      <c r="E1549" s="5" t="s">
        <v>4327</v>
      </c>
      <c r="F1549" s="5" t="s">
        <v>16</v>
      </c>
      <c r="G1549" s="5" t="s">
        <v>38</v>
      </c>
      <c r="H1549" s="5" t="s">
        <v>18</v>
      </c>
      <c r="I1549" s="6" t="n">
        <v>36739</v>
      </c>
      <c r="J1549" s="5" t="s">
        <v>19</v>
      </c>
      <c r="K1549" s="5" t="s">
        <v>20</v>
      </c>
      <c r="L1549" s="7" t="s">
        <v>4328</v>
      </c>
    </row>
    <row r="1550" customFormat="false" ht="15.65" hidden="false" customHeight="true" outlineLevel="0" collapsed="false">
      <c r="A1550" s="2" t="str">
        <f aca="false">HYPERLINK("https://www.fabsurplus.com/sdi_catalog/salesItemDetails.do?id=103523")</f>
        <v>https://www.fabsurplus.com/sdi_catalog/salesItemDetails.do?id=103523</v>
      </c>
      <c r="B1550" s="2" t="s">
        <v>4329</v>
      </c>
      <c r="C1550" s="2" t="s">
        <v>4262</v>
      </c>
      <c r="D1550" s="2" t="s">
        <v>4279</v>
      </c>
      <c r="E1550" s="2" t="s">
        <v>4330</v>
      </c>
      <c r="F1550" s="2" t="s">
        <v>16</v>
      </c>
      <c r="G1550" s="2" t="s">
        <v>61</v>
      </c>
      <c r="H1550" s="2"/>
      <c r="I1550" s="3" t="n">
        <v>37772.9166666667</v>
      </c>
      <c r="J1550" s="2" t="s">
        <v>19</v>
      </c>
      <c r="K1550" s="2"/>
      <c r="L1550" s="4" t="s">
        <v>1682</v>
      </c>
    </row>
    <row r="1551" customFormat="false" ht="15.65" hidden="false" customHeight="true" outlineLevel="0" collapsed="false">
      <c r="A1551" s="5" t="str">
        <f aca="false">HYPERLINK("https://www.fabsurplus.com/sdi_catalog/salesItemDetails.do?id=103524")</f>
        <v>https://www.fabsurplus.com/sdi_catalog/salesItemDetails.do?id=103524</v>
      </c>
      <c r="B1551" s="5" t="s">
        <v>4331</v>
      </c>
      <c r="C1551" s="5" t="s">
        <v>4262</v>
      </c>
      <c r="D1551" s="5" t="s">
        <v>4279</v>
      </c>
      <c r="E1551" s="5" t="s">
        <v>4332</v>
      </c>
      <c r="F1551" s="5" t="s">
        <v>16</v>
      </c>
      <c r="G1551" s="5" t="s">
        <v>61</v>
      </c>
      <c r="H1551" s="5"/>
      <c r="I1551" s="5"/>
      <c r="J1551" s="5" t="s">
        <v>19</v>
      </c>
      <c r="K1551" s="5"/>
      <c r="L1551" s="7" t="s">
        <v>1682</v>
      </c>
    </row>
    <row r="1552" customFormat="false" ht="15.65" hidden="false" customHeight="true" outlineLevel="0" collapsed="false">
      <c r="A1552" s="2" t="str">
        <f aca="false">HYPERLINK("https://www.fabsurplus.com/sdi_catalog/salesItemDetails.do?id=109164")</f>
        <v>https://www.fabsurplus.com/sdi_catalog/salesItemDetails.do?id=109164</v>
      </c>
      <c r="B1552" s="2" t="s">
        <v>4333</v>
      </c>
      <c r="C1552" s="2" t="s">
        <v>4262</v>
      </c>
      <c r="D1552" s="2" t="s">
        <v>4334</v>
      </c>
      <c r="E1552" s="2" t="s">
        <v>4321</v>
      </c>
      <c r="F1552" s="2" t="s">
        <v>16</v>
      </c>
      <c r="G1552" s="2" t="s">
        <v>84</v>
      </c>
      <c r="H1552" s="2"/>
      <c r="I1552" s="2"/>
      <c r="J1552" s="2" t="s">
        <v>19</v>
      </c>
      <c r="K1552" s="2"/>
      <c r="L1552" s="2"/>
    </row>
    <row r="1553" customFormat="false" ht="15.65" hidden="false" customHeight="true" outlineLevel="0" collapsed="false">
      <c r="A1553" s="5" t="str">
        <f aca="false">HYPERLINK("https://www.fabsurplus.com/sdi_catalog/salesItemDetails.do?id=109165")</f>
        <v>https://www.fabsurplus.com/sdi_catalog/salesItemDetails.do?id=109165</v>
      </c>
      <c r="B1553" s="5" t="s">
        <v>4335</v>
      </c>
      <c r="C1553" s="5" t="s">
        <v>4262</v>
      </c>
      <c r="D1553" s="5" t="s">
        <v>4269</v>
      </c>
      <c r="E1553" s="5" t="s">
        <v>4321</v>
      </c>
      <c r="F1553" s="5" t="s">
        <v>16</v>
      </c>
      <c r="G1553" s="5" t="s">
        <v>84</v>
      </c>
      <c r="H1553" s="5"/>
      <c r="I1553" s="5"/>
      <c r="J1553" s="5" t="s">
        <v>19</v>
      </c>
      <c r="K1553" s="5"/>
      <c r="L1553" s="5"/>
    </row>
    <row r="1554" customFormat="false" ht="15.65" hidden="false" customHeight="true" outlineLevel="0" collapsed="false">
      <c r="A1554" s="2" t="str">
        <f aca="false">HYPERLINK("https://www.fabsurplus.com/sdi_catalog/salesItemDetails.do?id=109166")</f>
        <v>https://www.fabsurplus.com/sdi_catalog/salesItemDetails.do?id=109166</v>
      </c>
      <c r="B1554" s="2" t="s">
        <v>4336</v>
      </c>
      <c r="C1554" s="2" t="s">
        <v>4262</v>
      </c>
      <c r="D1554" s="2" t="s">
        <v>4269</v>
      </c>
      <c r="E1554" s="2" t="s">
        <v>4321</v>
      </c>
      <c r="F1554" s="2" t="s">
        <v>16</v>
      </c>
      <c r="G1554" s="2" t="s">
        <v>84</v>
      </c>
      <c r="H1554" s="2"/>
      <c r="I1554" s="2"/>
      <c r="J1554" s="2" t="s">
        <v>19</v>
      </c>
      <c r="K1554" s="2"/>
      <c r="L1554" s="2"/>
    </row>
    <row r="1555" customFormat="false" ht="15.65" hidden="false" customHeight="true" outlineLevel="0" collapsed="false">
      <c r="A1555" s="5" t="str">
        <f aca="false">HYPERLINK("https://www.fabsurplus.com/sdi_catalog/salesItemDetails.do?id=109167")</f>
        <v>https://www.fabsurplus.com/sdi_catalog/salesItemDetails.do?id=109167</v>
      </c>
      <c r="B1555" s="5" t="s">
        <v>4337</v>
      </c>
      <c r="C1555" s="5" t="s">
        <v>4262</v>
      </c>
      <c r="D1555" s="5" t="s">
        <v>4269</v>
      </c>
      <c r="E1555" s="5" t="s">
        <v>4321</v>
      </c>
      <c r="F1555" s="5" t="s">
        <v>16</v>
      </c>
      <c r="G1555" s="5" t="s">
        <v>84</v>
      </c>
      <c r="H1555" s="5"/>
      <c r="I1555" s="5"/>
      <c r="J1555" s="5" t="s">
        <v>19</v>
      </c>
      <c r="K1555" s="5"/>
      <c r="L1555" s="5"/>
    </row>
    <row r="1556" customFormat="false" ht="15.65" hidden="false" customHeight="true" outlineLevel="0" collapsed="false">
      <c r="A1556" s="2" t="str">
        <f aca="false">HYPERLINK("https://www.fabsurplus.com/sdi_catalog/salesItemDetails.do?id=109168")</f>
        <v>https://www.fabsurplus.com/sdi_catalog/salesItemDetails.do?id=109168</v>
      </c>
      <c r="B1556" s="2" t="s">
        <v>4338</v>
      </c>
      <c r="C1556" s="2" t="s">
        <v>4262</v>
      </c>
      <c r="D1556" s="2" t="s">
        <v>4269</v>
      </c>
      <c r="E1556" s="2" t="s">
        <v>4321</v>
      </c>
      <c r="F1556" s="2" t="s">
        <v>16</v>
      </c>
      <c r="G1556" s="2" t="s">
        <v>84</v>
      </c>
      <c r="H1556" s="2"/>
      <c r="I1556" s="2"/>
      <c r="J1556" s="2" t="s">
        <v>19</v>
      </c>
      <c r="K1556" s="2"/>
      <c r="L1556" s="2"/>
    </row>
    <row r="1557" customFormat="false" ht="15.65" hidden="false" customHeight="true" outlineLevel="0" collapsed="false">
      <c r="A1557" s="5" t="str">
        <f aca="false">HYPERLINK("https://www.fabsurplus.com/sdi_catalog/salesItemDetails.do?id=108401")</f>
        <v>https://www.fabsurplus.com/sdi_catalog/salesItemDetails.do?id=108401</v>
      </c>
      <c r="B1557" s="5" t="s">
        <v>4339</v>
      </c>
      <c r="C1557" s="5" t="s">
        <v>4262</v>
      </c>
      <c r="D1557" s="5" t="s">
        <v>4340</v>
      </c>
      <c r="E1557" s="5" t="s">
        <v>4341</v>
      </c>
      <c r="F1557" s="5" t="s">
        <v>16</v>
      </c>
      <c r="G1557" s="5" t="s">
        <v>61</v>
      </c>
      <c r="H1557" s="5"/>
      <c r="I1557" s="5"/>
      <c r="J1557" s="5" t="s">
        <v>19</v>
      </c>
      <c r="K1557" s="5"/>
      <c r="L1557" s="5"/>
    </row>
    <row r="1558" customFormat="false" ht="15.65" hidden="false" customHeight="true" outlineLevel="0" collapsed="false">
      <c r="A1558" s="2" t="str">
        <f aca="false">HYPERLINK("https://www.fabsurplus.com/sdi_catalog/salesItemDetails.do?id=108156")</f>
        <v>https://www.fabsurplus.com/sdi_catalog/salesItemDetails.do?id=108156</v>
      </c>
      <c r="B1558" s="2" t="s">
        <v>4342</v>
      </c>
      <c r="C1558" s="2" t="s">
        <v>4262</v>
      </c>
      <c r="D1558" s="2" t="s">
        <v>4343</v>
      </c>
      <c r="E1558" s="2" t="s">
        <v>4344</v>
      </c>
      <c r="F1558" s="2" t="s">
        <v>16</v>
      </c>
      <c r="G1558" s="2" t="s">
        <v>38</v>
      </c>
      <c r="H1558" s="2"/>
      <c r="I1558" s="3" t="n">
        <v>36678</v>
      </c>
      <c r="J1558" s="2" t="s">
        <v>19</v>
      </c>
      <c r="K1558" s="2"/>
      <c r="L1558" s="2" t="s">
        <v>1480</v>
      </c>
    </row>
    <row r="1559" customFormat="false" ht="15.65" hidden="false" customHeight="true" outlineLevel="0" collapsed="false">
      <c r="A1559" s="5" t="str">
        <f aca="false">HYPERLINK("https://www.fabsurplus.com/sdi_catalog/salesItemDetails.do?id=108157")</f>
        <v>https://www.fabsurplus.com/sdi_catalog/salesItemDetails.do?id=108157</v>
      </c>
      <c r="B1559" s="5" t="s">
        <v>4345</v>
      </c>
      <c r="C1559" s="5" t="s">
        <v>4262</v>
      </c>
      <c r="D1559" s="5" t="s">
        <v>4279</v>
      </c>
      <c r="E1559" s="5" t="s">
        <v>4330</v>
      </c>
      <c r="F1559" s="5" t="s">
        <v>16</v>
      </c>
      <c r="G1559" s="5" t="s">
        <v>61</v>
      </c>
      <c r="H1559" s="5"/>
      <c r="I1559" s="6" t="n">
        <v>38139</v>
      </c>
      <c r="J1559" s="5" t="s">
        <v>19</v>
      </c>
      <c r="K1559" s="5"/>
      <c r="L1559" s="5" t="s">
        <v>4346</v>
      </c>
    </row>
    <row r="1560" customFormat="false" ht="15.65" hidden="false" customHeight="true" outlineLevel="0" collapsed="false">
      <c r="A1560" s="2" t="str">
        <f aca="false">HYPERLINK("https://www.fabsurplus.com/sdi_catalog/salesItemDetails.do?id=105871")</f>
        <v>https://www.fabsurplus.com/sdi_catalog/salesItemDetails.do?id=105871</v>
      </c>
      <c r="B1560" s="2" t="s">
        <v>4347</v>
      </c>
      <c r="C1560" s="2" t="s">
        <v>4262</v>
      </c>
      <c r="D1560" s="2" t="s">
        <v>4348</v>
      </c>
      <c r="E1560" s="2" t="s">
        <v>4349</v>
      </c>
      <c r="F1560" s="2" t="s">
        <v>16</v>
      </c>
      <c r="G1560" s="2" t="s">
        <v>97</v>
      </c>
      <c r="H1560" s="2" t="s">
        <v>1969</v>
      </c>
      <c r="I1560" s="2"/>
      <c r="J1560" s="2" t="s">
        <v>19</v>
      </c>
      <c r="K1560" s="2" t="s">
        <v>20</v>
      </c>
      <c r="L1560" s="2"/>
    </row>
    <row r="1561" customFormat="false" ht="15.65" hidden="false" customHeight="true" outlineLevel="0" collapsed="false">
      <c r="A1561" s="5" t="str">
        <f aca="false">HYPERLINK("https://www.fabsurplus.com/sdi_catalog/salesItemDetails.do?id=105872")</f>
        <v>https://www.fabsurplus.com/sdi_catalog/salesItemDetails.do?id=105872</v>
      </c>
      <c r="B1561" s="5" t="s">
        <v>4350</v>
      </c>
      <c r="C1561" s="5" t="s">
        <v>4262</v>
      </c>
      <c r="D1561" s="5" t="s">
        <v>4351</v>
      </c>
      <c r="E1561" s="5" t="s">
        <v>4352</v>
      </c>
      <c r="F1561" s="5" t="s">
        <v>16</v>
      </c>
      <c r="G1561" s="5" t="s">
        <v>97</v>
      </c>
      <c r="H1561" s="5" t="s">
        <v>1969</v>
      </c>
      <c r="I1561" s="5"/>
      <c r="J1561" s="5" t="s">
        <v>19</v>
      </c>
      <c r="K1561" s="5" t="s">
        <v>20</v>
      </c>
      <c r="L1561" s="5"/>
    </row>
    <row r="1562" customFormat="false" ht="15.65" hidden="false" customHeight="true" outlineLevel="0" collapsed="false">
      <c r="A1562" s="2" t="str">
        <f aca="false">HYPERLINK("https://www.fabsurplus.com/sdi_catalog/salesItemDetails.do?id=93076")</f>
        <v>https://www.fabsurplus.com/sdi_catalog/salesItemDetails.do?id=93076</v>
      </c>
      <c r="B1562" s="2" t="s">
        <v>4353</v>
      </c>
      <c r="C1562" s="2" t="s">
        <v>4262</v>
      </c>
      <c r="D1562" s="2" t="s">
        <v>4354</v>
      </c>
      <c r="E1562" s="2" t="s">
        <v>4355</v>
      </c>
      <c r="F1562" s="2" t="s">
        <v>16</v>
      </c>
      <c r="G1562" s="2" t="s">
        <v>38</v>
      </c>
      <c r="H1562" s="2"/>
      <c r="I1562" s="3" t="n">
        <v>35581.9166666667</v>
      </c>
      <c r="J1562" s="2" t="s">
        <v>19</v>
      </c>
      <c r="K1562" s="2"/>
      <c r="L1562" s="2" t="s">
        <v>142</v>
      </c>
    </row>
    <row r="1563" customFormat="false" ht="15.65" hidden="false" customHeight="true" outlineLevel="0" collapsed="false">
      <c r="A1563" s="5" t="str">
        <f aca="false">HYPERLINK("https://www.fabsurplus.com/sdi_catalog/salesItemDetails.do?id=93077")</f>
        <v>https://www.fabsurplus.com/sdi_catalog/salesItemDetails.do?id=93077</v>
      </c>
      <c r="B1563" s="5" t="s">
        <v>4356</v>
      </c>
      <c r="C1563" s="5" t="s">
        <v>4262</v>
      </c>
      <c r="D1563" s="5" t="s">
        <v>4357</v>
      </c>
      <c r="E1563" s="5" t="s">
        <v>4358</v>
      </c>
      <c r="F1563" s="5" t="s">
        <v>16</v>
      </c>
      <c r="G1563" s="5" t="s">
        <v>38</v>
      </c>
      <c r="H1563" s="5"/>
      <c r="I1563" s="6" t="n">
        <v>35581.9166666667</v>
      </c>
      <c r="J1563" s="5" t="s">
        <v>19</v>
      </c>
      <c r="K1563" s="5"/>
      <c r="L1563" s="5" t="s">
        <v>142</v>
      </c>
    </row>
    <row r="1564" customFormat="false" ht="15.65" hidden="false" customHeight="true" outlineLevel="0" collapsed="false">
      <c r="A1564" s="2" t="str">
        <f aca="false">HYPERLINK("https://www.fabsurplus.com/sdi_catalog/salesItemDetails.do?id=106648")</f>
        <v>https://www.fabsurplus.com/sdi_catalog/salesItemDetails.do?id=106648</v>
      </c>
      <c r="B1564" s="2" t="s">
        <v>4359</v>
      </c>
      <c r="C1564" s="2" t="s">
        <v>4262</v>
      </c>
      <c r="D1564" s="2" t="s">
        <v>4269</v>
      </c>
      <c r="E1564" s="2" t="s">
        <v>4360</v>
      </c>
      <c r="F1564" s="2" t="s">
        <v>16</v>
      </c>
      <c r="G1564" s="2" t="s">
        <v>61</v>
      </c>
      <c r="H1564" s="2"/>
      <c r="I1564" s="3" t="n">
        <v>39234</v>
      </c>
      <c r="J1564" s="2" t="s">
        <v>19</v>
      </c>
      <c r="K1564" s="2"/>
      <c r="L1564" s="2" t="s">
        <v>518</v>
      </c>
    </row>
    <row r="1565" customFormat="false" ht="15.65" hidden="false" customHeight="true" outlineLevel="0" collapsed="false">
      <c r="A1565" s="5" t="str">
        <f aca="false">HYPERLINK("https://www.fabsurplus.com/sdi_catalog/salesItemDetails.do?id=106649")</f>
        <v>https://www.fabsurplus.com/sdi_catalog/salesItemDetails.do?id=106649</v>
      </c>
      <c r="B1565" s="5" t="s">
        <v>4361</v>
      </c>
      <c r="C1565" s="5" t="s">
        <v>4262</v>
      </c>
      <c r="D1565" s="5" t="s">
        <v>4269</v>
      </c>
      <c r="E1565" s="5" t="s">
        <v>4362</v>
      </c>
      <c r="F1565" s="5" t="s">
        <v>16</v>
      </c>
      <c r="G1565" s="5" t="s">
        <v>61</v>
      </c>
      <c r="H1565" s="5"/>
      <c r="I1565" s="6" t="n">
        <v>38869</v>
      </c>
      <c r="J1565" s="5" t="s">
        <v>19</v>
      </c>
      <c r="K1565" s="5"/>
      <c r="L1565" s="5" t="s">
        <v>518</v>
      </c>
    </row>
    <row r="1566" customFormat="false" ht="15.65" hidden="false" customHeight="true" outlineLevel="0" collapsed="false">
      <c r="A1566" s="2" t="str">
        <f aca="false">HYPERLINK("https://www.fabsurplus.com/sdi_catalog/salesItemDetails.do?id=108697")</f>
        <v>https://www.fabsurplus.com/sdi_catalog/salesItemDetails.do?id=108697</v>
      </c>
      <c r="B1566" s="2" t="s">
        <v>4363</v>
      </c>
      <c r="C1566" s="2" t="s">
        <v>4262</v>
      </c>
      <c r="D1566" s="2" t="s">
        <v>4364</v>
      </c>
      <c r="E1566" s="2" t="s">
        <v>4365</v>
      </c>
      <c r="F1566" s="2" t="s">
        <v>16</v>
      </c>
      <c r="G1566" s="2" t="s">
        <v>1287</v>
      </c>
      <c r="H1566" s="2"/>
      <c r="I1566" s="3" t="n">
        <v>38139</v>
      </c>
      <c r="J1566" s="2" t="s">
        <v>42</v>
      </c>
      <c r="K1566" s="2"/>
      <c r="L1566" s="4" t="s">
        <v>4366</v>
      </c>
    </row>
    <row r="1567" customFormat="false" ht="15.65" hidden="false" customHeight="true" outlineLevel="0" collapsed="false">
      <c r="A1567" s="5" t="str">
        <f aca="false">HYPERLINK("https://www.fabsurplus.com/sdi_catalog/salesItemDetails.do?id=106650")</f>
        <v>https://www.fabsurplus.com/sdi_catalog/salesItemDetails.do?id=106650</v>
      </c>
      <c r="B1567" s="5" t="s">
        <v>4367</v>
      </c>
      <c r="C1567" s="5" t="s">
        <v>4262</v>
      </c>
      <c r="D1567" s="5" t="s">
        <v>4269</v>
      </c>
      <c r="E1567" s="5" t="s">
        <v>4362</v>
      </c>
      <c r="F1567" s="5" t="s">
        <v>16</v>
      </c>
      <c r="G1567" s="5" t="s">
        <v>61</v>
      </c>
      <c r="H1567" s="5"/>
      <c r="I1567" s="6" t="n">
        <v>39234</v>
      </c>
      <c r="J1567" s="5" t="s">
        <v>19</v>
      </c>
      <c r="K1567" s="5"/>
      <c r="L1567" s="5" t="s">
        <v>518</v>
      </c>
    </row>
    <row r="1568" customFormat="false" ht="15.65" hidden="false" customHeight="true" outlineLevel="0" collapsed="false">
      <c r="A1568" s="2" t="str">
        <f aca="false">HYPERLINK("https://www.fabsurplus.com/sdi_catalog/salesItemDetails.do?id=106651")</f>
        <v>https://www.fabsurplus.com/sdi_catalog/salesItemDetails.do?id=106651</v>
      </c>
      <c r="B1568" s="2" t="s">
        <v>4368</v>
      </c>
      <c r="C1568" s="2" t="s">
        <v>4262</v>
      </c>
      <c r="D1568" s="2" t="s">
        <v>4269</v>
      </c>
      <c r="E1568" s="2" t="s">
        <v>4362</v>
      </c>
      <c r="F1568" s="2" t="s">
        <v>16</v>
      </c>
      <c r="G1568" s="2" t="s">
        <v>61</v>
      </c>
      <c r="H1568" s="2"/>
      <c r="I1568" s="3" t="n">
        <v>39234</v>
      </c>
      <c r="J1568" s="2" t="s">
        <v>19</v>
      </c>
      <c r="K1568" s="2"/>
      <c r="L1568" s="2" t="s">
        <v>518</v>
      </c>
    </row>
    <row r="1569" customFormat="false" ht="15.65" hidden="false" customHeight="true" outlineLevel="0" collapsed="false">
      <c r="A1569" s="5" t="str">
        <f aca="false">HYPERLINK("https://www.fabsurplus.com/sdi_catalog/salesItemDetails.do?id=106652")</f>
        <v>https://www.fabsurplus.com/sdi_catalog/salesItemDetails.do?id=106652</v>
      </c>
      <c r="B1569" s="5" t="s">
        <v>4369</v>
      </c>
      <c r="C1569" s="5" t="s">
        <v>4262</v>
      </c>
      <c r="D1569" s="5" t="s">
        <v>4269</v>
      </c>
      <c r="E1569" s="5" t="s">
        <v>4370</v>
      </c>
      <c r="F1569" s="5" t="s">
        <v>16</v>
      </c>
      <c r="G1569" s="5" t="s">
        <v>61</v>
      </c>
      <c r="H1569" s="5"/>
      <c r="I1569" s="6" t="n">
        <v>39234</v>
      </c>
      <c r="J1569" s="5" t="s">
        <v>19</v>
      </c>
      <c r="K1569" s="5"/>
      <c r="L1569" s="5" t="s">
        <v>518</v>
      </c>
    </row>
    <row r="1570" customFormat="false" ht="15.65" hidden="false" customHeight="true" outlineLevel="0" collapsed="false">
      <c r="A1570" s="2" t="str">
        <f aca="false">HYPERLINK("https://www.fabsurplus.com/sdi_catalog/salesItemDetails.do?id=106653")</f>
        <v>https://www.fabsurplus.com/sdi_catalog/salesItemDetails.do?id=106653</v>
      </c>
      <c r="B1570" s="2" t="s">
        <v>4371</v>
      </c>
      <c r="C1570" s="2" t="s">
        <v>4262</v>
      </c>
      <c r="D1570" s="2" t="s">
        <v>4269</v>
      </c>
      <c r="E1570" s="2" t="s">
        <v>4370</v>
      </c>
      <c r="F1570" s="2" t="s">
        <v>16</v>
      </c>
      <c r="G1570" s="2" t="s">
        <v>61</v>
      </c>
      <c r="H1570" s="2"/>
      <c r="I1570" s="3" t="n">
        <v>39234</v>
      </c>
      <c r="J1570" s="2" t="s">
        <v>19</v>
      </c>
      <c r="K1570" s="2"/>
      <c r="L1570" s="2" t="s">
        <v>518</v>
      </c>
    </row>
    <row r="1571" customFormat="false" ht="15.65" hidden="false" customHeight="true" outlineLevel="0" collapsed="false">
      <c r="A1571" s="5" t="str">
        <f aca="false">HYPERLINK("https://www.fabsurplus.com/sdi_catalog/salesItemDetails.do?id=106654")</f>
        <v>https://www.fabsurplus.com/sdi_catalog/salesItemDetails.do?id=106654</v>
      </c>
      <c r="B1571" s="5" t="s">
        <v>4372</v>
      </c>
      <c r="C1571" s="5" t="s">
        <v>4262</v>
      </c>
      <c r="D1571" s="5" t="s">
        <v>4373</v>
      </c>
      <c r="E1571" s="5" t="s">
        <v>4374</v>
      </c>
      <c r="F1571" s="5" t="s">
        <v>16</v>
      </c>
      <c r="G1571" s="5" t="s">
        <v>61</v>
      </c>
      <c r="H1571" s="5"/>
      <c r="I1571" s="5"/>
      <c r="J1571" s="5" t="s">
        <v>19</v>
      </c>
      <c r="K1571" s="5"/>
      <c r="L1571" s="5" t="s">
        <v>518</v>
      </c>
    </row>
    <row r="1572" customFormat="false" ht="15.65" hidden="false" customHeight="true" outlineLevel="0" collapsed="false">
      <c r="A1572" s="2" t="str">
        <f aca="false">HYPERLINK("https://www.fabsurplus.com/sdi_catalog/salesItemDetails.do?id=108201")</f>
        <v>https://www.fabsurplus.com/sdi_catalog/salesItemDetails.do?id=108201</v>
      </c>
      <c r="B1572" s="2" t="s">
        <v>4375</v>
      </c>
      <c r="C1572" s="2" t="s">
        <v>4262</v>
      </c>
      <c r="D1572" s="2" t="s">
        <v>4376</v>
      </c>
      <c r="E1572" s="2" t="s">
        <v>4377</v>
      </c>
      <c r="F1572" s="2" t="s">
        <v>16</v>
      </c>
      <c r="G1572" s="2"/>
      <c r="H1572" s="2"/>
      <c r="I1572" s="2"/>
      <c r="J1572" s="2" t="s">
        <v>19</v>
      </c>
      <c r="K1572" s="2"/>
      <c r="L1572" s="2" t="s">
        <v>1480</v>
      </c>
    </row>
    <row r="1573" customFormat="false" ht="15.65" hidden="false" customHeight="true" outlineLevel="0" collapsed="false">
      <c r="A1573" s="5" t="str">
        <f aca="false">HYPERLINK("https://www.fabsurplus.com/sdi_catalog/salesItemDetails.do?id=91581")</f>
        <v>https://www.fabsurplus.com/sdi_catalog/salesItemDetails.do?id=91581</v>
      </c>
      <c r="B1573" s="5" t="s">
        <v>4378</v>
      </c>
      <c r="C1573" s="5" t="s">
        <v>4262</v>
      </c>
      <c r="D1573" s="5" t="s">
        <v>4379</v>
      </c>
      <c r="E1573" s="5" t="s">
        <v>4380</v>
      </c>
      <c r="F1573" s="5" t="s">
        <v>16</v>
      </c>
      <c r="G1573" s="5" t="s">
        <v>38</v>
      </c>
      <c r="H1573" s="5" t="s">
        <v>275</v>
      </c>
      <c r="I1573" s="6" t="n">
        <v>34850.9166666667</v>
      </c>
      <c r="J1573" s="5" t="s">
        <v>19</v>
      </c>
      <c r="K1573" s="5" t="s">
        <v>2439</v>
      </c>
      <c r="L1573" s="7" t="s">
        <v>4381</v>
      </c>
    </row>
    <row r="1574" customFormat="false" ht="15.65" hidden="false" customHeight="true" outlineLevel="0" collapsed="false">
      <c r="A1574" s="2" t="str">
        <f aca="false">HYPERLINK("https://www.fabsurplus.com/sdi_catalog/salesItemDetails.do?id=18878")</f>
        <v>https://www.fabsurplus.com/sdi_catalog/salesItemDetails.do?id=18878</v>
      </c>
      <c r="B1574" s="2" t="s">
        <v>4382</v>
      </c>
      <c r="C1574" s="2" t="s">
        <v>4262</v>
      </c>
      <c r="D1574" s="2" t="s">
        <v>4383</v>
      </c>
      <c r="E1574" s="2" t="s">
        <v>4384</v>
      </c>
      <c r="F1574" s="2" t="s">
        <v>16</v>
      </c>
      <c r="G1574" s="2"/>
      <c r="H1574" s="2"/>
      <c r="I1574" s="2"/>
      <c r="J1574" s="2" t="s">
        <v>19</v>
      </c>
      <c r="K1574" s="2"/>
      <c r="L1574" s="2"/>
    </row>
    <row r="1575" customFormat="false" ht="15.65" hidden="false" customHeight="true" outlineLevel="0" collapsed="false">
      <c r="A1575" s="5" t="str">
        <f aca="false">HYPERLINK("https://www.fabsurplus.com/sdi_catalog/salesItemDetails.do?id=18879")</f>
        <v>https://www.fabsurplus.com/sdi_catalog/salesItemDetails.do?id=18879</v>
      </c>
      <c r="B1575" s="5" t="s">
        <v>4385</v>
      </c>
      <c r="C1575" s="5" t="s">
        <v>4262</v>
      </c>
      <c r="D1575" s="5" t="s">
        <v>4386</v>
      </c>
      <c r="E1575" s="5" t="s">
        <v>4387</v>
      </c>
      <c r="F1575" s="5" t="s">
        <v>16</v>
      </c>
      <c r="G1575" s="5"/>
      <c r="H1575" s="5"/>
      <c r="I1575" s="5"/>
      <c r="J1575" s="5" t="s">
        <v>19</v>
      </c>
      <c r="K1575" s="5"/>
      <c r="L1575" s="5"/>
    </row>
    <row r="1576" customFormat="false" ht="15.65" hidden="false" customHeight="true" outlineLevel="0" collapsed="false">
      <c r="A1576" s="2" t="str">
        <f aca="false">HYPERLINK("https://www.fabsurplus.com/sdi_catalog/salesItemDetails.do?id=18880")</f>
        <v>https://www.fabsurplus.com/sdi_catalog/salesItemDetails.do?id=18880</v>
      </c>
      <c r="B1576" s="2" t="s">
        <v>4388</v>
      </c>
      <c r="C1576" s="2" t="s">
        <v>4262</v>
      </c>
      <c r="D1576" s="2" t="s">
        <v>4389</v>
      </c>
      <c r="E1576" s="2" t="s">
        <v>4390</v>
      </c>
      <c r="F1576" s="2" t="s">
        <v>16</v>
      </c>
      <c r="G1576" s="2"/>
      <c r="H1576" s="2"/>
      <c r="I1576" s="2"/>
      <c r="J1576" s="2" t="s">
        <v>19</v>
      </c>
      <c r="K1576" s="2"/>
      <c r="L1576" s="2"/>
    </row>
    <row r="1577" customFormat="false" ht="15.65" hidden="false" customHeight="true" outlineLevel="0" collapsed="false">
      <c r="A1577" s="5" t="str">
        <f aca="false">HYPERLINK("https://www.fabsurplus.com/sdi_catalog/salesItemDetails.do?id=18881")</f>
        <v>https://www.fabsurplus.com/sdi_catalog/salesItemDetails.do?id=18881</v>
      </c>
      <c r="B1577" s="5" t="s">
        <v>4391</v>
      </c>
      <c r="C1577" s="5" t="s">
        <v>4262</v>
      </c>
      <c r="D1577" s="5" t="s">
        <v>4392</v>
      </c>
      <c r="E1577" s="5" t="s">
        <v>4393</v>
      </c>
      <c r="F1577" s="5" t="s">
        <v>16</v>
      </c>
      <c r="G1577" s="5"/>
      <c r="H1577" s="5"/>
      <c r="I1577" s="5"/>
      <c r="J1577" s="5" t="s">
        <v>19</v>
      </c>
      <c r="K1577" s="5"/>
      <c r="L1577" s="5"/>
    </row>
    <row r="1578" customFormat="false" ht="15.65" hidden="false" customHeight="true" outlineLevel="0" collapsed="false">
      <c r="A1578" s="2" t="str">
        <f aca="false">HYPERLINK("https://www.fabsurplus.com/sdi_catalog/salesItemDetails.do?id=18882")</f>
        <v>https://www.fabsurplus.com/sdi_catalog/salesItemDetails.do?id=18882</v>
      </c>
      <c r="B1578" s="2" t="s">
        <v>4394</v>
      </c>
      <c r="C1578" s="2" t="s">
        <v>4262</v>
      </c>
      <c r="D1578" s="2" t="s">
        <v>4395</v>
      </c>
      <c r="E1578" s="2" t="s">
        <v>4396</v>
      </c>
      <c r="F1578" s="2" t="s">
        <v>16</v>
      </c>
      <c r="G1578" s="2"/>
      <c r="H1578" s="2"/>
      <c r="I1578" s="2"/>
      <c r="J1578" s="2" t="s">
        <v>19</v>
      </c>
      <c r="K1578" s="2"/>
      <c r="L1578" s="2"/>
    </row>
    <row r="1579" customFormat="false" ht="15.65" hidden="false" customHeight="true" outlineLevel="0" collapsed="false">
      <c r="A1579" s="5" t="str">
        <f aca="false">HYPERLINK("https://www.fabsurplus.com/sdi_catalog/salesItemDetails.do?id=93378")</f>
        <v>https://www.fabsurplus.com/sdi_catalog/salesItemDetails.do?id=93378</v>
      </c>
      <c r="B1579" s="5" t="s">
        <v>4397</v>
      </c>
      <c r="C1579" s="5" t="s">
        <v>4262</v>
      </c>
      <c r="D1579" s="5" t="s">
        <v>4398</v>
      </c>
      <c r="E1579" s="5" t="s">
        <v>4399</v>
      </c>
      <c r="F1579" s="5" t="s">
        <v>16</v>
      </c>
      <c r="G1579" s="5" t="s">
        <v>38</v>
      </c>
      <c r="H1579" s="5" t="s">
        <v>32</v>
      </c>
      <c r="I1579" s="6" t="n">
        <v>40756</v>
      </c>
      <c r="J1579" s="5" t="s">
        <v>19</v>
      </c>
      <c r="K1579" s="5" t="s">
        <v>20</v>
      </c>
      <c r="L1579" s="7" t="s">
        <v>4400</v>
      </c>
    </row>
    <row r="1580" customFormat="false" ht="15.65" hidden="false" customHeight="true" outlineLevel="0" collapsed="false">
      <c r="A1580" s="2" t="str">
        <f aca="false">HYPERLINK("https://www.fabsurplus.com/sdi_catalog/salesItemDetails.do?id=18883")</f>
        <v>https://www.fabsurplus.com/sdi_catalog/salesItemDetails.do?id=18883</v>
      </c>
      <c r="B1580" s="2" t="s">
        <v>4401</v>
      </c>
      <c r="C1580" s="2" t="s">
        <v>4262</v>
      </c>
      <c r="D1580" s="2" t="s">
        <v>4402</v>
      </c>
      <c r="E1580" s="2" t="s">
        <v>4403</v>
      </c>
      <c r="F1580" s="2" t="s">
        <v>16</v>
      </c>
      <c r="G1580" s="2"/>
      <c r="H1580" s="2"/>
      <c r="I1580" s="2"/>
      <c r="J1580" s="2" t="s">
        <v>19</v>
      </c>
      <c r="K1580" s="2"/>
      <c r="L1580" s="2"/>
    </row>
    <row r="1581" customFormat="false" ht="15.65" hidden="false" customHeight="true" outlineLevel="0" collapsed="false">
      <c r="A1581" s="5" t="str">
        <f aca="false">HYPERLINK("https://www.fabsurplus.com/sdi_catalog/salesItemDetails.do?id=18884")</f>
        <v>https://www.fabsurplus.com/sdi_catalog/salesItemDetails.do?id=18884</v>
      </c>
      <c r="B1581" s="5" t="s">
        <v>4404</v>
      </c>
      <c r="C1581" s="5" t="s">
        <v>4262</v>
      </c>
      <c r="D1581" s="5" t="s">
        <v>4405</v>
      </c>
      <c r="E1581" s="5" t="s">
        <v>4406</v>
      </c>
      <c r="F1581" s="5" t="s">
        <v>16</v>
      </c>
      <c r="G1581" s="5"/>
      <c r="H1581" s="5"/>
      <c r="I1581" s="5"/>
      <c r="J1581" s="5" t="s">
        <v>19</v>
      </c>
      <c r="K1581" s="5"/>
      <c r="L1581" s="5"/>
    </row>
    <row r="1582" customFormat="false" ht="15.65" hidden="false" customHeight="true" outlineLevel="0" collapsed="false">
      <c r="A1582" s="2" t="str">
        <f aca="false">HYPERLINK("https://www.fabsurplus.com/sdi_catalog/salesItemDetails.do?id=18885")</f>
        <v>https://www.fabsurplus.com/sdi_catalog/salesItemDetails.do?id=18885</v>
      </c>
      <c r="B1582" s="2" t="s">
        <v>4407</v>
      </c>
      <c r="C1582" s="2" t="s">
        <v>4262</v>
      </c>
      <c r="D1582" s="2" t="s">
        <v>4405</v>
      </c>
      <c r="E1582" s="2" t="s">
        <v>4408</v>
      </c>
      <c r="F1582" s="2" t="s">
        <v>16</v>
      </c>
      <c r="G1582" s="2"/>
      <c r="H1582" s="2"/>
      <c r="I1582" s="2"/>
      <c r="J1582" s="2" t="s">
        <v>19</v>
      </c>
      <c r="K1582" s="2"/>
      <c r="L1582" s="2"/>
    </row>
    <row r="1583" customFormat="false" ht="15.65" hidden="false" customHeight="true" outlineLevel="0" collapsed="false">
      <c r="A1583" s="5" t="str">
        <f aca="false">HYPERLINK("https://www.fabsurplus.com/sdi_catalog/salesItemDetails.do?id=18886")</f>
        <v>https://www.fabsurplus.com/sdi_catalog/salesItemDetails.do?id=18886</v>
      </c>
      <c r="B1583" s="5" t="s">
        <v>4409</v>
      </c>
      <c r="C1583" s="5" t="s">
        <v>4262</v>
      </c>
      <c r="D1583" s="5" t="s">
        <v>4405</v>
      </c>
      <c r="E1583" s="5" t="s">
        <v>4410</v>
      </c>
      <c r="F1583" s="5" t="s">
        <v>16</v>
      </c>
      <c r="G1583" s="5"/>
      <c r="H1583" s="5"/>
      <c r="I1583" s="5"/>
      <c r="J1583" s="5" t="s">
        <v>19</v>
      </c>
      <c r="K1583" s="5"/>
      <c r="L1583" s="5"/>
    </row>
    <row r="1584" customFormat="false" ht="15.65" hidden="false" customHeight="true" outlineLevel="0" collapsed="false">
      <c r="A1584" s="2" t="str">
        <f aca="false">HYPERLINK("https://www.fabsurplus.com/sdi_catalog/salesItemDetails.do?id=18887")</f>
        <v>https://www.fabsurplus.com/sdi_catalog/salesItemDetails.do?id=18887</v>
      </c>
      <c r="B1584" s="2" t="s">
        <v>4411</v>
      </c>
      <c r="C1584" s="2" t="s">
        <v>4262</v>
      </c>
      <c r="D1584" s="2" t="s">
        <v>4412</v>
      </c>
      <c r="E1584" s="2" t="s">
        <v>4384</v>
      </c>
      <c r="F1584" s="2" t="s">
        <v>16</v>
      </c>
      <c r="G1584" s="2"/>
      <c r="H1584" s="2"/>
      <c r="I1584" s="2"/>
      <c r="J1584" s="2" t="s">
        <v>19</v>
      </c>
      <c r="K1584" s="2"/>
      <c r="L1584" s="2"/>
    </row>
    <row r="1585" customFormat="false" ht="15.65" hidden="false" customHeight="true" outlineLevel="0" collapsed="false">
      <c r="A1585" s="5" t="str">
        <f aca="false">HYPERLINK("https://www.fabsurplus.com/sdi_catalog/salesItemDetails.do?id=18888")</f>
        <v>https://www.fabsurplus.com/sdi_catalog/salesItemDetails.do?id=18888</v>
      </c>
      <c r="B1585" s="5" t="s">
        <v>4413</v>
      </c>
      <c r="C1585" s="5" t="s">
        <v>4262</v>
      </c>
      <c r="D1585" s="5" t="s">
        <v>4414</v>
      </c>
      <c r="E1585" s="5" t="s">
        <v>4396</v>
      </c>
      <c r="F1585" s="5" t="s">
        <v>16</v>
      </c>
      <c r="G1585" s="5"/>
      <c r="H1585" s="5"/>
      <c r="I1585" s="5"/>
      <c r="J1585" s="5" t="s">
        <v>19</v>
      </c>
      <c r="K1585" s="5"/>
      <c r="L1585" s="5"/>
    </row>
    <row r="1586" customFormat="false" ht="15.65" hidden="false" customHeight="true" outlineLevel="0" collapsed="false">
      <c r="A1586" s="2" t="str">
        <f aca="false">HYPERLINK("https://www.fabsurplus.com/sdi_catalog/salesItemDetails.do?id=18889")</f>
        <v>https://www.fabsurplus.com/sdi_catalog/salesItemDetails.do?id=18889</v>
      </c>
      <c r="B1586" s="2" t="s">
        <v>4415</v>
      </c>
      <c r="C1586" s="2" t="s">
        <v>4262</v>
      </c>
      <c r="D1586" s="2" t="s">
        <v>4416</v>
      </c>
      <c r="E1586" s="2" t="s">
        <v>4417</v>
      </c>
      <c r="F1586" s="2" t="s">
        <v>16</v>
      </c>
      <c r="G1586" s="2"/>
      <c r="H1586" s="2"/>
      <c r="I1586" s="2"/>
      <c r="J1586" s="2" t="s">
        <v>19</v>
      </c>
      <c r="K1586" s="2"/>
      <c r="L1586" s="2"/>
    </row>
    <row r="1587" customFormat="false" ht="15.65" hidden="false" customHeight="true" outlineLevel="0" collapsed="false">
      <c r="A1587" s="5" t="str">
        <f aca="false">HYPERLINK("https://www.fabsurplus.com/sdi_catalog/salesItemDetails.do?id=98268")</f>
        <v>https://www.fabsurplus.com/sdi_catalog/salesItemDetails.do?id=98268</v>
      </c>
      <c r="B1587" s="5" t="s">
        <v>4418</v>
      </c>
      <c r="C1587" s="5" t="s">
        <v>4262</v>
      </c>
      <c r="D1587" s="5" t="s">
        <v>4419</v>
      </c>
      <c r="E1587" s="5" t="s">
        <v>4420</v>
      </c>
      <c r="F1587" s="5" t="s">
        <v>16</v>
      </c>
      <c r="G1587" s="5" t="s">
        <v>61</v>
      </c>
      <c r="H1587" s="5" t="s">
        <v>32</v>
      </c>
      <c r="I1587" s="6" t="n">
        <v>41060.9166666667</v>
      </c>
      <c r="J1587" s="5" t="s">
        <v>42</v>
      </c>
      <c r="K1587" s="5" t="s">
        <v>20</v>
      </c>
      <c r="L1587" s="7" t="s">
        <v>4421</v>
      </c>
    </row>
    <row r="1588" customFormat="false" ht="15.65" hidden="false" customHeight="true" outlineLevel="0" collapsed="false">
      <c r="A1588" s="2" t="str">
        <f aca="false">HYPERLINK("https://www.fabsurplus.com/sdi_catalog/salesItemDetails.do?id=94447")</f>
        <v>https://www.fabsurplus.com/sdi_catalog/salesItemDetails.do?id=94447</v>
      </c>
      <c r="B1588" s="2" t="s">
        <v>4422</v>
      </c>
      <c r="C1588" s="2" t="s">
        <v>4262</v>
      </c>
      <c r="D1588" s="2" t="s">
        <v>4423</v>
      </c>
      <c r="E1588" s="2" t="s">
        <v>4424</v>
      </c>
      <c r="F1588" s="2" t="s">
        <v>16</v>
      </c>
      <c r="G1588" s="2" t="s">
        <v>61</v>
      </c>
      <c r="H1588" s="2"/>
      <c r="I1588" s="3" t="n">
        <v>38868.9166666667</v>
      </c>
      <c r="J1588" s="2" t="s">
        <v>19</v>
      </c>
      <c r="K1588" s="2"/>
      <c r="L1588" s="2" t="s">
        <v>2868</v>
      </c>
    </row>
    <row r="1589" customFormat="false" ht="15.65" hidden="false" customHeight="true" outlineLevel="0" collapsed="false">
      <c r="A1589" s="5" t="str">
        <f aca="false">HYPERLINK("https://www.fabsurplus.com/sdi_catalog/salesItemDetails.do?id=94448")</f>
        <v>https://www.fabsurplus.com/sdi_catalog/salesItemDetails.do?id=94448</v>
      </c>
      <c r="B1589" s="5" t="s">
        <v>4425</v>
      </c>
      <c r="C1589" s="5" t="s">
        <v>4262</v>
      </c>
      <c r="D1589" s="5" t="s">
        <v>4423</v>
      </c>
      <c r="E1589" s="5" t="s">
        <v>4424</v>
      </c>
      <c r="F1589" s="5" t="s">
        <v>16</v>
      </c>
      <c r="G1589" s="5" t="s">
        <v>61</v>
      </c>
      <c r="H1589" s="5"/>
      <c r="I1589" s="6" t="n">
        <v>40694.9166666667</v>
      </c>
      <c r="J1589" s="5" t="s">
        <v>19</v>
      </c>
      <c r="K1589" s="5"/>
      <c r="L1589" s="5" t="s">
        <v>2868</v>
      </c>
    </row>
    <row r="1590" customFormat="false" ht="15.65" hidden="false" customHeight="true" outlineLevel="0" collapsed="false">
      <c r="A1590" s="2" t="str">
        <f aca="false">HYPERLINK("https://www.fabsurplus.com/sdi_catalog/salesItemDetails.do?id=94449")</f>
        <v>https://www.fabsurplus.com/sdi_catalog/salesItemDetails.do?id=94449</v>
      </c>
      <c r="B1590" s="2" t="s">
        <v>4426</v>
      </c>
      <c r="C1590" s="2" t="s">
        <v>4262</v>
      </c>
      <c r="D1590" s="2" t="s">
        <v>4423</v>
      </c>
      <c r="E1590" s="2" t="s">
        <v>4427</v>
      </c>
      <c r="F1590" s="2" t="s">
        <v>16</v>
      </c>
      <c r="G1590" s="2" t="s">
        <v>61</v>
      </c>
      <c r="H1590" s="2"/>
      <c r="I1590" s="2"/>
      <c r="J1590" s="2" t="s">
        <v>19</v>
      </c>
      <c r="K1590" s="2"/>
      <c r="L1590" s="2" t="s">
        <v>2191</v>
      </c>
    </row>
    <row r="1591" customFormat="false" ht="15.65" hidden="false" customHeight="true" outlineLevel="0" collapsed="false">
      <c r="A1591" s="5" t="str">
        <f aca="false">HYPERLINK("https://www.fabsurplus.com/sdi_catalog/salesItemDetails.do?id=94450")</f>
        <v>https://www.fabsurplus.com/sdi_catalog/salesItemDetails.do?id=94450</v>
      </c>
      <c r="B1591" s="5" t="s">
        <v>4428</v>
      </c>
      <c r="C1591" s="5" t="s">
        <v>4262</v>
      </c>
      <c r="D1591" s="5" t="s">
        <v>4429</v>
      </c>
      <c r="E1591" s="5" t="s">
        <v>4430</v>
      </c>
      <c r="F1591" s="5" t="s">
        <v>16</v>
      </c>
      <c r="G1591" s="5" t="s">
        <v>61</v>
      </c>
      <c r="H1591" s="5"/>
      <c r="I1591" s="6" t="n">
        <v>39599.9166666667</v>
      </c>
      <c r="J1591" s="5" t="s">
        <v>19</v>
      </c>
      <c r="K1591" s="5"/>
      <c r="L1591" s="5" t="s">
        <v>2868</v>
      </c>
    </row>
    <row r="1592" customFormat="false" ht="15.65" hidden="false" customHeight="true" outlineLevel="0" collapsed="false">
      <c r="A1592" s="2" t="str">
        <f aca="false">HYPERLINK("https://www.fabsurplus.com/sdi_catalog/salesItemDetails.do?id=106738")</f>
        <v>https://www.fabsurplus.com/sdi_catalog/salesItemDetails.do?id=106738</v>
      </c>
      <c r="B1592" s="2" t="s">
        <v>4431</v>
      </c>
      <c r="C1592" s="2" t="s">
        <v>4262</v>
      </c>
      <c r="D1592" s="2" t="s">
        <v>4432</v>
      </c>
      <c r="E1592" s="2" t="s">
        <v>4433</v>
      </c>
      <c r="F1592" s="2" t="s">
        <v>16</v>
      </c>
      <c r="G1592" s="2" t="s">
        <v>61</v>
      </c>
      <c r="H1592" s="2"/>
      <c r="I1592" s="2"/>
      <c r="J1592" s="2" t="s">
        <v>19</v>
      </c>
      <c r="K1592" s="2"/>
      <c r="L1592" s="2" t="s">
        <v>518</v>
      </c>
    </row>
    <row r="1593" customFormat="false" ht="15.65" hidden="false" customHeight="true" outlineLevel="0" collapsed="false">
      <c r="A1593" s="5" t="str">
        <f aca="false">HYPERLINK("https://www.fabsurplus.com/sdi_catalog/salesItemDetails.do?id=94451")</f>
        <v>https://www.fabsurplus.com/sdi_catalog/salesItemDetails.do?id=94451</v>
      </c>
      <c r="B1593" s="5" t="s">
        <v>4434</v>
      </c>
      <c r="C1593" s="5" t="s">
        <v>4262</v>
      </c>
      <c r="D1593" s="5" t="s">
        <v>4429</v>
      </c>
      <c r="E1593" s="5" t="s">
        <v>4324</v>
      </c>
      <c r="F1593" s="5" t="s">
        <v>16</v>
      </c>
      <c r="G1593" s="5" t="s">
        <v>61</v>
      </c>
      <c r="H1593" s="5"/>
      <c r="I1593" s="5"/>
      <c r="J1593" s="5" t="s">
        <v>19</v>
      </c>
      <c r="K1593" s="5"/>
      <c r="L1593" s="5" t="s">
        <v>2191</v>
      </c>
    </row>
    <row r="1594" customFormat="false" ht="15.65" hidden="false" customHeight="true" outlineLevel="0" collapsed="false">
      <c r="A1594" s="2" t="str">
        <f aca="false">HYPERLINK("https://www.fabsurplus.com/sdi_catalog/salesItemDetails.do?id=94452")</f>
        <v>https://www.fabsurplus.com/sdi_catalog/salesItemDetails.do?id=94452</v>
      </c>
      <c r="B1594" s="2" t="s">
        <v>4435</v>
      </c>
      <c r="C1594" s="2" t="s">
        <v>4262</v>
      </c>
      <c r="D1594" s="2" t="s">
        <v>4429</v>
      </c>
      <c r="E1594" s="2" t="s">
        <v>4324</v>
      </c>
      <c r="F1594" s="2" t="s">
        <v>16</v>
      </c>
      <c r="G1594" s="2" t="s">
        <v>61</v>
      </c>
      <c r="H1594" s="2"/>
      <c r="I1594" s="2"/>
      <c r="J1594" s="2" t="s">
        <v>19</v>
      </c>
      <c r="K1594" s="2"/>
      <c r="L1594" s="2" t="s">
        <v>2191</v>
      </c>
    </row>
    <row r="1595" customFormat="false" ht="15.65" hidden="false" customHeight="true" outlineLevel="0" collapsed="false">
      <c r="A1595" s="5" t="str">
        <f aca="false">HYPERLINK("https://www.fabsurplus.com/sdi_catalog/salesItemDetails.do?id=94454")</f>
        <v>https://www.fabsurplus.com/sdi_catalog/salesItemDetails.do?id=94454</v>
      </c>
      <c r="B1595" s="5" t="s">
        <v>4436</v>
      </c>
      <c r="C1595" s="5" t="s">
        <v>4262</v>
      </c>
      <c r="D1595" s="5" t="s">
        <v>4437</v>
      </c>
      <c r="E1595" s="5" t="s">
        <v>4438</v>
      </c>
      <c r="F1595" s="5" t="s">
        <v>16</v>
      </c>
      <c r="G1595" s="5" t="s">
        <v>61</v>
      </c>
      <c r="H1595" s="5"/>
      <c r="I1595" s="5"/>
      <c r="J1595" s="5" t="s">
        <v>19</v>
      </c>
      <c r="K1595" s="5"/>
      <c r="L1595" s="5" t="s">
        <v>2191</v>
      </c>
    </row>
    <row r="1596" customFormat="false" ht="15.65" hidden="false" customHeight="true" outlineLevel="0" collapsed="false">
      <c r="A1596" s="2" t="str">
        <f aca="false">HYPERLINK("https://www.fabsurplus.com/sdi_catalog/salesItemDetails.do?id=94456")</f>
        <v>https://www.fabsurplus.com/sdi_catalog/salesItemDetails.do?id=94456</v>
      </c>
      <c r="B1596" s="2" t="s">
        <v>4439</v>
      </c>
      <c r="C1596" s="2" t="s">
        <v>4262</v>
      </c>
      <c r="D1596" s="2" t="s">
        <v>4437</v>
      </c>
      <c r="E1596" s="2" t="s">
        <v>4440</v>
      </c>
      <c r="F1596" s="2" t="s">
        <v>16</v>
      </c>
      <c r="G1596" s="2" t="s">
        <v>61</v>
      </c>
      <c r="H1596" s="2"/>
      <c r="I1596" s="3" t="n">
        <v>38138.9166666667</v>
      </c>
      <c r="J1596" s="2" t="s">
        <v>19</v>
      </c>
      <c r="K1596" s="2"/>
      <c r="L1596" s="2" t="s">
        <v>2191</v>
      </c>
    </row>
    <row r="1597" customFormat="false" ht="15.65" hidden="false" customHeight="true" outlineLevel="0" collapsed="false">
      <c r="A1597" s="5" t="str">
        <f aca="false">HYPERLINK("https://www.fabsurplus.com/sdi_catalog/salesItemDetails.do?id=109567")</f>
        <v>https://www.fabsurplus.com/sdi_catalog/salesItemDetails.do?id=109567</v>
      </c>
      <c r="B1597" s="5" t="s">
        <v>4441</v>
      </c>
      <c r="C1597" s="5" t="s">
        <v>4262</v>
      </c>
      <c r="D1597" s="5" t="s">
        <v>4269</v>
      </c>
      <c r="E1597" s="5" t="s">
        <v>4442</v>
      </c>
      <c r="F1597" s="5" t="s">
        <v>16</v>
      </c>
      <c r="G1597" s="5" t="s">
        <v>61</v>
      </c>
      <c r="H1597" s="5" t="s">
        <v>32</v>
      </c>
      <c r="I1597" s="6" t="n">
        <v>39203</v>
      </c>
      <c r="J1597" s="5" t="s">
        <v>19</v>
      </c>
      <c r="K1597" s="5" t="s">
        <v>20</v>
      </c>
      <c r="L1597" s="7" t="s">
        <v>4443</v>
      </c>
    </row>
    <row r="1598" customFormat="false" ht="15.65" hidden="false" customHeight="true" outlineLevel="0" collapsed="false">
      <c r="A1598" s="2" t="str">
        <f aca="false">HYPERLINK("https://www.fabsurplus.com/sdi_catalog/salesItemDetails.do?id=110621")</f>
        <v>https://www.fabsurplus.com/sdi_catalog/salesItemDetails.do?id=110621</v>
      </c>
      <c r="B1598" s="2" t="s">
        <v>4444</v>
      </c>
      <c r="C1598" s="2" t="s">
        <v>4445</v>
      </c>
      <c r="D1598" s="2" t="s">
        <v>4446</v>
      </c>
      <c r="E1598" s="2" t="s">
        <v>4300</v>
      </c>
      <c r="F1598" s="2" t="s">
        <v>16</v>
      </c>
      <c r="G1598" s="2" t="s">
        <v>61</v>
      </c>
      <c r="H1598" s="2"/>
      <c r="I1598" s="2"/>
      <c r="J1598" s="2" t="s">
        <v>19</v>
      </c>
      <c r="K1598" s="2"/>
      <c r="L1598" s="4" t="s">
        <v>1617</v>
      </c>
    </row>
    <row r="1599" customFormat="false" ht="15.65" hidden="false" customHeight="true" outlineLevel="0" collapsed="false">
      <c r="A1599" s="5" t="str">
        <f aca="false">HYPERLINK("https://www.fabsurplus.com/sdi_catalog/salesItemDetails.do?id=108220")</f>
        <v>https://www.fabsurplus.com/sdi_catalog/salesItemDetails.do?id=108220</v>
      </c>
      <c r="B1599" s="5" t="s">
        <v>4447</v>
      </c>
      <c r="C1599" s="5" t="s">
        <v>4448</v>
      </c>
      <c r="D1599" s="5" t="s">
        <v>4446</v>
      </c>
      <c r="E1599" s="5" t="s">
        <v>4449</v>
      </c>
      <c r="F1599" s="5" t="s">
        <v>16</v>
      </c>
      <c r="G1599" s="5" t="s">
        <v>61</v>
      </c>
      <c r="H1599" s="5" t="s">
        <v>18</v>
      </c>
      <c r="I1599" s="6" t="n">
        <v>43617</v>
      </c>
      <c r="J1599" s="5" t="s">
        <v>42</v>
      </c>
      <c r="K1599" s="5" t="s">
        <v>20</v>
      </c>
      <c r="L1599" s="7" t="s">
        <v>4450</v>
      </c>
    </row>
    <row r="1600" customFormat="false" ht="15.65" hidden="false" customHeight="true" outlineLevel="0" collapsed="false">
      <c r="A1600" s="2" t="str">
        <f aca="false">HYPERLINK("https://www.fabsurplus.com/sdi_catalog/salesItemDetails.do?id=83876")</f>
        <v>https://www.fabsurplus.com/sdi_catalog/salesItemDetails.do?id=83876</v>
      </c>
      <c r="B1600" s="2" t="s">
        <v>4451</v>
      </c>
      <c r="C1600" s="2" t="s">
        <v>4452</v>
      </c>
      <c r="D1600" s="2" t="s">
        <v>4453</v>
      </c>
      <c r="E1600" s="2" t="s">
        <v>4454</v>
      </c>
      <c r="F1600" s="2" t="s">
        <v>151</v>
      </c>
      <c r="G1600" s="2"/>
      <c r="H1600" s="2" t="s">
        <v>98</v>
      </c>
      <c r="I1600" s="3" t="n">
        <v>39355.9166666667</v>
      </c>
      <c r="J1600" s="2" t="s">
        <v>19</v>
      </c>
      <c r="K1600" s="2" t="s">
        <v>20</v>
      </c>
      <c r="L1600" s="4" t="s">
        <v>4455</v>
      </c>
    </row>
    <row r="1601" customFormat="false" ht="15.65" hidden="false" customHeight="true" outlineLevel="0" collapsed="false">
      <c r="A1601" s="5" t="str">
        <f aca="false">HYPERLINK("https://www.fabsurplus.com/sdi_catalog/salesItemDetails.do?id=107440")</f>
        <v>https://www.fabsurplus.com/sdi_catalog/salesItemDetails.do?id=107440</v>
      </c>
      <c r="B1601" s="5" t="s">
        <v>4456</v>
      </c>
      <c r="C1601" s="5" t="s">
        <v>4457</v>
      </c>
      <c r="D1601" s="5" t="s">
        <v>786</v>
      </c>
      <c r="E1601" s="5" t="s">
        <v>1390</v>
      </c>
      <c r="F1601" s="5" t="s">
        <v>16</v>
      </c>
      <c r="G1601" s="5" t="s">
        <v>104</v>
      </c>
      <c r="H1601" s="5" t="s">
        <v>275</v>
      </c>
      <c r="I1601" s="5"/>
      <c r="J1601" s="5" t="s">
        <v>19</v>
      </c>
      <c r="K1601" s="5" t="s">
        <v>20</v>
      </c>
      <c r="L1601" s="5"/>
    </row>
    <row r="1602" customFormat="false" ht="15.65" hidden="false" customHeight="true" outlineLevel="0" collapsed="false">
      <c r="A1602" s="2" t="str">
        <f aca="false">HYPERLINK("https://www.fabsurplus.com/sdi_catalog/salesItemDetails.do?id=107444")</f>
        <v>https://www.fabsurplus.com/sdi_catalog/salesItemDetails.do?id=107444</v>
      </c>
      <c r="B1602" s="2" t="s">
        <v>4458</v>
      </c>
      <c r="C1602" s="2" t="s">
        <v>4457</v>
      </c>
      <c r="D1602" s="2" t="s">
        <v>4459</v>
      </c>
      <c r="E1602" s="2" t="s">
        <v>1390</v>
      </c>
      <c r="F1602" s="2" t="s">
        <v>16</v>
      </c>
      <c r="G1602" s="2" t="s">
        <v>104</v>
      </c>
      <c r="H1602" s="2" t="s">
        <v>275</v>
      </c>
      <c r="I1602" s="2"/>
      <c r="J1602" s="2" t="s">
        <v>19</v>
      </c>
      <c r="K1602" s="2" t="s">
        <v>20</v>
      </c>
      <c r="L1602" s="2"/>
    </row>
    <row r="1603" customFormat="false" ht="15.65" hidden="false" customHeight="true" outlineLevel="0" collapsed="false">
      <c r="A1603" s="5" t="str">
        <f aca="false">HYPERLINK("https://www.fabsurplus.com/sdi_catalog/salesItemDetails.do?id=110046")</f>
        <v>https://www.fabsurplus.com/sdi_catalog/salesItemDetails.do?id=110046</v>
      </c>
      <c r="B1603" s="5" t="s">
        <v>4460</v>
      </c>
      <c r="C1603" s="5" t="s">
        <v>4457</v>
      </c>
      <c r="D1603" s="5" t="s">
        <v>278</v>
      </c>
      <c r="E1603" s="5" t="s">
        <v>170</v>
      </c>
      <c r="F1603" s="5" t="s">
        <v>16</v>
      </c>
      <c r="G1603" s="5" t="s">
        <v>165</v>
      </c>
      <c r="H1603" s="5"/>
      <c r="I1603" s="5"/>
      <c r="J1603" s="5" t="s">
        <v>42</v>
      </c>
      <c r="K1603" s="5"/>
      <c r="L1603" s="5" t="s">
        <v>686</v>
      </c>
    </row>
    <row r="1604" customFormat="false" ht="15.65" hidden="false" customHeight="true" outlineLevel="0" collapsed="false">
      <c r="A1604" s="2" t="str">
        <f aca="false">HYPERLINK("https://www.fabsurplus.com/sdi_catalog/salesItemDetails.do?id=110047")</f>
        <v>https://www.fabsurplus.com/sdi_catalog/salesItemDetails.do?id=110047</v>
      </c>
      <c r="B1604" s="2" t="s">
        <v>4461</v>
      </c>
      <c r="C1604" s="2" t="s">
        <v>4457</v>
      </c>
      <c r="D1604" s="2" t="s">
        <v>278</v>
      </c>
      <c r="E1604" s="2" t="s">
        <v>170</v>
      </c>
      <c r="F1604" s="2" t="s">
        <v>16</v>
      </c>
      <c r="G1604" s="2" t="s">
        <v>165</v>
      </c>
      <c r="H1604" s="2"/>
      <c r="I1604" s="2"/>
      <c r="J1604" s="2" t="s">
        <v>42</v>
      </c>
      <c r="K1604" s="2"/>
      <c r="L1604" s="2" t="s">
        <v>686</v>
      </c>
    </row>
    <row r="1605" customFormat="false" ht="15.65" hidden="false" customHeight="true" outlineLevel="0" collapsed="false">
      <c r="A1605" s="5" t="str">
        <f aca="false">HYPERLINK("https://www.fabsurplus.com/sdi_catalog/salesItemDetails.do?id=110048")</f>
        <v>https://www.fabsurplus.com/sdi_catalog/salesItemDetails.do?id=110048</v>
      </c>
      <c r="B1605" s="5" t="s">
        <v>4462</v>
      </c>
      <c r="C1605" s="5" t="s">
        <v>4457</v>
      </c>
      <c r="D1605" s="5" t="s">
        <v>278</v>
      </c>
      <c r="E1605" s="5" t="s">
        <v>170</v>
      </c>
      <c r="F1605" s="5" t="s">
        <v>16</v>
      </c>
      <c r="G1605" s="5" t="s">
        <v>165</v>
      </c>
      <c r="H1605" s="5"/>
      <c r="I1605" s="5"/>
      <c r="J1605" s="5" t="s">
        <v>42</v>
      </c>
      <c r="K1605" s="5"/>
      <c r="L1605" s="5" t="s">
        <v>686</v>
      </c>
    </row>
    <row r="1606" customFormat="false" ht="15.65" hidden="false" customHeight="true" outlineLevel="0" collapsed="false">
      <c r="A1606" s="2" t="str">
        <f aca="false">HYPERLINK("https://www.fabsurplus.com/sdi_catalog/salesItemDetails.do?id=110049")</f>
        <v>https://www.fabsurplus.com/sdi_catalog/salesItemDetails.do?id=110049</v>
      </c>
      <c r="B1606" s="2" t="s">
        <v>4463</v>
      </c>
      <c r="C1606" s="2" t="s">
        <v>4457</v>
      </c>
      <c r="D1606" s="2" t="s">
        <v>4464</v>
      </c>
      <c r="E1606" s="2" t="s">
        <v>170</v>
      </c>
      <c r="F1606" s="2" t="s">
        <v>16</v>
      </c>
      <c r="G1606" s="2" t="s">
        <v>165</v>
      </c>
      <c r="H1606" s="2"/>
      <c r="I1606" s="2"/>
      <c r="J1606" s="2" t="s">
        <v>42</v>
      </c>
      <c r="K1606" s="2"/>
      <c r="L1606" s="2" t="s">
        <v>686</v>
      </c>
    </row>
    <row r="1607" customFormat="false" ht="15.65" hidden="false" customHeight="true" outlineLevel="0" collapsed="false">
      <c r="A1607" s="5" t="str">
        <f aca="false">HYPERLINK("https://www.fabsurplus.com/sdi_catalog/salesItemDetails.do?id=110050")</f>
        <v>https://www.fabsurplus.com/sdi_catalog/salesItemDetails.do?id=110050</v>
      </c>
      <c r="B1607" s="5" t="s">
        <v>4465</v>
      </c>
      <c r="C1607" s="5" t="s">
        <v>4457</v>
      </c>
      <c r="D1607" s="5" t="s">
        <v>4466</v>
      </c>
      <c r="E1607" s="5" t="s">
        <v>170</v>
      </c>
      <c r="F1607" s="5" t="s">
        <v>16</v>
      </c>
      <c r="G1607" s="5" t="s">
        <v>165</v>
      </c>
      <c r="H1607" s="5"/>
      <c r="I1607" s="5"/>
      <c r="J1607" s="5" t="s">
        <v>42</v>
      </c>
      <c r="K1607" s="5"/>
      <c r="L1607" s="5" t="s">
        <v>686</v>
      </c>
    </row>
    <row r="1608" customFormat="false" ht="15.65" hidden="false" customHeight="true" outlineLevel="0" collapsed="false">
      <c r="A1608" s="2" t="str">
        <f aca="false">HYPERLINK("https://www.fabsurplus.com/sdi_catalog/salesItemDetails.do?id=110051")</f>
        <v>https://www.fabsurplus.com/sdi_catalog/salesItemDetails.do?id=110051</v>
      </c>
      <c r="B1608" s="2" t="s">
        <v>4467</v>
      </c>
      <c r="C1608" s="2" t="s">
        <v>4457</v>
      </c>
      <c r="D1608" s="2" t="s">
        <v>865</v>
      </c>
      <c r="E1608" s="2" t="s">
        <v>170</v>
      </c>
      <c r="F1608" s="2" t="s">
        <v>16</v>
      </c>
      <c r="G1608" s="2" t="s">
        <v>165</v>
      </c>
      <c r="H1608" s="2"/>
      <c r="I1608" s="2"/>
      <c r="J1608" s="2" t="s">
        <v>42</v>
      </c>
      <c r="K1608" s="2"/>
      <c r="L1608" s="2" t="s">
        <v>686</v>
      </c>
    </row>
    <row r="1609" customFormat="false" ht="15.65" hidden="false" customHeight="true" outlineLevel="0" collapsed="false">
      <c r="A1609" s="5" t="str">
        <f aca="false">HYPERLINK("https://www.fabsurplus.com/sdi_catalog/salesItemDetails.do?id=110052")</f>
        <v>https://www.fabsurplus.com/sdi_catalog/salesItemDetails.do?id=110052</v>
      </c>
      <c r="B1609" s="5" t="s">
        <v>4468</v>
      </c>
      <c r="C1609" s="5" t="s">
        <v>4457</v>
      </c>
      <c r="D1609" s="5" t="s">
        <v>865</v>
      </c>
      <c r="E1609" s="5" t="s">
        <v>170</v>
      </c>
      <c r="F1609" s="5" t="s">
        <v>16</v>
      </c>
      <c r="G1609" s="5" t="s">
        <v>165</v>
      </c>
      <c r="H1609" s="5"/>
      <c r="I1609" s="5"/>
      <c r="J1609" s="5" t="s">
        <v>42</v>
      </c>
      <c r="K1609" s="5"/>
      <c r="L1609" s="5" t="s">
        <v>686</v>
      </c>
    </row>
    <row r="1610" customFormat="false" ht="15.65" hidden="false" customHeight="true" outlineLevel="0" collapsed="false">
      <c r="A1610" s="2" t="str">
        <f aca="false">HYPERLINK("https://www.fabsurplus.com/sdi_catalog/salesItemDetails.do?id=110053")</f>
        <v>https://www.fabsurplus.com/sdi_catalog/salesItemDetails.do?id=110053</v>
      </c>
      <c r="B1610" s="2" t="s">
        <v>4469</v>
      </c>
      <c r="C1610" s="2" t="s">
        <v>4457</v>
      </c>
      <c r="D1610" s="2" t="s">
        <v>865</v>
      </c>
      <c r="E1610" s="2" t="s">
        <v>170</v>
      </c>
      <c r="F1610" s="2" t="s">
        <v>16</v>
      </c>
      <c r="G1610" s="2" t="s">
        <v>165</v>
      </c>
      <c r="H1610" s="2"/>
      <c r="I1610" s="2"/>
      <c r="J1610" s="2" t="s">
        <v>42</v>
      </c>
      <c r="K1610" s="2"/>
      <c r="L1610" s="2" t="s">
        <v>686</v>
      </c>
    </row>
    <row r="1611" customFormat="false" ht="15.65" hidden="false" customHeight="true" outlineLevel="0" collapsed="false">
      <c r="A1611" s="5" t="str">
        <f aca="false">HYPERLINK("https://www.fabsurplus.com/sdi_catalog/salesItemDetails.do?id=110054")</f>
        <v>https://www.fabsurplus.com/sdi_catalog/salesItemDetails.do?id=110054</v>
      </c>
      <c r="B1611" s="5" t="s">
        <v>4470</v>
      </c>
      <c r="C1611" s="5" t="s">
        <v>4457</v>
      </c>
      <c r="D1611" s="5" t="s">
        <v>865</v>
      </c>
      <c r="E1611" s="5" t="s">
        <v>170</v>
      </c>
      <c r="F1611" s="5" t="s">
        <v>16</v>
      </c>
      <c r="G1611" s="5" t="s">
        <v>165</v>
      </c>
      <c r="H1611" s="5"/>
      <c r="I1611" s="5"/>
      <c r="J1611" s="5" t="s">
        <v>42</v>
      </c>
      <c r="K1611" s="5"/>
      <c r="L1611" s="5" t="s">
        <v>686</v>
      </c>
    </row>
    <row r="1612" customFormat="false" ht="15.65" hidden="false" customHeight="true" outlineLevel="0" collapsed="false">
      <c r="A1612" s="2" t="str">
        <f aca="false">HYPERLINK("https://www.fabsurplus.com/sdi_catalog/salesItemDetails.do?id=110055")</f>
        <v>https://www.fabsurplus.com/sdi_catalog/salesItemDetails.do?id=110055</v>
      </c>
      <c r="B1612" s="2" t="s">
        <v>4471</v>
      </c>
      <c r="C1612" s="2" t="s">
        <v>4457</v>
      </c>
      <c r="D1612" s="2" t="s">
        <v>865</v>
      </c>
      <c r="E1612" s="2" t="s">
        <v>170</v>
      </c>
      <c r="F1612" s="2" t="s">
        <v>16</v>
      </c>
      <c r="G1612" s="2" t="s">
        <v>165</v>
      </c>
      <c r="H1612" s="2"/>
      <c r="I1612" s="2"/>
      <c r="J1612" s="2" t="s">
        <v>42</v>
      </c>
      <c r="K1612" s="2"/>
      <c r="L1612" s="2" t="s">
        <v>686</v>
      </c>
    </row>
    <row r="1613" customFormat="false" ht="15.65" hidden="false" customHeight="true" outlineLevel="0" collapsed="false">
      <c r="A1613" s="5" t="str">
        <f aca="false">HYPERLINK("https://www.fabsurplus.com/sdi_catalog/salesItemDetails.do?id=110056")</f>
        <v>https://www.fabsurplus.com/sdi_catalog/salesItemDetails.do?id=110056</v>
      </c>
      <c r="B1613" s="5" t="s">
        <v>4472</v>
      </c>
      <c r="C1613" s="5" t="s">
        <v>4457</v>
      </c>
      <c r="D1613" s="5" t="s">
        <v>865</v>
      </c>
      <c r="E1613" s="5" t="s">
        <v>170</v>
      </c>
      <c r="F1613" s="5" t="s">
        <v>16</v>
      </c>
      <c r="G1613" s="5" t="s">
        <v>165</v>
      </c>
      <c r="H1613" s="5"/>
      <c r="I1613" s="5"/>
      <c r="J1613" s="5" t="s">
        <v>42</v>
      </c>
      <c r="K1613" s="5"/>
      <c r="L1613" s="5" t="s">
        <v>686</v>
      </c>
    </row>
    <row r="1614" customFormat="false" ht="15.65" hidden="false" customHeight="true" outlineLevel="0" collapsed="false">
      <c r="A1614" s="2" t="str">
        <f aca="false">HYPERLINK("https://www.fabsurplus.com/sdi_catalog/salesItemDetails.do?id=110057")</f>
        <v>https://www.fabsurplus.com/sdi_catalog/salesItemDetails.do?id=110057</v>
      </c>
      <c r="B1614" s="2" t="s">
        <v>4473</v>
      </c>
      <c r="C1614" s="2" t="s">
        <v>4457</v>
      </c>
      <c r="D1614" s="2" t="s">
        <v>4474</v>
      </c>
      <c r="E1614" s="2" t="s">
        <v>170</v>
      </c>
      <c r="F1614" s="2" t="s">
        <v>16</v>
      </c>
      <c r="G1614" s="2" t="s">
        <v>165</v>
      </c>
      <c r="H1614" s="2"/>
      <c r="I1614" s="2"/>
      <c r="J1614" s="2" t="s">
        <v>42</v>
      </c>
      <c r="K1614" s="2"/>
      <c r="L1614" s="2" t="s">
        <v>686</v>
      </c>
    </row>
    <row r="1615" customFormat="false" ht="15.65" hidden="false" customHeight="true" outlineLevel="0" collapsed="false">
      <c r="A1615" s="5" t="str">
        <f aca="false">HYPERLINK("https://www.fabsurplus.com/sdi_catalog/salesItemDetails.do?id=110058")</f>
        <v>https://www.fabsurplus.com/sdi_catalog/salesItemDetails.do?id=110058</v>
      </c>
      <c r="B1615" s="5" t="s">
        <v>4475</v>
      </c>
      <c r="C1615" s="5" t="s">
        <v>4457</v>
      </c>
      <c r="D1615" s="5" t="s">
        <v>4476</v>
      </c>
      <c r="E1615" s="5" t="s">
        <v>170</v>
      </c>
      <c r="F1615" s="5" t="s">
        <v>16</v>
      </c>
      <c r="G1615" s="5" t="s">
        <v>165</v>
      </c>
      <c r="H1615" s="5"/>
      <c r="I1615" s="5"/>
      <c r="J1615" s="5" t="s">
        <v>42</v>
      </c>
      <c r="K1615" s="5"/>
      <c r="L1615" s="5" t="s">
        <v>4477</v>
      </c>
    </row>
    <row r="1616" customFormat="false" ht="15.65" hidden="false" customHeight="true" outlineLevel="0" collapsed="false">
      <c r="A1616" s="2" t="str">
        <f aca="false">HYPERLINK("https://www.fabsurplus.com/sdi_catalog/salesItemDetails.do?id=110059")</f>
        <v>https://www.fabsurplus.com/sdi_catalog/salesItemDetails.do?id=110059</v>
      </c>
      <c r="B1616" s="2" t="s">
        <v>4478</v>
      </c>
      <c r="C1616" s="2" t="s">
        <v>4457</v>
      </c>
      <c r="D1616" s="2" t="s">
        <v>282</v>
      </c>
      <c r="E1616" s="2" t="s">
        <v>170</v>
      </c>
      <c r="F1616" s="2" t="s">
        <v>16</v>
      </c>
      <c r="G1616" s="2" t="s">
        <v>165</v>
      </c>
      <c r="H1616" s="2"/>
      <c r="I1616" s="2"/>
      <c r="J1616" s="2" t="s">
        <v>42</v>
      </c>
      <c r="K1616" s="2"/>
      <c r="L1616" s="2" t="s">
        <v>686</v>
      </c>
    </row>
    <row r="1617" customFormat="false" ht="15.65" hidden="false" customHeight="true" outlineLevel="0" collapsed="false">
      <c r="A1617" s="5" t="str">
        <f aca="false">HYPERLINK("https://www.fabsurplus.com/sdi_catalog/salesItemDetails.do?id=110060")</f>
        <v>https://www.fabsurplus.com/sdi_catalog/salesItemDetails.do?id=110060</v>
      </c>
      <c r="B1617" s="5" t="s">
        <v>4479</v>
      </c>
      <c r="C1617" s="5" t="s">
        <v>4457</v>
      </c>
      <c r="D1617" s="5" t="s">
        <v>282</v>
      </c>
      <c r="E1617" s="5" t="s">
        <v>170</v>
      </c>
      <c r="F1617" s="5" t="s">
        <v>16</v>
      </c>
      <c r="G1617" s="5" t="s">
        <v>165</v>
      </c>
      <c r="H1617" s="5"/>
      <c r="I1617" s="5"/>
      <c r="J1617" s="5" t="s">
        <v>42</v>
      </c>
      <c r="K1617" s="5"/>
      <c r="L1617" s="5" t="s">
        <v>923</v>
      </c>
    </row>
    <row r="1618" customFormat="false" ht="15.65" hidden="false" customHeight="true" outlineLevel="0" collapsed="false">
      <c r="A1618" s="2" t="str">
        <f aca="false">HYPERLINK("https://www.fabsurplus.com/sdi_catalog/salesItemDetails.do?id=110061")</f>
        <v>https://www.fabsurplus.com/sdi_catalog/salesItemDetails.do?id=110061</v>
      </c>
      <c r="B1618" s="2" t="s">
        <v>4480</v>
      </c>
      <c r="C1618" s="2" t="s">
        <v>4457</v>
      </c>
      <c r="D1618" s="2" t="s">
        <v>786</v>
      </c>
      <c r="E1618" s="2" t="s">
        <v>763</v>
      </c>
      <c r="F1618" s="2" t="s">
        <v>16</v>
      </c>
      <c r="G1618" s="2" t="s">
        <v>165</v>
      </c>
      <c r="H1618" s="2"/>
      <c r="I1618" s="2"/>
      <c r="J1618" s="2" t="s">
        <v>42</v>
      </c>
      <c r="K1618" s="2"/>
      <c r="L1618" s="2" t="s">
        <v>686</v>
      </c>
    </row>
    <row r="1619" customFormat="false" ht="15.65" hidden="false" customHeight="true" outlineLevel="0" collapsed="false">
      <c r="A1619" s="5" t="str">
        <f aca="false">HYPERLINK("https://www.fabsurplus.com/sdi_catalog/salesItemDetails.do?id=110062")</f>
        <v>https://www.fabsurplus.com/sdi_catalog/salesItemDetails.do?id=110062</v>
      </c>
      <c r="B1619" s="5" t="s">
        <v>4481</v>
      </c>
      <c r="C1619" s="5" t="s">
        <v>4457</v>
      </c>
      <c r="D1619" s="5" t="s">
        <v>786</v>
      </c>
      <c r="E1619" s="5" t="s">
        <v>763</v>
      </c>
      <c r="F1619" s="5" t="s">
        <v>16</v>
      </c>
      <c r="G1619" s="5" t="s">
        <v>165</v>
      </c>
      <c r="H1619" s="5"/>
      <c r="I1619" s="5"/>
      <c r="J1619" s="5" t="s">
        <v>42</v>
      </c>
      <c r="K1619" s="5"/>
      <c r="L1619" s="5" t="s">
        <v>686</v>
      </c>
    </row>
    <row r="1620" customFormat="false" ht="15.65" hidden="false" customHeight="true" outlineLevel="0" collapsed="false">
      <c r="A1620" s="2" t="str">
        <f aca="false">HYPERLINK("https://www.fabsurplus.com/sdi_catalog/salesItemDetails.do?id=110063")</f>
        <v>https://www.fabsurplus.com/sdi_catalog/salesItemDetails.do?id=110063</v>
      </c>
      <c r="B1620" s="2" t="s">
        <v>4482</v>
      </c>
      <c r="C1620" s="2" t="s">
        <v>4457</v>
      </c>
      <c r="D1620" s="2" t="s">
        <v>786</v>
      </c>
      <c r="E1620" s="2" t="s">
        <v>763</v>
      </c>
      <c r="F1620" s="2" t="s">
        <v>16</v>
      </c>
      <c r="G1620" s="2" t="s">
        <v>165</v>
      </c>
      <c r="H1620" s="2"/>
      <c r="I1620" s="2"/>
      <c r="J1620" s="2" t="s">
        <v>42</v>
      </c>
      <c r="K1620" s="2"/>
      <c r="L1620" s="2" t="s">
        <v>686</v>
      </c>
    </row>
    <row r="1621" customFormat="false" ht="15.65" hidden="false" customHeight="true" outlineLevel="0" collapsed="false">
      <c r="A1621" s="5" t="str">
        <f aca="false">HYPERLINK("https://www.fabsurplus.com/sdi_catalog/salesItemDetails.do?id=110064")</f>
        <v>https://www.fabsurplus.com/sdi_catalog/salesItemDetails.do?id=110064</v>
      </c>
      <c r="B1621" s="5" t="s">
        <v>4483</v>
      </c>
      <c r="C1621" s="5" t="s">
        <v>4457</v>
      </c>
      <c r="D1621" s="5" t="s">
        <v>786</v>
      </c>
      <c r="E1621" s="5" t="s">
        <v>763</v>
      </c>
      <c r="F1621" s="5" t="s">
        <v>16</v>
      </c>
      <c r="G1621" s="5" t="s">
        <v>165</v>
      </c>
      <c r="H1621" s="5"/>
      <c r="I1621" s="5"/>
      <c r="J1621" s="5" t="s">
        <v>42</v>
      </c>
      <c r="K1621" s="5"/>
      <c r="L1621" s="5" t="s">
        <v>686</v>
      </c>
    </row>
    <row r="1622" customFormat="false" ht="15.65" hidden="false" customHeight="true" outlineLevel="0" collapsed="false">
      <c r="A1622" s="2" t="str">
        <f aca="false">HYPERLINK("https://www.fabsurplus.com/sdi_catalog/salesItemDetails.do?id=110065")</f>
        <v>https://www.fabsurplus.com/sdi_catalog/salesItemDetails.do?id=110065</v>
      </c>
      <c r="B1622" s="2" t="s">
        <v>4484</v>
      </c>
      <c r="C1622" s="2" t="s">
        <v>4457</v>
      </c>
      <c r="D1622" s="2" t="s">
        <v>786</v>
      </c>
      <c r="E1622" s="2" t="s">
        <v>763</v>
      </c>
      <c r="F1622" s="2" t="s">
        <v>16</v>
      </c>
      <c r="G1622" s="2" t="s">
        <v>165</v>
      </c>
      <c r="H1622" s="2"/>
      <c r="I1622" s="2"/>
      <c r="J1622" s="2" t="s">
        <v>42</v>
      </c>
      <c r="K1622" s="2"/>
      <c r="L1622" s="2" t="s">
        <v>686</v>
      </c>
    </row>
    <row r="1623" customFormat="false" ht="15.65" hidden="false" customHeight="true" outlineLevel="0" collapsed="false">
      <c r="A1623" s="5" t="str">
        <f aca="false">HYPERLINK("https://www.fabsurplus.com/sdi_catalog/salesItemDetails.do?id=110066")</f>
        <v>https://www.fabsurplus.com/sdi_catalog/salesItemDetails.do?id=110066</v>
      </c>
      <c r="B1623" s="5" t="s">
        <v>4485</v>
      </c>
      <c r="C1623" s="5" t="s">
        <v>4457</v>
      </c>
      <c r="D1623" s="5" t="s">
        <v>786</v>
      </c>
      <c r="E1623" s="5" t="s">
        <v>763</v>
      </c>
      <c r="F1623" s="5" t="s">
        <v>16</v>
      </c>
      <c r="G1623" s="5" t="s">
        <v>165</v>
      </c>
      <c r="H1623" s="5"/>
      <c r="I1623" s="5"/>
      <c r="J1623" s="5" t="s">
        <v>42</v>
      </c>
      <c r="K1623" s="5"/>
      <c r="L1623" s="5" t="s">
        <v>686</v>
      </c>
    </row>
    <row r="1624" customFormat="false" ht="15.65" hidden="false" customHeight="true" outlineLevel="0" collapsed="false">
      <c r="A1624" s="2" t="str">
        <f aca="false">HYPERLINK("https://www.fabsurplus.com/sdi_catalog/salesItemDetails.do?id=110067")</f>
        <v>https://www.fabsurplus.com/sdi_catalog/salesItemDetails.do?id=110067</v>
      </c>
      <c r="B1624" s="2" t="s">
        <v>4486</v>
      </c>
      <c r="C1624" s="2" t="s">
        <v>4457</v>
      </c>
      <c r="D1624" s="2" t="s">
        <v>786</v>
      </c>
      <c r="E1624" s="2" t="s">
        <v>763</v>
      </c>
      <c r="F1624" s="2" t="s">
        <v>16</v>
      </c>
      <c r="G1624" s="2" t="s">
        <v>165</v>
      </c>
      <c r="H1624" s="2"/>
      <c r="I1624" s="2"/>
      <c r="J1624" s="2" t="s">
        <v>42</v>
      </c>
      <c r="K1624" s="2"/>
      <c r="L1624" s="2" t="s">
        <v>686</v>
      </c>
    </row>
    <row r="1625" customFormat="false" ht="15.65" hidden="false" customHeight="true" outlineLevel="0" collapsed="false">
      <c r="A1625" s="5" t="str">
        <f aca="false">HYPERLINK("https://www.fabsurplus.com/sdi_catalog/salesItemDetails.do?id=110068")</f>
        <v>https://www.fabsurplus.com/sdi_catalog/salesItemDetails.do?id=110068</v>
      </c>
      <c r="B1625" s="5" t="s">
        <v>4487</v>
      </c>
      <c r="C1625" s="5" t="s">
        <v>4457</v>
      </c>
      <c r="D1625" s="5" t="s">
        <v>786</v>
      </c>
      <c r="E1625" s="5" t="s">
        <v>763</v>
      </c>
      <c r="F1625" s="5" t="s">
        <v>16</v>
      </c>
      <c r="G1625" s="5" t="s">
        <v>165</v>
      </c>
      <c r="H1625" s="5"/>
      <c r="I1625" s="5"/>
      <c r="J1625" s="5" t="s">
        <v>42</v>
      </c>
      <c r="K1625" s="5"/>
      <c r="L1625" s="5" t="s">
        <v>686</v>
      </c>
    </row>
    <row r="1626" customFormat="false" ht="15.65" hidden="false" customHeight="true" outlineLevel="0" collapsed="false">
      <c r="A1626" s="2" t="str">
        <f aca="false">HYPERLINK("https://www.fabsurplus.com/sdi_catalog/salesItemDetails.do?id=110069")</f>
        <v>https://www.fabsurplus.com/sdi_catalog/salesItemDetails.do?id=110069</v>
      </c>
      <c r="B1626" s="2" t="s">
        <v>4488</v>
      </c>
      <c r="C1626" s="2" t="s">
        <v>4457</v>
      </c>
      <c r="D1626" s="2" t="s">
        <v>786</v>
      </c>
      <c r="E1626" s="2" t="s">
        <v>763</v>
      </c>
      <c r="F1626" s="2" t="s">
        <v>16</v>
      </c>
      <c r="G1626" s="2" t="s">
        <v>165</v>
      </c>
      <c r="H1626" s="2"/>
      <c r="I1626" s="2"/>
      <c r="J1626" s="2" t="s">
        <v>42</v>
      </c>
      <c r="K1626" s="2"/>
      <c r="L1626" s="2" t="s">
        <v>686</v>
      </c>
    </row>
    <row r="1627" customFormat="false" ht="15.65" hidden="false" customHeight="true" outlineLevel="0" collapsed="false">
      <c r="A1627" s="5" t="str">
        <f aca="false">HYPERLINK("https://www.fabsurplus.com/sdi_catalog/salesItemDetails.do?id=110070")</f>
        <v>https://www.fabsurplus.com/sdi_catalog/salesItemDetails.do?id=110070</v>
      </c>
      <c r="B1627" s="5" t="s">
        <v>4489</v>
      </c>
      <c r="C1627" s="5" t="s">
        <v>4457</v>
      </c>
      <c r="D1627" s="5" t="s">
        <v>4459</v>
      </c>
      <c r="E1627" s="5" t="s">
        <v>763</v>
      </c>
      <c r="F1627" s="5" t="s">
        <v>16</v>
      </c>
      <c r="G1627" s="5" t="s">
        <v>165</v>
      </c>
      <c r="H1627" s="5"/>
      <c r="I1627" s="5"/>
      <c r="J1627" s="5" t="s">
        <v>42</v>
      </c>
      <c r="K1627" s="5"/>
      <c r="L1627" s="5" t="s">
        <v>686</v>
      </c>
    </row>
    <row r="1628" customFormat="false" ht="15.65" hidden="false" customHeight="true" outlineLevel="0" collapsed="false">
      <c r="A1628" s="2" t="str">
        <f aca="false">HYPERLINK("https://www.fabsurplus.com/sdi_catalog/salesItemDetails.do?id=83568")</f>
        <v>https://www.fabsurplus.com/sdi_catalog/salesItemDetails.do?id=83568</v>
      </c>
      <c r="B1628" s="2" t="s">
        <v>4490</v>
      </c>
      <c r="C1628" s="2" t="s">
        <v>4491</v>
      </c>
      <c r="D1628" s="2" t="s">
        <v>4492</v>
      </c>
      <c r="E1628" s="2" t="s">
        <v>4493</v>
      </c>
      <c r="F1628" s="2" t="s">
        <v>16</v>
      </c>
      <c r="G1628" s="2" t="s">
        <v>104</v>
      </c>
      <c r="H1628" s="2" t="s">
        <v>18</v>
      </c>
      <c r="I1628" s="2"/>
      <c r="J1628" s="2" t="s">
        <v>19</v>
      </c>
      <c r="K1628" s="2" t="s">
        <v>20</v>
      </c>
      <c r="L1628" s="4" t="s">
        <v>4494</v>
      </c>
    </row>
    <row r="1629" customFormat="false" ht="15.65" hidden="false" customHeight="true" outlineLevel="0" collapsed="false">
      <c r="A1629" s="5" t="str">
        <f aca="false">HYPERLINK("https://www.fabsurplus.com/sdi_catalog/salesItemDetails.do?id=110071")</f>
        <v>https://www.fabsurplus.com/sdi_catalog/salesItemDetails.do?id=110071</v>
      </c>
      <c r="B1629" s="5" t="s">
        <v>4495</v>
      </c>
      <c r="C1629" s="5" t="s">
        <v>4496</v>
      </c>
      <c r="D1629" s="5" t="s">
        <v>4497</v>
      </c>
      <c r="E1629" s="5" t="s">
        <v>170</v>
      </c>
      <c r="F1629" s="5" t="s">
        <v>16</v>
      </c>
      <c r="G1629" s="5" t="s">
        <v>165</v>
      </c>
      <c r="H1629" s="5"/>
      <c r="I1629" s="5"/>
      <c r="J1629" s="5" t="s">
        <v>42</v>
      </c>
      <c r="K1629" s="5"/>
      <c r="L1629" s="5" t="s">
        <v>4498</v>
      </c>
    </row>
    <row r="1630" customFormat="false" ht="15.65" hidden="false" customHeight="true" outlineLevel="0" collapsed="false">
      <c r="A1630" s="2" t="str">
        <f aca="false">HYPERLINK("https://www.fabsurplus.com/sdi_catalog/salesItemDetails.do?id=105864")</f>
        <v>https://www.fabsurplus.com/sdi_catalog/salesItemDetails.do?id=105864</v>
      </c>
      <c r="B1630" s="2" t="s">
        <v>4499</v>
      </c>
      <c r="C1630" s="2" t="s">
        <v>4500</v>
      </c>
      <c r="D1630" s="2" t="s">
        <v>4501</v>
      </c>
      <c r="E1630" s="2" t="s">
        <v>4502</v>
      </c>
      <c r="F1630" s="2" t="s">
        <v>16</v>
      </c>
      <c r="G1630" s="2" t="s">
        <v>104</v>
      </c>
      <c r="H1630" s="2" t="s">
        <v>1969</v>
      </c>
      <c r="I1630" s="2"/>
      <c r="J1630" s="2" t="s">
        <v>19</v>
      </c>
      <c r="K1630" s="2" t="s">
        <v>20</v>
      </c>
      <c r="L1630" s="4" t="s">
        <v>4503</v>
      </c>
    </row>
    <row r="1631" customFormat="false" ht="15.65" hidden="false" customHeight="true" outlineLevel="0" collapsed="false">
      <c r="A1631" s="5" t="str">
        <f aca="false">HYPERLINK("https://www.fabsurplus.com/sdi_catalog/salesItemDetails.do?id=79394")</f>
        <v>https://www.fabsurplus.com/sdi_catalog/salesItemDetails.do?id=79394</v>
      </c>
      <c r="B1631" s="5" t="s">
        <v>4504</v>
      </c>
      <c r="C1631" s="5" t="s">
        <v>4505</v>
      </c>
      <c r="D1631" s="5" t="s">
        <v>4506</v>
      </c>
      <c r="E1631" s="5" t="s">
        <v>140</v>
      </c>
      <c r="F1631" s="5" t="s">
        <v>16</v>
      </c>
      <c r="G1631" s="5" t="s">
        <v>159</v>
      </c>
      <c r="H1631" s="5" t="s">
        <v>18</v>
      </c>
      <c r="I1631" s="5"/>
      <c r="J1631" s="5" t="s">
        <v>19</v>
      </c>
      <c r="K1631" s="5" t="s">
        <v>20</v>
      </c>
      <c r="L1631" s="7" t="s">
        <v>4507</v>
      </c>
    </row>
    <row r="1632" customFormat="false" ht="15.65" hidden="false" customHeight="true" outlineLevel="0" collapsed="false">
      <c r="A1632" s="2" t="str">
        <f aca="false">HYPERLINK("https://www.fabsurplus.com/sdi_catalog/salesItemDetails.do?id=79395")</f>
        <v>https://www.fabsurplus.com/sdi_catalog/salesItemDetails.do?id=79395</v>
      </c>
      <c r="B1632" s="2" t="s">
        <v>4508</v>
      </c>
      <c r="C1632" s="2" t="s">
        <v>4505</v>
      </c>
      <c r="D1632" s="2" t="s">
        <v>4506</v>
      </c>
      <c r="E1632" s="2" t="s">
        <v>140</v>
      </c>
      <c r="F1632" s="2" t="s">
        <v>16</v>
      </c>
      <c r="G1632" s="2" t="s">
        <v>159</v>
      </c>
      <c r="H1632" s="2" t="s">
        <v>18</v>
      </c>
      <c r="I1632" s="2"/>
      <c r="J1632" s="2" t="s">
        <v>19</v>
      </c>
      <c r="K1632" s="2" t="s">
        <v>20</v>
      </c>
      <c r="L1632" s="4" t="s">
        <v>4509</v>
      </c>
    </row>
    <row r="1633" customFormat="false" ht="15.65" hidden="false" customHeight="true" outlineLevel="0" collapsed="false">
      <c r="A1633" s="5" t="str">
        <f aca="false">HYPERLINK("https://www.fabsurplus.com/sdi_catalog/salesItemDetails.do?id=108620")</f>
        <v>https://www.fabsurplus.com/sdi_catalog/salesItemDetails.do?id=108620</v>
      </c>
      <c r="B1633" s="5" t="s">
        <v>4510</v>
      </c>
      <c r="C1633" s="5" t="s">
        <v>4511</v>
      </c>
      <c r="D1633" s="5" t="s">
        <v>4512</v>
      </c>
      <c r="E1633" s="5" t="s">
        <v>140</v>
      </c>
      <c r="F1633" s="5" t="s">
        <v>16</v>
      </c>
      <c r="G1633" s="5" t="s">
        <v>141</v>
      </c>
      <c r="H1633" s="5"/>
      <c r="I1633" s="5"/>
      <c r="J1633" s="5" t="s">
        <v>19</v>
      </c>
      <c r="K1633" s="5"/>
      <c r="L1633" s="5" t="s">
        <v>142</v>
      </c>
    </row>
    <row r="1634" customFormat="false" ht="15.65" hidden="false" customHeight="true" outlineLevel="0" collapsed="false">
      <c r="A1634" s="2" t="str">
        <f aca="false">HYPERLINK("https://www.fabsurplus.com/sdi_catalog/salesItemDetails.do?id=108621")</f>
        <v>https://www.fabsurplus.com/sdi_catalog/salesItemDetails.do?id=108621</v>
      </c>
      <c r="B1634" s="2" t="s">
        <v>4513</v>
      </c>
      <c r="C1634" s="2" t="s">
        <v>4511</v>
      </c>
      <c r="D1634" s="2" t="s">
        <v>4514</v>
      </c>
      <c r="E1634" s="2" t="s">
        <v>140</v>
      </c>
      <c r="F1634" s="2" t="s">
        <v>86</v>
      </c>
      <c r="G1634" s="2" t="s">
        <v>141</v>
      </c>
      <c r="H1634" s="2"/>
      <c r="I1634" s="2"/>
      <c r="J1634" s="2" t="s">
        <v>19</v>
      </c>
      <c r="K1634" s="2"/>
      <c r="L1634" s="2" t="s">
        <v>142</v>
      </c>
    </row>
    <row r="1635" customFormat="false" ht="15.65" hidden="false" customHeight="true" outlineLevel="0" collapsed="false">
      <c r="A1635" s="5" t="str">
        <f aca="false">HYPERLINK("https://www.fabsurplus.com/sdi_catalog/salesItemDetails.do?id=108622")</f>
        <v>https://www.fabsurplus.com/sdi_catalog/salesItemDetails.do?id=108622</v>
      </c>
      <c r="B1635" s="5" t="s">
        <v>4515</v>
      </c>
      <c r="C1635" s="5" t="s">
        <v>4511</v>
      </c>
      <c r="D1635" s="5" t="s">
        <v>4506</v>
      </c>
      <c r="E1635" s="5" t="s">
        <v>140</v>
      </c>
      <c r="F1635" s="5" t="s">
        <v>151</v>
      </c>
      <c r="G1635" s="5" t="s">
        <v>141</v>
      </c>
      <c r="H1635" s="5"/>
      <c r="I1635" s="5"/>
      <c r="J1635" s="5" t="s">
        <v>19</v>
      </c>
      <c r="K1635" s="5"/>
      <c r="L1635" s="5" t="s">
        <v>142</v>
      </c>
    </row>
    <row r="1636" customFormat="false" ht="15.65" hidden="false" customHeight="true" outlineLevel="0" collapsed="false">
      <c r="A1636" s="2" t="str">
        <f aca="false">HYPERLINK("https://www.fabsurplus.com/sdi_catalog/salesItemDetails.do?id=77147")</f>
        <v>https://www.fabsurplus.com/sdi_catalog/salesItemDetails.do?id=77147</v>
      </c>
      <c r="B1636" s="2" t="s">
        <v>4516</v>
      </c>
      <c r="C1636" s="2" t="s">
        <v>4505</v>
      </c>
      <c r="D1636" s="2" t="s">
        <v>4517</v>
      </c>
      <c r="E1636" s="2" t="s">
        <v>4518</v>
      </c>
      <c r="F1636" s="2" t="s">
        <v>16</v>
      </c>
      <c r="G1636" s="2" t="s">
        <v>4519</v>
      </c>
      <c r="H1636" s="2" t="s">
        <v>18</v>
      </c>
      <c r="I1636" s="2"/>
      <c r="J1636" s="2" t="s">
        <v>19</v>
      </c>
      <c r="K1636" s="2" t="s">
        <v>20</v>
      </c>
      <c r="L1636" s="4" t="s">
        <v>4520</v>
      </c>
    </row>
    <row r="1637" customFormat="false" ht="15.65" hidden="false" customHeight="true" outlineLevel="0" collapsed="false">
      <c r="A1637" s="5" t="str">
        <f aca="false">HYPERLINK("https://www.fabsurplus.com/sdi_catalog/salesItemDetails.do?id=109172")</f>
        <v>https://www.fabsurplus.com/sdi_catalog/salesItemDetails.do?id=109172</v>
      </c>
      <c r="B1637" s="5" t="s">
        <v>4521</v>
      </c>
      <c r="C1637" s="5" t="s">
        <v>4505</v>
      </c>
      <c r="D1637" s="5" t="s">
        <v>4522</v>
      </c>
      <c r="E1637" s="5" t="s">
        <v>4523</v>
      </c>
      <c r="F1637" s="5" t="s">
        <v>16</v>
      </c>
      <c r="G1637" s="5" t="s">
        <v>84</v>
      </c>
      <c r="H1637" s="5"/>
      <c r="I1637" s="5"/>
      <c r="J1637" s="5" t="s">
        <v>19</v>
      </c>
      <c r="K1637" s="5"/>
      <c r="L1637" s="5"/>
    </row>
    <row r="1638" customFormat="false" ht="15.65" hidden="false" customHeight="true" outlineLevel="0" collapsed="false">
      <c r="A1638" s="2" t="str">
        <f aca="false">HYPERLINK("https://www.fabsurplus.com/sdi_catalog/salesItemDetails.do?id=109173")</f>
        <v>https://www.fabsurplus.com/sdi_catalog/salesItemDetails.do?id=109173</v>
      </c>
      <c r="B1638" s="2" t="s">
        <v>4524</v>
      </c>
      <c r="C1638" s="2" t="s">
        <v>4505</v>
      </c>
      <c r="D1638" s="2" t="s">
        <v>4525</v>
      </c>
      <c r="E1638" s="2" t="s">
        <v>4523</v>
      </c>
      <c r="F1638" s="2" t="s">
        <v>16</v>
      </c>
      <c r="G1638" s="2" t="s">
        <v>84</v>
      </c>
      <c r="H1638" s="2"/>
      <c r="I1638" s="2"/>
      <c r="J1638" s="2" t="s">
        <v>19</v>
      </c>
      <c r="K1638" s="2"/>
      <c r="L1638" s="2"/>
    </row>
    <row r="1639" customFormat="false" ht="15.65" hidden="false" customHeight="true" outlineLevel="0" collapsed="false">
      <c r="A1639" s="5" t="str">
        <f aca="false">HYPERLINK("https://www.fabsurplus.com/sdi_catalog/salesItemDetails.do?id=109174")</f>
        <v>https://www.fabsurplus.com/sdi_catalog/salesItemDetails.do?id=109174</v>
      </c>
      <c r="B1639" s="5" t="s">
        <v>4526</v>
      </c>
      <c r="C1639" s="5" t="s">
        <v>4505</v>
      </c>
      <c r="D1639" s="5" t="s">
        <v>4525</v>
      </c>
      <c r="E1639" s="5" t="s">
        <v>4523</v>
      </c>
      <c r="F1639" s="5" t="s">
        <v>16</v>
      </c>
      <c r="G1639" s="5" t="s">
        <v>84</v>
      </c>
      <c r="H1639" s="5"/>
      <c r="I1639" s="5"/>
      <c r="J1639" s="5" t="s">
        <v>19</v>
      </c>
      <c r="K1639" s="5"/>
      <c r="L1639" s="5"/>
    </row>
    <row r="1640" customFormat="false" ht="15.65" hidden="false" customHeight="true" outlineLevel="0" collapsed="false">
      <c r="A1640" s="2" t="str">
        <f aca="false">HYPERLINK("https://www.fabsurplus.com/sdi_catalog/salesItemDetails.do?id=108408")</f>
        <v>https://www.fabsurplus.com/sdi_catalog/salesItemDetails.do?id=108408</v>
      </c>
      <c r="B1640" s="2" t="s">
        <v>4527</v>
      </c>
      <c r="C1640" s="2" t="s">
        <v>4505</v>
      </c>
      <c r="D1640" s="2" t="s">
        <v>4522</v>
      </c>
      <c r="E1640" s="2" t="s">
        <v>4523</v>
      </c>
      <c r="F1640" s="2" t="s">
        <v>16</v>
      </c>
      <c r="G1640" s="2" t="s">
        <v>61</v>
      </c>
      <c r="H1640" s="2"/>
      <c r="I1640" s="2"/>
      <c r="J1640" s="2" t="s">
        <v>19</v>
      </c>
      <c r="K1640" s="2"/>
      <c r="L1640" s="2"/>
    </row>
    <row r="1641" customFormat="false" ht="15.65" hidden="false" customHeight="true" outlineLevel="0" collapsed="false">
      <c r="A1641" s="5" t="str">
        <f aca="false">HYPERLINK("https://www.fabsurplus.com/sdi_catalog/salesItemDetails.do?id=108409")</f>
        <v>https://www.fabsurplus.com/sdi_catalog/salesItemDetails.do?id=108409</v>
      </c>
      <c r="B1641" s="5" t="s">
        <v>4528</v>
      </c>
      <c r="C1641" s="5" t="s">
        <v>4505</v>
      </c>
      <c r="D1641" s="5" t="s">
        <v>4529</v>
      </c>
      <c r="E1641" s="5" t="s">
        <v>1601</v>
      </c>
      <c r="F1641" s="5" t="s">
        <v>16</v>
      </c>
      <c r="G1641" s="5" t="s">
        <v>61</v>
      </c>
      <c r="H1641" s="5"/>
      <c r="I1641" s="5"/>
      <c r="J1641" s="5" t="s">
        <v>19</v>
      </c>
      <c r="K1641" s="5"/>
      <c r="L1641" s="5"/>
    </row>
    <row r="1642" customFormat="false" ht="15.65" hidden="false" customHeight="true" outlineLevel="0" collapsed="false">
      <c r="A1642" s="2" t="str">
        <f aca="false">HYPERLINK("https://www.fabsurplus.com/sdi_catalog/salesItemDetails.do?id=108410")</f>
        <v>https://www.fabsurplus.com/sdi_catalog/salesItemDetails.do?id=108410</v>
      </c>
      <c r="B1642" s="2" t="s">
        <v>4530</v>
      </c>
      <c r="C1642" s="2" t="s">
        <v>4505</v>
      </c>
      <c r="D1642" s="2" t="s">
        <v>4525</v>
      </c>
      <c r="E1642" s="2" t="s">
        <v>4523</v>
      </c>
      <c r="F1642" s="2" t="s">
        <v>60</v>
      </c>
      <c r="G1642" s="2" t="s">
        <v>61</v>
      </c>
      <c r="H1642" s="2"/>
      <c r="I1642" s="2"/>
      <c r="J1642" s="2" t="s">
        <v>19</v>
      </c>
      <c r="K1642" s="2"/>
      <c r="L1642" s="2"/>
    </row>
    <row r="1643" customFormat="false" ht="15.65" hidden="false" customHeight="true" outlineLevel="0" collapsed="false">
      <c r="A1643" s="5" t="str">
        <f aca="false">HYPERLINK("https://www.fabsurplus.com/sdi_catalog/salesItemDetails.do?id=108411")</f>
        <v>https://www.fabsurplus.com/sdi_catalog/salesItemDetails.do?id=108411</v>
      </c>
      <c r="B1643" s="5" t="s">
        <v>4531</v>
      </c>
      <c r="C1643" s="5" t="s">
        <v>4505</v>
      </c>
      <c r="D1643" s="5" t="s">
        <v>4532</v>
      </c>
      <c r="E1643" s="5" t="s">
        <v>4523</v>
      </c>
      <c r="F1643" s="5" t="s">
        <v>151</v>
      </c>
      <c r="G1643" s="5" t="s">
        <v>61</v>
      </c>
      <c r="H1643" s="5"/>
      <c r="I1643" s="5"/>
      <c r="J1643" s="5" t="s">
        <v>19</v>
      </c>
      <c r="K1643" s="5"/>
      <c r="L1643" s="5"/>
    </row>
    <row r="1644" customFormat="false" ht="15.65" hidden="false" customHeight="true" outlineLevel="0" collapsed="false">
      <c r="A1644" s="2" t="str">
        <f aca="false">HYPERLINK("https://www.fabsurplus.com/sdi_catalog/salesItemDetails.do?id=98460")</f>
        <v>https://www.fabsurplus.com/sdi_catalog/salesItemDetails.do?id=98460</v>
      </c>
      <c r="B1644" s="2" t="s">
        <v>4533</v>
      </c>
      <c r="C1644" s="2" t="s">
        <v>4505</v>
      </c>
      <c r="D1644" s="2" t="s">
        <v>4534</v>
      </c>
      <c r="E1644" s="2" t="s">
        <v>4535</v>
      </c>
      <c r="F1644" s="2" t="s">
        <v>16</v>
      </c>
      <c r="G1644" s="2" t="s">
        <v>84</v>
      </c>
      <c r="H1644" s="2" t="s">
        <v>32</v>
      </c>
      <c r="I1644" s="2"/>
      <c r="J1644" s="2" t="s">
        <v>19</v>
      </c>
      <c r="K1644" s="2" t="s">
        <v>20</v>
      </c>
      <c r="L1644" s="4" t="s">
        <v>4536</v>
      </c>
    </row>
    <row r="1645" customFormat="false" ht="15.65" hidden="false" customHeight="true" outlineLevel="0" collapsed="false">
      <c r="A1645" s="5" t="str">
        <f aca="false">HYPERLINK("https://www.fabsurplus.com/sdi_catalog/salesItemDetails.do?id=98461")</f>
        <v>https://www.fabsurplus.com/sdi_catalog/salesItemDetails.do?id=98461</v>
      </c>
      <c r="B1645" s="5" t="s">
        <v>4537</v>
      </c>
      <c r="C1645" s="5" t="s">
        <v>4505</v>
      </c>
      <c r="D1645" s="5" t="s">
        <v>4534</v>
      </c>
      <c r="E1645" s="5" t="s">
        <v>4538</v>
      </c>
      <c r="F1645" s="5" t="s">
        <v>16</v>
      </c>
      <c r="G1645" s="5" t="s">
        <v>84</v>
      </c>
      <c r="H1645" s="5"/>
      <c r="I1645" s="5"/>
      <c r="J1645" s="5" t="s">
        <v>19</v>
      </c>
      <c r="K1645" s="5"/>
      <c r="L1645" s="5" t="s">
        <v>518</v>
      </c>
    </row>
    <row r="1646" customFormat="false" ht="15.65" hidden="false" customHeight="true" outlineLevel="0" collapsed="false">
      <c r="A1646" s="2" t="str">
        <f aca="false">HYPERLINK("https://www.fabsurplus.com/sdi_catalog/salesItemDetails.do?id=70304")</f>
        <v>https://www.fabsurplus.com/sdi_catalog/salesItemDetails.do?id=70304</v>
      </c>
      <c r="B1646" s="2" t="s">
        <v>4539</v>
      </c>
      <c r="C1646" s="2" t="s">
        <v>4511</v>
      </c>
      <c r="D1646" s="2" t="s">
        <v>4540</v>
      </c>
      <c r="E1646" s="2" t="s">
        <v>4541</v>
      </c>
      <c r="F1646" s="2" t="s">
        <v>16</v>
      </c>
      <c r="G1646" s="2" t="s">
        <v>165</v>
      </c>
      <c r="H1646" s="2" t="s">
        <v>1969</v>
      </c>
      <c r="I1646" s="2"/>
      <c r="J1646" s="2" t="s">
        <v>19</v>
      </c>
      <c r="K1646" s="2" t="s">
        <v>20</v>
      </c>
      <c r="L1646" s="2" t="s">
        <v>4542</v>
      </c>
    </row>
    <row r="1647" customFormat="false" ht="15.65" hidden="false" customHeight="true" outlineLevel="0" collapsed="false">
      <c r="A1647" s="5" t="str">
        <f aca="false">HYPERLINK("https://www.fabsurplus.com/sdi_catalog/salesItemDetails.do?id=70305")</f>
        <v>https://www.fabsurplus.com/sdi_catalog/salesItemDetails.do?id=70305</v>
      </c>
      <c r="B1647" s="5" t="s">
        <v>4543</v>
      </c>
      <c r="C1647" s="5" t="s">
        <v>4511</v>
      </c>
      <c r="D1647" s="5" t="s">
        <v>4544</v>
      </c>
      <c r="E1647" s="5" t="s">
        <v>4545</v>
      </c>
      <c r="F1647" s="5" t="s">
        <v>16</v>
      </c>
      <c r="G1647" s="5" t="s">
        <v>165</v>
      </c>
      <c r="H1647" s="5" t="s">
        <v>98</v>
      </c>
      <c r="I1647" s="5"/>
      <c r="J1647" s="5" t="s">
        <v>19</v>
      </c>
      <c r="K1647" s="5" t="s">
        <v>20</v>
      </c>
      <c r="L1647" s="7" t="s">
        <v>4546</v>
      </c>
    </row>
    <row r="1648" customFormat="false" ht="15.65" hidden="false" customHeight="true" outlineLevel="0" collapsed="false">
      <c r="A1648" s="2" t="str">
        <f aca="false">HYPERLINK("https://www.fabsurplus.com/sdi_catalog/salesItemDetails.do?id=70306")</f>
        <v>https://www.fabsurplus.com/sdi_catalog/salesItemDetails.do?id=70306</v>
      </c>
      <c r="B1648" s="2" t="s">
        <v>4547</v>
      </c>
      <c r="C1648" s="2" t="s">
        <v>4505</v>
      </c>
      <c r="D1648" s="2" t="s">
        <v>4548</v>
      </c>
      <c r="E1648" s="2" t="s">
        <v>4549</v>
      </c>
      <c r="F1648" s="2" t="s">
        <v>151</v>
      </c>
      <c r="G1648" s="2" t="s">
        <v>165</v>
      </c>
      <c r="H1648" s="2" t="s">
        <v>1969</v>
      </c>
      <c r="I1648" s="2"/>
      <c r="J1648" s="2" t="s">
        <v>19</v>
      </c>
      <c r="K1648" s="2" t="s">
        <v>20</v>
      </c>
      <c r="L1648" s="4" t="s">
        <v>4550</v>
      </c>
    </row>
    <row r="1649" customFormat="false" ht="15.65" hidden="false" customHeight="true" outlineLevel="0" collapsed="false">
      <c r="A1649" s="5" t="str">
        <f aca="false">HYPERLINK("https://www.fabsurplus.com/sdi_catalog/salesItemDetails.do?id=106174")</f>
        <v>https://www.fabsurplus.com/sdi_catalog/salesItemDetails.do?id=106174</v>
      </c>
      <c r="B1649" s="5" t="s">
        <v>4551</v>
      </c>
      <c r="C1649" s="5" t="s">
        <v>4505</v>
      </c>
      <c r="D1649" s="5" t="s">
        <v>4552</v>
      </c>
      <c r="E1649" s="5" t="s">
        <v>4553</v>
      </c>
      <c r="F1649" s="5" t="s">
        <v>203</v>
      </c>
      <c r="G1649" s="5"/>
      <c r="H1649" s="5" t="s">
        <v>32</v>
      </c>
      <c r="I1649" s="6" t="n">
        <v>37987</v>
      </c>
      <c r="J1649" s="5" t="s">
        <v>19</v>
      </c>
      <c r="K1649" s="5" t="s">
        <v>20</v>
      </c>
      <c r="L1649" s="7" t="s">
        <v>4554</v>
      </c>
    </row>
    <row r="1650" customFormat="false" ht="15.65" hidden="false" customHeight="true" outlineLevel="0" collapsed="false">
      <c r="A1650" s="2" t="str">
        <f aca="false">HYPERLINK("https://www.fabsurplus.com/sdi_catalog/salesItemDetails.do?id=106466")</f>
        <v>https://www.fabsurplus.com/sdi_catalog/salesItemDetails.do?id=106466</v>
      </c>
      <c r="B1650" s="2" t="s">
        <v>4555</v>
      </c>
      <c r="C1650" s="2" t="s">
        <v>4556</v>
      </c>
      <c r="D1650" s="2" t="s">
        <v>4557</v>
      </c>
      <c r="E1650" s="2" t="s">
        <v>4558</v>
      </c>
      <c r="F1650" s="2" t="s">
        <v>16</v>
      </c>
      <c r="G1650" s="2" t="s">
        <v>2803</v>
      </c>
      <c r="H1650" s="2" t="s">
        <v>18</v>
      </c>
      <c r="I1650" s="2"/>
      <c r="J1650" s="2" t="s">
        <v>19</v>
      </c>
      <c r="K1650" s="2" t="s">
        <v>20</v>
      </c>
      <c r="L1650" s="2" t="s">
        <v>2859</v>
      </c>
    </row>
    <row r="1651" customFormat="false" ht="15.65" hidden="false" customHeight="true" outlineLevel="0" collapsed="false">
      <c r="A1651" s="5" t="str">
        <f aca="false">HYPERLINK("https://www.fabsurplus.com/sdi_catalog/salesItemDetails.do?id=107007")</f>
        <v>https://www.fabsurplus.com/sdi_catalog/salesItemDetails.do?id=107007</v>
      </c>
      <c r="B1651" s="5" t="s">
        <v>4559</v>
      </c>
      <c r="C1651" s="5" t="s">
        <v>4560</v>
      </c>
      <c r="D1651" s="5" t="s">
        <v>4561</v>
      </c>
      <c r="E1651" s="5" t="s">
        <v>4562</v>
      </c>
      <c r="F1651" s="5" t="s">
        <v>16</v>
      </c>
      <c r="G1651" s="5" t="s">
        <v>1293</v>
      </c>
      <c r="H1651" s="5" t="s">
        <v>18</v>
      </c>
      <c r="I1651" s="6" t="n">
        <v>41183</v>
      </c>
      <c r="J1651" s="5" t="s">
        <v>19</v>
      </c>
      <c r="K1651" s="5" t="s">
        <v>20</v>
      </c>
      <c r="L1651" s="7" t="s">
        <v>4563</v>
      </c>
    </row>
    <row r="1652" customFormat="false" ht="15.65" hidden="false" customHeight="true" outlineLevel="0" collapsed="false">
      <c r="A1652" s="2" t="str">
        <f aca="false">HYPERLINK("https://www.fabsurplus.com/sdi_catalog/salesItemDetails.do?id=80001")</f>
        <v>https://www.fabsurplus.com/sdi_catalog/salesItemDetails.do?id=80001</v>
      </c>
      <c r="B1652" s="2" t="s">
        <v>4564</v>
      </c>
      <c r="C1652" s="2" t="s">
        <v>4565</v>
      </c>
      <c r="D1652" s="2" t="s">
        <v>4566</v>
      </c>
      <c r="E1652" s="2" t="s">
        <v>4567</v>
      </c>
      <c r="F1652" s="2" t="s">
        <v>16</v>
      </c>
      <c r="G1652" s="2" t="s">
        <v>4568</v>
      </c>
      <c r="H1652" s="2" t="s">
        <v>18</v>
      </c>
      <c r="I1652" s="2"/>
      <c r="J1652" s="2" t="s">
        <v>19</v>
      </c>
      <c r="K1652" s="2" t="s">
        <v>20</v>
      </c>
      <c r="L1652" s="4" t="s">
        <v>4569</v>
      </c>
    </row>
    <row r="1653" customFormat="false" ht="15.65" hidden="false" customHeight="true" outlineLevel="0" collapsed="false">
      <c r="A1653" s="5" t="str">
        <f aca="false">HYPERLINK("https://www.fabsurplus.com/sdi_catalog/salesItemDetails.do?id=80029")</f>
        <v>https://www.fabsurplus.com/sdi_catalog/salesItemDetails.do?id=80029</v>
      </c>
      <c r="B1653" s="5" t="s">
        <v>4570</v>
      </c>
      <c r="C1653" s="5" t="s">
        <v>4565</v>
      </c>
      <c r="D1653" s="5" t="s">
        <v>4571</v>
      </c>
      <c r="E1653" s="5" t="s">
        <v>4572</v>
      </c>
      <c r="F1653" s="5" t="s">
        <v>16</v>
      </c>
      <c r="G1653" s="5" t="s">
        <v>4568</v>
      </c>
      <c r="H1653" s="5" t="s">
        <v>18</v>
      </c>
      <c r="I1653" s="5"/>
      <c r="J1653" s="5" t="s">
        <v>19</v>
      </c>
      <c r="K1653" s="5" t="s">
        <v>20</v>
      </c>
      <c r="L1653" s="7" t="s">
        <v>4573</v>
      </c>
    </row>
    <row r="1654" customFormat="false" ht="15.65" hidden="false" customHeight="true" outlineLevel="0" collapsed="false">
      <c r="A1654" s="2" t="str">
        <f aca="false">HYPERLINK("https://www.fabsurplus.com/sdi_catalog/salesItemDetails.do?id=80030")</f>
        <v>https://www.fabsurplus.com/sdi_catalog/salesItemDetails.do?id=80030</v>
      </c>
      <c r="B1654" s="2" t="s">
        <v>4574</v>
      </c>
      <c r="C1654" s="2" t="s">
        <v>4565</v>
      </c>
      <c r="D1654" s="2" t="s">
        <v>4566</v>
      </c>
      <c r="E1654" s="2" t="s">
        <v>4567</v>
      </c>
      <c r="F1654" s="2" t="s">
        <v>16</v>
      </c>
      <c r="G1654" s="2" t="s">
        <v>4568</v>
      </c>
      <c r="H1654" s="2" t="s">
        <v>18</v>
      </c>
      <c r="I1654" s="2"/>
      <c r="J1654" s="2" t="s">
        <v>19</v>
      </c>
      <c r="K1654" s="2" t="s">
        <v>20</v>
      </c>
      <c r="L1654" s="4" t="s">
        <v>4575</v>
      </c>
    </row>
    <row r="1655" customFormat="false" ht="15.65" hidden="false" customHeight="true" outlineLevel="0" collapsed="false">
      <c r="A1655" s="5" t="str">
        <f aca="false">HYPERLINK("https://www.fabsurplus.com/sdi_catalog/salesItemDetails.do?id=80031")</f>
        <v>https://www.fabsurplus.com/sdi_catalog/salesItemDetails.do?id=80031</v>
      </c>
      <c r="B1655" s="5" t="s">
        <v>4576</v>
      </c>
      <c r="C1655" s="5" t="s">
        <v>4565</v>
      </c>
      <c r="D1655" s="5" t="s">
        <v>4577</v>
      </c>
      <c r="E1655" s="5" t="s">
        <v>4578</v>
      </c>
      <c r="F1655" s="5" t="s">
        <v>236</v>
      </c>
      <c r="G1655" s="5" t="s">
        <v>4568</v>
      </c>
      <c r="H1655" s="5" t="s">
        <v>18</v>
      </c>
      <c r="I1655" s="5"/>
      <c r="J1655" s="5" t="s">
        <v>19</v>
      </c>
      <c r="K1655" s="5" t="s">
        <v>20</v>
      </c>
      <c r="L1655" s="7" t="s">
        <v>4579</v>
      </c>
    </row>
    <row r="1656" customFormat="false" ht="15.65" hidden="false" customHeight="true" outlineLevel="0" collapsed="false">
      <c r="A1656" s="2" t="str">
        <f aca="false">HYPERLINK("https://www.fabsurplus.com/sdi_catalog/salesItemDetails.do?id=80032")</f>
        <v>https://www.fabsurplus.com/sdi_catalog/salesItemDetails.do?id=80032</v>
      </c>
      <c r="B1656" s="2" t="s">
        <v>4580</v>
      </c>
      <c r="C1656" s="2" t="s">
        <v>4565</v>
      </c>
      <c r="D1656" s="2" t="s">
        <v>4581</v>
      </c>
      <c r="E1656" s="2" t="s">
        <v>4582</v>
      </c>
      <c r="F1656" s="2" t="s">
        <v>16</v>
      </c>
      <c r="G1656" s="2" t="s">
        <v>4568</v>
      </c>
      <c r="H1656" s="2" t="s">
        <v>98</v>
      </c>
      <c r="I1656" s="2"/>
      <c r="J1656" s="2" t="s">
        <v>19</v>
      </c>
      <c r="K1656" s="2" t="s">
        <v>20</v>
      </c>
      <c r="L1656" s="4" t="s">
        <v>4583</v>
      </c>
    </row>
    <row r="1657" customFormat="false" ht="15.65" hidden="false" customHeight="true" outlineLevel="0" collapsed="false">
      <c r="A1657" s="5" t="str">
        <f aca="false">HYPERLINK("https://www.fabsurplus.com/sdi_catalog/salesItemDetails.do?id=80040")</f>
        <v>https://www.fabsurplus.com/sdi_catalog/salesItemDetails.do?id=80040</v>
      </c>
      <c r="B1657" s="5" t="s">
        <v>4584</v>
      </c>
      <c r="C1657" s="5" t="s">
        <v>4565</v>
      </c>
      <c r="D1657" s="5" t="s">
        <v>4585</v>
      </c>
      <c r="E1657" s="5" t="s">
        <v>4567</v>
      </c>
      <c r="F1657" s="5" t="s">
        <v>16</v>
      </c>
      <c r="G1657" s="5" t="s">
        <v>4568</v>
      </c>
      <c r="H1657" s="5" t="s">
        <v>18</v>
      </c>
      <c r="I1657" s="5"/>
      <c r="J1657" s="5" t="s">
        <v>19</v>
      </c>
      <c r="K1657" s="5" t="s">
        <v>20</v>
      </c>
      <c r="L1657" s="7" t="s">
        <v>4586</v>
      </c>
    </row>
    <row r="1658" customFormat="false" ht="15.65" hidden="false" customHeight="true" outlineLevel="0" collapsed="false">
      <c r="A1658" s="2" t="str">
        <f aca="false">HYPERLINK("https://www.fabsurplus.com/sdi_catalog/salesItemDetails.do?id=80041")</f>
        <v>https://www.fabsurplus.com/sdi_catalog/salesItemDetails.do?id=80041</v>
      </c>
      <c r="B1658" s="2" t="s">
        <v>4587</v>
      </c>
      <c r="C1658" s="2" t="s">
        <v>4565</v>
      </c>
      <c r="D1658" s="2" t="s">
        <v>4585</v>
      </c>
      <c r="E1658" s="2" t="s">
        <v>4567</v>
      </c>
      <c r="F1658" s="2" t="s">
        <v>16</v>
      </c>
      <c r="G1658" s="2" t="s">
        <v>4568</v>
      </c>
      <c r="H1658" s="2" t="s">
        <v>18</v>
      </c>
      <c r="I1658" s="2"/>
      <c r="J1658" s="2" t="s">
        <v>19</v>
      </c>
      <c r="K1658" s="2" t="s">
        <v>20</v>
      </c>
      <c r="L1658" s="4" t="s">
        <v>4588</v>
      </c>
    </row>
    <row r="1659" customFormat="false" ht="15.65" hidden="false" customHeight="true" outlineLevel="0" collapsed="false">
      <c r="A1659" s="5" t="str">
        <f aca="false">HYPERLINK("https://www.fabsurplus.com/sdi_catalog/salesItemDetails.do?id=80042")</f>
        <v>https://www.fabsurplus.com/sdi_catalog/salesItemDetails.do?id=80042</v>
      </c>
      <c r="B1659" s="5" t="s">
        <v>4589</v>
      </c>
      <c r="C1659" s="5" t="s">
        <v>4565</v>
      </c>
      <c r="D1659" s="5" t="s">
        <v>4590</v>
      </c>
      <c r="E1659" s="5" t="s">
        <v>4591</v>
      </c>
      <c r="F1659" s="5" t="s">
        <v>16</v>
      </c>
      <c r="G1659" s="5" t="s">
        <v>4568</v>
      </c>
      <c r="H1659" s="5" t="s">
        <v>18</v>
      </c>
      <c r="I1659" s="5"/>
      <c r="J1659" s="5" t="s">
        <v>19</v>
      </c>
      <c r="K1659" s="5" t="s">
        <v>20</v>
      </c>
      <c r="L1659" s="7" t="s">
        <v>4592</v>
      </c>
    </row>
    <row r="1660" customFormat="false" ht="15.65" hidden="false" customHeight="true" outlineLevel="0" collapsed="false">
      <c r="A1660" s="2" t="str">
        <f aca="false">HYPERLINK("https://www.fabsurplus.com/sdi_catalog/salesItemDetails.do?id=80045")</f>
        <v>https://www.fabsurplus.com/sdi_catalog/salesItemDetails.do?id=80045</v>
      </c>
      <c r="B1660" s="2" t="s">
        <v>4593</v>
      </c>
      <c r="C1660" s="2" t="s">
        <v>4565</v>
      </c>
      <c r="D1660" s="2" t="s">
        <v>4566</v>
      </c>
      <c r="E1660" s="2" t="s">
        <v>4591</v>
      </c>
      <c r="F1660" s="2" t="s">
        <v>16</v>
      </c>
      <c r="G1660" s="2" t="s">
        <v>4568</v>
      </c>
      <c r="H1660" s="2" t="s">
        <v>18</v>
      </c>
      <c r="I1660" s="2"/>
      <c r="J1660" s="2" t="s">
        <v>19</v>
      </c>
      <c r="K1660" s="2" t="s">
        <v>20</v>
      </c>
      <c r="L1660" s="4" t="s">
        <v>4594</v>
      </c>
    </row>
    <row r="1661" customFormat="false" ht="15.65" hidden="false" customHeight="true" outlineLevel="0" collapsed="false">
      <c r="A1661" s="5" t="str">
        <f aca="false">HYPERLINK("https://www.fabsurplus.com/sdi_catalog/salesItemDetails.do?id=80052")</f>
        <v>https://www.fabsurplus.com/sdi_catalog/salesItemDetails.do?id=80052</v>
      </c>
      <c r="B1661" s="5" t="s">
        <v>4595</v>
      </c>
      <c r="C1661" s="5" t="s">
        <v>4565</v>
      </c>
      <c r="D1661" s="5" t="s">
        <v>4596</v>
      </c>
      <c r="E1661" s="5" t="s">
        <v>4597</v>
      </c>
      <c r="F1661" s="5" t="s">
        <v>16</v>
      </c>
      <c r="G1661" s="5" t="s">
        <v>4568</v>
      </c>
      <c r="H1661" s="5" t="s">
        <v>18</v>
      </c>
      <c r="I1661" s="5"/>
      <c r="J1661" s="5" t="s">
        <v>19</v>
      </c>
      <c r="K1661" s="5" t="s">
        <v>20</v>
      </c>
      <c r="L1661" s="7" t="s">
        <v>4598</v>
      </c>
    </row>
    <row r="1662" customFormat="false" ht="15.65" hidden="false" customHeight="true" outlineLevel="0" collapsed="false">
      <c r="A1662" s="2" t="str">
        <f aca="false">HYPERLINK("https://www.fabsurplus.com/sdi_catalog/salesItemDetails.do?id=80080")</f>
        <v>https://www.fabsurplus.com/sdi_catalog/salesItemDetails.do?id=80080</v>
      </c>
      <c r="B1662" s="2" t="s">
        <v>4599</v>
      </c>
      <c r="C1662" s="2" t="s">
        <v>4565</v>
      </c>
      <c r="D1662" s="2" t="s">
        <v>4585</v>
      </c>
      <c r="E1662" s="2" t="s">
        <v>4600</v>
      </c>
      <c r="F1662" s="2" t="s">
        <v>16</v>
      </c>
      <c r="G1662" s="2" t="s">
        <v>4568</v>
      </c>
      <c r="H1662" s="2" t="s">
        <v>18</v>
      </c>
      <c r="I1662" s="2"/>
      <c r="J1662" s="2" t="s">
        <v>19</v>
      </c>
      <c r="K1662" s="2" t="s">
        <v>20</v>
      </c>
      <c r="L1662" s="4" t="s">
        <v>4601</v>
      </c>
    </row>
    <row r="1663" customFormat="false" ht="15.65" hidden="false" customHeight="true" outlineLevel="0" collapsed="false">
      <c r="A1663" s="5" t="str">
        <f aca="false">HYPERLINK("https://www.fabsurplus.com/sdi_catalog/salesItemDetails.do?id=80081")</f>
        <v>https://www.fabsurplus.com/sdi_catalog/salesItemDetails.do?id=80081</v>
      </c>
      <c r="B1663" s="5" t="s">
        <v>4602</v>
      </c>
      <c r="C1663" s="5" t="s">
        <v>4565</v>
      </c>
      <c r="D1663" s="5" t="s">
        <v>4566</v>
      </c>
      <c r="E1663" s="5" t="s">
        <v>4603</v>
      </c>
      <c r="F1663" s="5" t="s">
        <v>16</v>
      </c>
      <c r="G1663" s="5" t="s">
        <v>4568</v>
      </c>
      <c r="H1663" s="5" t="s">
        <v>18</v>
      </c>
      <c r="I1663" s="5"/>
      <c r="J1663" s="5" t="s">
        <v>19</v>
      </c>
      <c r="K1663" s="5" t="s">
        <v>20</v>
      </c>
      <c r="L1663" s="7" t="s">
        <v>4604</v>
      </c>
    </row>
    <row r="1664" customFormat="false" ht="15.65" hidden="false" customHeight="true" outlineLevel="0" collapsed="false">
      <c r="A1664" s="2" t="str">
        <f aca="false">HYPERLINK("https://www.fabsurplus.com/sdi_catalog/salesItemDetails.do?id=80082")</f>
        <v>https://www.fabsurplus.com/sdi_catalog/salesItemDetails.do?id=80082</v>
      </c>
      <c r="B1664" s="2" t="s">
        <v>4605</v>
      </c>
      <c r="C1664" s="2" t="s">
        <v>4565</v>
      </c>
      <c r="D1664" s="2" t="s">
        <v>4590</v>
      </c>
      <c r="E1664" s="2" t="s">
        <v>4597</v>
      </c>
      <c r="F1664" s="2" t="s">
        <v>16</v>
      </c>
      <c r="G1664" s="2" t="s">
        <v>4568</v>
      </c>
      <c r="H1664" s="2" t="s">
        <v>18</v>
      </c>
      <c r="I1664" s="2"/>
      <c r="J1664" s="2" t="s">
        <v>19</v>
      </c>
      <c r="K1664" s="2" t="s">
        <v>20</v>
      </c>
      <c r="L1664" s="4" t="s">
        <v>4606</v>
      </c>
    </row>
    <row r="1665" customFormat="false" ht="15.65" hidden="false" customHeight="true" outlineLevel="0" collapsed="false">
      <c r="A1665" s="5" t="str">
        <f aca="false">HYPERLINK("https://www.fabsurplus.com/sdi_catalog/salesItemDetails.do?id=80084")</f>
        <v>https://www.fabsurplus.com/sdi_catalog/salesItemDetails.do?id=80084</v>
      </c>
      <c r="B1665" s="5" t="s">
        <v>4607</v>
      </c>
      <c r="C1665" s="5" t="s">
        <v>4565</v>
      </c>
      <c r="D1665" s="5" t="s">
        <v>4566</v>
      </c>
      <c r="E1665" s="5" t="s">
        <v>4603</v>
      </c>
      <c r="F1665" s="5" t="s">
        <v>16</v>
      </c>
      <c r="G1665" s="5" t="s">
        <v>4568</v>
      </c>
      <c r="H1665" s="5" t="s">
        <v>18</v>
      </c>
      <c r="I1665" s="5"/>
      <c r="J1665" s="5" t="s">
        <v>19</v>
      </c>
      <c r="K1665" s="5" t="s">
        <v>20</v>
      </c>
      <c r="L1665" s="7" t="s">
        <v>4608</v>
      </c>
    </row>
    <row r="1666" customFormat="false" ht="15.65" hidden="false" customHeight="true" outlineLevel="0" collapsed="false">
      <c r="A1666" s="2" t="str">
        <f aca="false">HYPERLINK("https://www.fabsurplus.com/sdi_catalog/salesItemDetails.do?id=80033")</f>
        <v>https://www.fabsurplus.com/sdi_catalog/salesItemDetails.do?id=80033</v>
      </c>
      <c r="B1666" s="2" t="s">
        <v>4609</v>
      </c>
      <c r="C1666" s="2" t="s">
        <v>4610</v>
      </c>
      <c r="D1666" s="2" t="s">
        <v>4611</v>
      </c>
      <c r="E1666" s="2" t="s">
        <v>4612</v>
      </c>
      <c r="F1666" s="2" t="s">
        <v>4613</v>
      </c>
      <c r="G1666" s="2" t="s">
        <v>4568</v>
      </c>
      <c r="H1666" s="2" t="s">
        <v>98</v>
      </c>
      <c r="I1666" s="2"/>
      <c r="J1666" s="2" t="s">
        <v>19</v>
      </c>
      <c r="K1666" s="2" t="s">
        <v>20</v>
      </c>
      <c r="L1666" s="4" t="s">
        <v>4614</v>
      </c>
    </row>
    <row r="1667" customFormat="false" ht="15.65" hidden="false" customHeight="true" outlineLevel="0" collapsed="false">
      <c r="A1667" s="5" t="str">
        <f aca="false">HYPERLINK("https://www.fabsurplus.com/sdi_catalog/salesItemDetails.do?id=106200")</f>
        <v>https://www.fabsurplus.com/sdi_catalog/salesItemDetails.do?id=106200</v>
      </c>
      <c r="B1667" s="5" t="s">
        <v>4615</v>
      </c>
      <c r="C1667" s="5" t="s">
        <v>4616</v>
      </c>
      <c r="D1667" s="5" t="s">
        <v>4617</v>
      </c>
      <c r="E1667" s="5" t="s">
        <v>4618</v>
      </c>
      <c r="F1667" s="5" t="s">
        <v>16</v>
      </c>
      <c r="G1667" s="5" t="s">
        <v>3031</v>
      </c>
      <c r="H1667" s="5" t="s">
        <v>18</v>
      </c>
      <c r="I1667" s="6" t="n">
        <v>36678</v>
      </c>
      <c r="J1667" s="5" t="s">
        <v>19</v>
      </c>
      <c r="K1667" s="5" t="s">
        <v>20</v>
      </c>
      <c r="L1667" s="7" t="s">
        <v>4619</v>
      </c>
    </row>
    <row r="1668" customFormat="false" ht="15.65" hidden="false" customHeight="true" outlineLevel="0" collapsed="false">
      <c r="A1668" s="2" t="str">
        <f aca="false">HYPERLINK("https://www.fabsurplus.com/sdi_catalog/salesItemDetails.do?id=82180")</f>
        <v>https://www.fabsurplus.com/sdi_catalog/salesItemDetails.do?id=82180</v>
      </c>
      <c r="B1668" s="2" t="s">
        <v>4620</v>
      </c>
      <c r="C1668" s="2" t="s">
        <v>4621</v>
      </c>
      <c r="D1668" s="2" t="s">
        <v>4622</v>
      </c>
      <c r="E1668" s="2" t="s">
        <v>4623</v>
      </c>
      <c r="F1668" s="2" t="s">
        <v>16</v>
      </c>
      <c r="G1668" s="2"/>
      <c r="H1668" s="2" t="s">
        <v>18</v>
      </c>
      <c r="I1668" s="2"/>
      <c r="J1668" s="2" t="s">
        <v>19</v>
      </c>
      <c r="K1668" s="2" t="s">
        <v>20</v>
      </c>
      <c r="L1668" s="4" t="s">
        <v>4624</v>
      </c>
    </row>
    <row r="1669" customFormat="false" ht="15.65" hidden="false" customHeight="true" outlineLevel="0" collapsed="false">
      <c r="A1669" s="5" t="str">
        <f aca="false">HYPERLINK("https://www.fabsurplus.com/sdi_catalog/salesItemDetails.do?id=109572")</f>
        <v>https://www.fabsurplus.com/sdi_catalog/salesItemDetails.do?id=109572</v>
      </c>
      <c r="B1669" s="5" t="s">
        <v>4625</v>
      </c>
      <c r="C1669" s="5" t="s">
        <v>4626</v>
      </c>
      <c r="D1669" s="5" t="s">
        <v>4627</v>
      </c>
      <c r="E1669" s="5" t="s">
        <v>1327</v>
      </c>
      <c r="F1669" s="5" t="s">
        <v>4628</v>
      </c>
      <c r="G1669" s="5" t="s">
        <v>141</v>
      </c>
      <c r="H1669" s="5" t="s">
        <v>32</v>
      </c>
      <c r="I1669" s="5"/>
      <c r="J1669" s="5" t="s">
        <v>19</v>
      </c>
      <c r="K1669" s="5" t="s">
        <v>20</v>
      </c>
      <c r="L1669" s="7" t="s">
        <v>1329</v>
      </c>
    </row>
    <row r="1670" customFormat="false" ht="15.65" hidden="false" customHeight="true" outlineLevel="0" collapsed="false">
      <c r="A1670" s="2" t="str">
        <f aca="false">HYPERLINK("https://www.fabsurplus.com/sdi_catalog/salesItemDetails.do?id=109573")</f>
        <v>https://www.fabsurplus.com/sdi_catalog/salesItemDetails.do?id=109573</v>
      </c>
      <c r="B1670" s="2" t="s">
        <v>4629</v>
      </c>
      <c r="C1670" s="2" t="s">
        <v>4626</v>
      </c>
      <c r="D1670" s="2" t="s">
        <v>4630</v>
      </c>
      <c r="E1670" s="2" t="s">
        <v>1327</v>
      </c>
      <c r="F1670" s="2" t="s">
        <v>3840</v>
      </c>
      <c r="G1670" s="2" t="s">
        <v>141</v>
      </c>
      <c r="H1670" s="2" t="s">
        <v>32</v>
      </c>
      <c r="I1670" s="2"/>
      <c r="J1670" s="2" t="s">
        <v>19</v>
      </c>
      <c r="K1670" s="2" t="s">
        <v>20</v>
      </c>
      <c r="L1670" s="4" t="s">
        <v>1329</v>
      </c>
    </row>
    <row r="1671" customFormat="false" ht="15.65" hidden="false" customHeight="true" outlineLevel="0" collapsed="false">
      <c r="A1671" s="5" t="str">
        <f aca="false">HYPERLINK("https://www.fabsurplus.com/sdi_catalog/salesItemDetails.do?id=98059")</f>
        <v>https://www.fabsurplus.com/sdi_catalog/salesItemDetails.do?id=98059</v>
      </c>
      <c r="B1671" s="5" t="s">
        <v>4631</v>
      </c>
      <c r="C1671" s="5" t="s">
        <v>4626</v>
      </c>
      <c r="D1671" s="5" t="s">
        <v>4632</v>
      </c>
      <c r="E1671" s="5" t="s">
        <v>4633</v>
      </c>
      <c r="F1671" s="5" t="s">
        <v>16</v>
      </c>
      <c r="G1671" s="5"/>
      <c r="H1671" s="5" t="s">
        <v>32</v>
      </c>
      <c r="I1671" s="5"/>
      <c r="J1671" s="5" t="s">
        <v>19</v>
      </c>
      <c r="K1671" s="5" t="s">
        <v>20</v>
      </c>
      <c r="L1671" s="5"/>
    </row>
    <row r="1672" customFormat="false" ht="15.65" hidden="false" customHeight="true" outlineLevel="0" collapsed="false">
      <c r="A1672" s="2" t="str">
        <f aca="false">HYPERLINK("https://www.fabsurplus.com/sdi_catalog/salesItemDetails.do?id=98060")</f>
        <v>https://www.fabsurplus.com/sdi_catalog/salesItemDetails.do?id=98060</v>
      </c>
      <c r="B1672" s="2" t="s">
        <v>4634</v>
      </c>
      <c r="C1672" s="2" t="s">
        <v>4626</v>
      </c>
      <c r="D1672" s="2" t="s">
        <v>4635</v>
      </c>
      <c r="E1672" s="2" t="s">
        <v>4633</v>
      </c>
      <c r="F1672" s="2" t="s">
        <v>16</v>
      </c>
      <c r="G1672" s="2"/>
      <c r="H1672" s="2" t="s">
        <v>32</v>
      </c>
      <c r="I1672" s="2"/>
      <c r="J1672" s="2" t="s">
        <v>19</v>
      </c>
      <c r="K1672" s="2" t="s">
        <v>20</v>
      </c>
      <c r="L1672" s="2"/>
    </row>
    <row r="1673" customFormat="false" ht="15.65" hidden="false" customHeight="true" outlineLevel="0" collapsed="false">
      <c r="A1673" s="5" t="str">
        <f aca="false">HYPERLINK("https://www.fabsurplus.com/sdi_catalog/salesItemDetails.do?id=108812")</f>
        <v>https://www.fabsurplus.com/sdi_catalog/salesItemDetails.do?id=108812</v>
      </c>
      <c r="B1673" s="5" t="s">
        <v>4636</v>
      </c>
      <c r="C1673" s="5" t="s">
        <v>4626</v>
      </c>
      <c r="D1673" s="5" t="s">
        <v>4637</v>
      </c>
      <c r="E1673" s="5" t="s">
        <v>4638</v>
      </c>
      <c r="F1673" s="5" t="s">
        <v>16</v>
      </c>
      <c r="G1673" s="5" t="s">
        <v>141</v>
      </c>
      <c r="H1673" s="5"/>
      <c r="I1673" s="5"/>
      <c r="J1673" s="5" t="s">
        <v>42</v>
      </c>
      <c r="K1673" s="5"/>
      <c r="L1673" s="5" t="s">
        <v>131</v>
      </c>
    </row>
    <row r="1674" customFormat="false" ht="15.65" hidden="false" customHeight="true" outlineLevel="0" collapsed="false">
      <c r="A1674" s="2" t="str">
        <f aca="false">HYPERLINK("https://www.fabsurplus.com/sdi_catalog/salesItemDetails.do?id=108813")</f>
        <v>https://www.fabsurplus.com/sdi_catalog/salesItemDetails.do?id=108813</v>
      </c>
      <c r="B1674" s="2" t="s">
        <v>4639</v>
      </c>
      <c r="C1674" s="2" t="s">
        <v>4626</v>
      </c>
      <c r="D1674" s="2" t="s">
        <v>4640</v>
      </c>
      <c r="E1674" s="2" t="s">
        <v>4638</v>
      </c>
      <c r="F1674" s="2" t="s">
        <v>16</v>
      </c>
      <c r="G1674" s="2" t="s">
        <v>141</v>
      </c>
      <c r="H1674" s="2"/>
      <c r="I1674" s="2"/>
      <c r="J1674" s="2" t="s">
        <v>42</v>
      </c>
      <c r="K1674" s="2"/>
      <c r="L1674" s="2" t="s">
        <v>131</v>
      </c>
    </row>
    <row r="1675" customFormat="false" ht="15.65" hidden="false" customHeight="true" outlineLevel="0" collapsed="false">
      <c r="A1675" s="5" t="str">
        <f aca="false">HYPERLINK("https://www.fabsurplus.com/sdi_catalog/salesItemDetails.do?id=108814")</f>
        <v>https://www.fabsurplus.com/sdi_catalog/salesItemDetails.do?id=108814</v>
      </c>
      <c r="B1675" s="5" t="s">
        <v>4641</v>
      </c>
      <c r="C1675" s="5" t="s">
        <v>4626</v>
      </c>
      <c r="D1675" s="5" t="s">
        <v>4642</v>
      </c>
      <c r="E1675" s="5" t="s">
        <v>4643</v>
      </c>
      <c r="F1675" s="5" t="s">
        <v>16</v>
      </c>
      <c r="G1675" s="5" t="s">
        <v>141</v>
      </c>
      <c r="H1675" s="5"/>
      <c r="I1675" s="5"/>
      <c r="J1675" s="5" t="s">
        <v>42</v>
      </c>
      <c r="K1675" s="5"/>
      <c r="L1675" s="5" t="s">
        <v>131</v>
      </c>
    </row>
    <row r="1676" customFormat="false" ht="15.65" hidden="false" customHeight="true" outlineLevel="0" collapsed="false">
      <c r="A1676" s="2" t="str">
        <f aca="false">HYPERLINK("https://www.fabsurplus.com/sdi_catalog/salesItemDetails.do?id=108564")</f>
        <v>https://www.fabsurplus.com/sdi_catalog/salesItemDetails.do?id=108564</v>
      </c>
      <c r="B1676" s="2" t="s">
        <v>4644</v>
      </c>
      <c r="C1676" s="2" t="s">
        <v>4621</v>
      </c>
      <c r="D1676" s="2" t="s">
        <v>4645</v>
      </c>
      <c r="E1676" s="2" t="s">
        <v>4638</v>
      </c>
      <c r="F1676" s="2" t="s">
        <v>16</v>
      </c>
      <c r="G1676" s="2" t="s">
        <v>159</v>
      </c>
      <c r="H1676" s="2" t="s">
        <v>18</v>
      </c>
      <c r="I1676" s="2"/>
      <c r="J1676" s="2" t="s">
        <v>19</v>
      </c>
      <c r="K1676" s="2" t="s">
        <v>20</v>
      </c>
      <c r="L1676" s="4" t="s">
        <v>2252</v>
      </c>
    </row>
    <row r="1677" customFormat="false" ht="15.65" hidden="false" customHeight="true" outlineLevel="0" collapsed="false">
      <c r="A1677" s="5" t="str">
        <f aca="false">HYPERLINK("https://www.fabsurplus.com/sdi_catalog/salesItemDetails.do?id=97081")</f>
        <v>https://www.fabsurplus.com/sdi_catalog/salesItemDetails.do?id=97081</v>
      </c>
      <c r="B1677" s="5" t="s">
        <v>4646</v>
      </c>
      <c r="C1677" s="5" t="s">
        <v>4626</v>
      </c>
      <c r="D1677" s="5" t="s">
        <v>4647</v>
      </c>
      <c r="E1677" s="5" t="s">
        <v>4648</v>
      </c>
      <c r="F1677" s="5" t="s">
        <v>151</v>
      </c>
      <c r="G1677" s="5" t="s">
        <v>141</v>
      </c>
      <c r="H1677" s="5" t="s">
        <v>32</v>
      </c>
      <c r="I1677" s="6" t="n">
        <v>39873</v>
      </c>
      <c r="J1677" s="5" t="s">
        <v>42</v>
      </c>
      <c r="K1677" s="5" t="s">
        <v>20</v>
      </c>
      <c r="L1677" s="5" t="s">
        <v>4649</v>
      </c>
    </row>
    <row r="1678" customFormat="false" ht="15.65" hidden="false" customHeight="true" outlineLevel="0" collapsed="false">
      <c r="A1678" s="2" t="str">
        <f aca="false">HYPERLINK("https://www.fabsurplus.com/sdi_catalog/salesItemDetails.do?id=97082")</f>
        <v>https://www.fabsurplus.com/sdi_catalog/salesItemDetails.do?id=97082</v>
      </c>
      <c r="B1678" s="2" t="s">
        <v>4650</v>
      </c>
      <c r="C1678" s="2" t="s">
        <v>4626</v>
      </c>
      <c r="D1678" s="2" t="s">
        <v>4651</v>
      </c>
      <c r="E1678" s="2" t="s">
        <v>4648</v>
      </c>
      <c r="F1678" s="2" t="s">
        <v>16</v>
      </c>
      <c r="G1678" s="2" t="s">
        <v>141</v>
      </c>
      <c r="H1678" s="2" t="s">
        <v>32</v>
      </c>
      <c r="I1678" s="3" t="n">
        <v>39845</v>
      </c>
      <c r="J1678" s="2" t="s">
        <v>42</v>
      </c>
      <c r="K1678" s="2" t="s">
        <v>20</v>
      </c>
      <c r="L1678" s="2" t="s">
        <v>4652</v>
      </c>
    </row>
    <row r="1679" customFormat="false" ht="15.65" hidden="false" customHeight="true" outlineLevel="0" collapsed="false">
      <c r="A1679" s="5" t="str">
        <f aca="false">HYPERLINK("https://www.fabsurplus.com/sdi_catalog/salesItemDetails.do?id=97083")</f>
        <v>https://www.fabsurplus.com/sdi_catalog/salesItemDetails.do?id=97083</v>
      </c>
      <c r="B1679" s="5" t="s">
        <v>4653</v>
      </c>
      <c r="C1679" s="5" t="s">
        <v>4626</v>
      </c>
      <c r="D1679" s="5" t="s">
        <v>4654</v>
      </c>
      <c r="E1679" s="5" t="s">
        <v>4655</v>
      </c>
      <c r="F1679" s="5" t="s">
        <v>16</v>
      </c>
      <c r="G1679" s="5" t="s">
        <v>141</v>
      </c>
      <c r="H1679" s="5" t="s">
        <v>32</v>
      </c>
      <c r="I1679" s="6" t="n">
        <v>41699</v>
      </c>
      <c r="J1679" s="5" t="s">
        <v>42</v>
      </c>
      <c r="K1679" s="5"/>
      <c r="L1679" s="5" t="s">
        <v>4656</v>
      </c>
    </row>
    <row r="1680" customFormat="false" ht="15.65" hidden="false" customHeight="true" outlineLevel="0" collapsed="false">
      <c r="A1680" s="2" t="str">
        <f aca="false">HYPERLINK("https://www.fabsurplus.com/sdi_catalog/salesItemDetails.do?id=95559")</f>
        <v>https://www.fabsurplus.com/sdi_catalog/salesItemDetails.do?id=95559</v>
      </c>
      <c r="B1680" s="2" t="s">
        <v>4657</v>
      </c>
      <c r="C1680" s="2" t="s">
        <v>4621</v>
      </c>
      <c r="D1680" s="2" t="s">
        <v>4658</v>
      </c>
      <c r="E1680" s="2" t="s">
        <v>4659</v>
      </c>
      <c r="F1680" s="2" t="s">
        <v>16</v>
      </c>
      <c r="G1680" s="2" t="s">
        <v>159</v>
      </c>
      <c r="H1680" s="2" t="s">
        <v>18</v>
      </c>
      <c r="I1680" s="3" t="n">
        <v>36647</v>
      </c>
      <c r="J1680" s="2" t="s">
        <v>19</v>
      </c>
      <c r="K1680" s="2" t="s">
        <v>20</v>
      </c>
      <c r="L1680" s="4" t="s">
        <v>4660</v>
      </c>
    </row>
    <row r="1681" customFormat="false" ht="15.65" hidden="false" customHeight="true" outlineLevel="0" collapsed="false">
      <c r="A1681" s="5" t="str">
        <f aca="false">HYPERLINK("https://www.fabsurplus.com/sdi_catalog/salesItemDetails.do?id=108623")</f>
        <v>https://www.fabsurplus.com/sdi_catalog/salesItemDetails.do?id=108623</v>
      </c>
      <c r="B1681" s="5" t="s">
        <v>4661</v>
      </c>
      <c r="C1681" s="5" t="s">
        <v>4626</v>
      </c>
      <c r="D1681" s="5" t="s">
        <v>4662</v>
      </c>
      <c r="E1681" s="5" t="s">
        <v>140</v>
      </c>
      <c r="F1681" s="5" t="s">
        <v>86</v>
      </c>
      <c r="G1681" s="5" t="s">
        <v>141</v>
      </c>
      <c r="H1681" s="5"/>
      <c r="I1681" s="5"/>
      <c r="J1681" s="5" t="s">
        <v>19</v>
      </c>
      <c r="K1681" s="5"/>
      <c r="L1681" s="5" t="s">
        <v>142</v>
      </c>
    </row>
    <row r="1682" customFormat="false" ht="15.65" hidden="false" customHeight="true" outlineLevel="0" collapsed="false">
      <c r="A1682" s="2" t="str">
        <f aca="false">HYPERLINK("https://www.fabsurplus.com/sdi_catalog/salesItemDetails.do?id=108624")</f>
        <v>https://www.fabsurplus.com/sdi_catalog/salesItemDetails.do?id=108624</v>
      </c>
      <c r="B1682" s="2" t="s">
        <v>4663</v>
      </c>
      <c r="C1682" s="2" t="s">
        <v>4626</v>
      </c>
      <c r="D1682" s="2" t="s">
        <v>4664</v>
      </c>
      <c r="E1682" s="2" t="s">
        <v>140</v>
      </c>
      <c r="F1682" s="2" t="s">
        <v>86</v>
      </c>
      <c r="G1682" s="2" t="s">
        <v>141</v>
      </c>
      <c r="H1682" s="2"/>
      <c r="I1682" s="2"/>
      <c r="J1682" s="2" t="s">
        <v>19</v>
      </c>
      <c r="K1682" s="2"/>
      <c r="L1682" s="2" t="s">
        <v>142</v>
      </c>
    </row>
    <row r="1683" customFormat="false" ht="15.65" hidden="false" customHeight="true" outlineLevel="0" collapsed="false">
      <c r="A1683" s="5" t="str">
        <f aca="false">HYPERLINK("https://www.fabsurplus.com/sdi_catalog/salesItemDetails.do?id=108625")</f>
        <v>https://www.fabsurplus.com/sdi_catalog/salesItemDetails.do?id=108625</v>
      </c>
      <c r="B1683" s="5" t="s">
        <v>4665</v>
      </c>
      <c r="C1683" s="5" t="s">
        <v>4626</v>
      </c>
      <c r="D1683" s="5" t="s">
        <v>4666</v>
      </c>
      <c r="E1683" s="5" t="s">
        <v>140</v>
      </c>
      <c r="F1683" s="5" t="s">
        <v>16</v>
      </c>
      <c r="G1683" s="5" t="s">
        <v>141</v>
      </c>
      <c r="H1683" s="5"/>
      <c r="I1683" s="5"/>
      <c r="J1683" s="5" t="s">
        <v>19</v>
      </c>
      <c r="K1683" s="5"/>
      <c r="L1683" s="5" t="s">
        <v>142</v>
      </c>
    </row>
    <row r="1684" customFormat="false" ht="15.65" hidden="false" customHeight="true" outlineLevel="0" collapsed="false">
      <c r="A1684" s="2" t="str">
        <f aca="false">HYPERLINK("https://www.fabsurplus.com/sdi_catalog/salesItemDetails.do?id=108626")</f>
        <v>https://www.fabsurplus.com/sdi_catalog/salesItemDetails.do?id=108626</v>
      </c>
      <c r="B1684" s="2" t="s">
        <v>4667</v>
      </c>
      <c r="C1684" s="2" t="s">
        <v>4626</v>
      </c>
      <c r="D1684" s="2" t="s">
        <v>4668</v>
      </c>
      <c r="E1684" s="2" t="s">
        <v>140</v>
      </c>
      <c r="F1684" s="2" t="s">
        <v>321</v>
      </c>
      <c r="G1684" s="2" t="s">
        <v>141</v>
      </c>
      <c r="H1684" s="2"/>
      <c r="I1684" s="2"/>
      <c r="J1684" s="2" t="s">
        <v>19</v>
      </c>
      <c r="K1684" s="2"/>
      <c r="L1684" s="2" t="s">
        <v>142</v>
      </c>
    </row>
    <row r="1685" customFormat="false" ht="15.65" hidden="false" customHeight="true" outlineLevel="0" collapsed="false">
      <c r="A1685" s="5" t="str">
        <f aca="false">HYPERLINK("https://www.fabsurplus.com/sdi_catalog/salesItemDetails.do?id=108627")</f>
        <v>https://www.fabsurplus.com/sdi_catalog/salesItemDetails.do?id=108627</v>
      </c>
      <c r="B1685" s="5" t="s">
        <v>4669</v>
      </c>
      <c r="C1685" s="5" t="s">
        <v>4626</v>
      </c>
      <c r="D1685" s="5" t="s">
        <v>4670</v>
      </c>
      <c r="E1685" s="5" t="s">
        <v>140</v>
      </c>
      <c r="F1685" s="5" t="s">
        <v>4671</v>
      </c>
      <c r="G1685" s="5" t="s">
        <v>141</v>
      </c>
      <c r="H1685" s="5"/>
      <c r="I1685" s="5"/>
      <c r="J1685" s="5" t="s">
        <v>19</v>
      </c>
      <c r="K1685" s="5"/>
      <c r="L1685" s="5" t="s">
        <v>142</v>
      </c>
    </row>
    <row r="1686" customFormat="false" ht="15.65" hidden="false" customHeight="true" outlineLevel="0" collapsed="false">
      <c r="A1686" s="2" t="str">
        <f aca="false">HYPERLINK("https://www.fabsurplus.com/sdi_catalog/salesItemDetails.do?id=108628")</f>
        <v>https://www.fabsurplus.com/sdi_catalog/salesItemDetails.do?id=108628</v>
      </c>
      <c r="B1686" s="2" t="s">
        <v>4672</v>
      </c>
      <c r="C1686" s="2" t="s">
        <v>4626</v>
      </c>
      <c r="D1686" s="2" t="s">
        <v>4673</v>
      </c>
      <c r="E1686" s="2" t="s">
        <v>140</v>
      </c>
      <c r="F1686" s="2" t="s">
        <v>16</v>
      </c>
      <c r="G1686" s="2" t="s">
        <v>141</v>
      </c>
      <c r="H1686" s="2"/>
      <c r="I1686" s="2"/>
      <c r="J1686" s="2" t="s">
        <v>19</v>
      </c>
      <c r="K1686" s="2"/>
      <c r="L1686" s="2" t="s">
        <v>142</v>
      </c>
    </row>
    <row r="1687" customFormat="false" ht="15.65" hidden="false" customHeight="true" outlineLevel="0" collapsed="false">
      <c r="A1687" s="5" t="str">
        <f aca="false">HYPERLINK("https://www.fabsurplus.com/sdi_catalog/salesItemDetails.do?id=108629")</f>
        <v>https://www.fabsurplus.com/sdi_catalog/salesItemDetails.do?id=108629</v>
      </c>
      <c r="B1687" s="5" t="s">
        <v>4674</v>
      </c>
      <c r="C1687" s="5" t="s">
        <v>4626</v>
      </c>
      <c r="D1687" s="5" t="s">
        <v>4675</v>
      </c>
      <c r="E1687" s="5" t="s">
        <v>140</v>
      </c>
      <c r="F1687" s="5" t="s">
        <v>16</v>
      </c>
      <c r="G1687" s="5" t="s">
        <v>141</v>
      </c>
      <c r="H1687" s="5"/>
      <c r="I1687" s="5"/>
      <c r="J1687" s="5" t="s">
        <v>19</v>
      </c>
      <c r="K1687" s="5"/>
      <c r="L1687" s="5" t="s">
        <v>142</v>
      </c>
    </row>
    <row r="1688" customFormat="false" ht="15.65" hidden="false" customHeight="true" outlineLevel="0" collapsed="false">
      <c r="A1688" s="2" t="str">
        <f aca="false">HYPERLINK("https://www.fabsurplus.com/sdi_catalog/salesItemDetails.do?id=108630")</f>
        <v>https://www.fabsurplus.com/sdi_catalog/salesItemDetails.do?id=108630</v>
      </c>
      <c r="B1688" s="2" t="s">
        <v>4676</v>
      </c>
      <c r="C1688" s="2" t="s">
        <v>4626</v>
      </c>
      <c r="D1688" s="2" t="s">
        <v>4677</v>
      </c>
      <c r="E1688" s="2" t="s">
        <v>140</v>
      </c>
      <c r="F1688" s="2" t="s">
        <v>86</v>
      </c>
      <c r="G1688" s="2" t="s">
        <v>141</v>
      </c>
      <c r="H1688" s="2"/>
      <c r="I1688" s="2"/>
      <c r="J1688" s="2" t="s">
        <v>19</v>
      </c>
      <c r="K1688" s="2"/>
      <c r="L1688" s="2" t="s">
        <v>142</v>
      </c>
    </row>
    <row r="1689" customFormat="false" ht="15.65" hidden="false" customHeight="true" outlineLevel="0" collapsed="false">
      <c r="A1689" s="5" t="str">
        <f aca="false">HYPERLINK("https://www.fabsurplus.com/sdi_catalog/salesItemDetails.do?id=108631")</f>
        <v>https://www.fabsurplus.com/sdi_catalog/salesItemDetails.do?id=108631</v>
      </c>
      <c r="B1689" s="5" t="s">
        <v>4678</v>
      </c>
      <c r="C1689" s="5" t="s">
        <v>4626</v>
      </c>
      <c r="D1689" s="5" t="s">
        <v>4679</v>
      </c>
      <c r="E1689" s="5" t="s">
        <v>140</v>
      </c>
      <c r="F1689" s="5" t="s">
        <v>145</v>
      </c>
      <c r="G1689" s="5" t="s">
        <v>141</v>
      </c>
      <c r="H1689" s="5"/>
      <c r="I1689" s="5"/>
      <c r="J1689" s="5" t="s">
        <v>19</v>
      </c>
      <c r="K1689" s="5"/>
      <c r="L1689" s="5" t="s">
        <v>142</v>
      </c>
    </row>
    <row r="1690" customFormat="false" ht="15.65" hidden="false" customHeight="true" outlineLevel="0" collapsed="false">
      <c r="A1690" s="2" t="str">
        <f aca="false">HYPERLINK("https://www.fabsurplus.com/sdi_catalog/salesItemDetails.do?id=108632")</f>
        <v>https://www.fabsurplus.com/sdi_catalog/salesItemDetails.do?id=108632</v>
      </c>
      <c r="B1690" s="2" t="s">
        <v>4680</v>
      </c>
      <c r="C1690" s="2" t="s">
        <v>4626</v>
      </c>
      <c r="D1690" s="2" t="s">
        <v>4681</v>
      </c>
      <c r="E1690" s="2" t="s">
        <v>140</v>
      </c>
      <c r="F1690" s="2" t="s">
        <v>86</v>
      </c>
      <c r="G1690" s="2" t="s">
        <v>141</v>
      </c>
      <c r="H1690" s="2"/>
      <c r="I1690" s="2"/>
      <c r="J1690" s="2" t="s">
        <v>19</v>
      </c>
      <c r="K1690" s="2"/>
      <c r="L1690" s="2" t="s">
        <v>142</v>
      </c>
    </row>
    <row r="1691" customFormat="false" ht="15.65" hidden="false" customHeight="true" outlineLevel="0" collapsed="false">
      <c r="A1691" s="5" t="str">
        <f aca="false">HYPERLINK("https://www.fabsurplus.com/sdi_catalog/salesItemDetails.do?id=108633")</f>
        <v>https://www.fabsurplus.com/sdi_catalog/salesItemDetails.do?id=108633</v>
      </c>
      <c r="B1691" s="5" t="s">
        <v>4682</v>
      </c>
      <c r="C1691" s="5" t="s">
        <v>4626</v>
      </c>
      <c r="D1691" s="5" t="s">
        <v>4683</v>
      </c>
      <c r="E1691" s="5" t="s">
        <v>140</v>
      </c>
      <c r="F1691" s="5" t="s">
        <v>78</v>
      </c>
      <c r="G1691" s="5" t="s">
        <v>141</v>
      </c>
      <c r="H1691" s="5"/>
      <c r="I1691" s="5"/>
      <c r="J1691" s="5" t="s">
        <v>19</v>
      </c>
      <c r="K1691" s="5"/>
      <c r="L1691" s="5" t="s">
        <v>142</v>
      </c>
    </row>
    <row r="1692" customFormat="false" ht="15.65" hidden="false" customHeight="true" outlineLevel="0" collapsed="false">
      <c r="A1692" s="2" t="str">
        <f aca="false">HYPERLINK("https://www.fabsurplus.com/sdi_catalog/salesItemDetails.do?id=108634")</f>
        <v>https://www.fabsurplus.com/sdi_catalog/salesItemDetails.do?id=108634</v>
      </c>
      <c r="B1692" s="2" t="s">
        <v>4684</v>
      </c>
      <c r="C1692" s="2" t="s">
        <v>4626</v>
      </c>
      <c r="D1692" s="2" t="s">
        <v>4685</v>
      </c>
      <c r="E1692" s="2" t="s">
        <v>140</v>
      </c>
      <c r="F1692" s="2" t="s">
        <v>16</v>
      </c>
      <c r="G1692" s="2" t="s">
        <v>141</v>
      </c>
      <c r="H1692" s="2"/>
      <c r="I1692" s="2"/>
      <c r="J1692" s="2" t="s">
        <v>19</v>
      </c>
      <c r="K1692" s="2"/>
      <c r="L1692" s="2" t="s">
        <v>142</v>
      </c>
    </row>
    <row r="1693" customFormat="false" ht="15.65" hidden="false" customHeight="true" outlineLevel="0" collapsed="false">
      <c r="A1693" s="5" t="str">
        <f aca="false">HYPERLINK("https://www.fabsurplus.com/sdi_catalog/salesItemDetails.do?id=108635")</f>
        <v>https://www.fabsurplus.com/sdi_catalog/salesItemDetails.do?id=108635</v>
      </c>
      <c r="B1693" s="5" t="s">
        <v>4686</v>
      </c>
      <c r="C1693" s="5" t="s">
        <v>4626</v>
      </c>
      <c r="D1693" s="5" t="s">
        <v>4687</v>
      </c>
      <c r="E1693" s="5" t="s">
        <v>140</v>
      </c>
      <c r="F1693" s="5" t="s">
        <v>16</v>
      </c>
      <c r="G1693" s="5" t="s">
        <v>141</v>
      </c>
      <c r="H1693" s="5"/>
      <c r="I1693" s="5"/>
      <c r="J1693" s="5" t="s">
        <v>19</v>
      </c>
      <c r="K1693" s="5"/>
      <c r="L1693" s="5" t="s">
        <v>142</v>
      </c>
    </row>
    <row r="1694" customFormat="false" ht="15.65" hidden="false" customHeight="true" outlineLevel="0" collapsed="false">
      <c r="A1694" s="2" t="str">
        <f aca="false">HYPERLINK("https://www.fabsurplus.com/sdi_catalog/salesItemDetails.do?id=83582")</f>
        <v>https://www.fabsurplus.com/sdi_catalog/salesItemDetails.do?id=83582</v>
      </c>
      <c r="B1694" s="2" t="s">
        <v>4688</v>
      </c>
      <c r="C1694" s="2" t="s">
        <v>4626</v>
      </c>
      <c r="D1694" s="2" t="s">
        <v>4689</v>
      </c>
      <c r="E1694" s="2" t="s">
        <v>4690</v>
      </c>
      <c r="F1694" s="2" t="s">
        <v>16</v>
      </c>
      <c r="G1694" s="2"/>
      <c r="H1694" s="2" t="s">
        <v>18</v>
      </c>
      <c r="I1694" s="2"/>
      <c r="J1694" s="2" t="s">
        <v>19</v>
      </c>
      <c r="K1694" s="2" t="s">
        <v>20</v>
      </c>
      <c r="L1694" s="4" t="s">
        <v>4691</v>
      </c>
    </row>
    <row r="1695" customFormat="false" ht="15.65" hidden="false" customHeight="true" outlineLevel="0" collapsed="false">
      <c r="A1695" s="5" t="str">
        <f aca="false">HYPERLINK("https://www.fabsurplus.com/sdi_catalog/salesItemDetails.do?id=106879")</f>
        <v>https://www.fabsurplus.com/sdi_catalog/salesItemDetails.do?id=106879</v>
      </c>
      <c r="B1695" s="5" t="s">
        <v>4692</v>
      </c>
      <c r="C1695" s="5" t="s">
        <v>4621</v>
      </c>
      <c r="D1695" s="5" t="s">
        <v>4693</v>
      </c>
      <c r="E1695" s="5" t="s">
        <v>140</v>
      </c>
      <c r="F1695" s="5" t="s">
        <v>16</v>
      </c>
      <c r="G1695" s="5" t="s">
        <v>159</v>
      </c>
      <c r="H1695" s="5" t="s">
        <v>18</v>
      </c>
      <c r="I1695" s="6" t="n">
        <v>42156</v>
      </c>
      <c r="J1695" s="5" t="s">
        <v>19</v>
      </c>
      <c r="K1695" s="5" t="s">
        <v>20</v>
      </c>
      <c r="L1695" s="7" t="s">
        <v>4694</v>
      </c>
    </row>
    <row r="1696" customFormat="false" ht="15.65" hidden="false" customHeight="true" outlineLevel="0" collapsed="false">
      <c r="A1696" s="2" t="str">
        <f aca="false">HYPERLINK("https://www.fabsurplus.com/sdi_catalog/salesItemDetails.do?id=106880")</f>
        <v>https://www.fabsurplus.com/sdi_catalog/salesItemDetails.do?id=106880</v>
      </c>
      <c r="B1696" s="2" t="s">
        <v>4695</v>
      </c>
      <c r="C1696" s="2" t="s">
        <v>4621</v>
      </c>
      <c r="D1696" s="2" t="s">
        <v>4635</v>
      </c>
      <c r="E1696" s="2" t="s">
        <v>140</v>
      </c>
      <c r="F1696" s="2" t="s">
        <v>16</v>
      </c>
      <c r="G1696" s="2" t="s">
        <v>159</v>
      </c>
      <c r="H1696" s="2" t="s">
        <v>18</v>
      </c>
      <c r="I1696" s="3" t="n">
        <v>42156</v>
      </c>
      <c r="J1696" s="2" t="s">
        <v>19</v>
      </c>
      <c r="K1696" s="2" t="s">
        <v>20</v>
      </c>
      <c r="L1696" s="4" t="s">
        <v>4694</v>
      </c>
    </row>
    <row r="1697" customFormat="false" ht="15.65" hidden="false" customHeight="true" outlineLevel="0" collapsed="false">
      <c r="A1697" s="5" t="str">
        <f aca="false">HYPERLINK("https://www.fabsurplus.com/sdi_catalog/salesItemDetails.do?id=106881")</f>
        <v>https://www.fabsurplus.com/sdi_catalog/salesItemDetails.do?id=106881</v>
      </c>
      <c r="B1697" s="5" t="s">
        <v>4696</v>
      </c>
      <c r="C1697" s="5" t="s">
        <v>4621</v>
      </c>
      <c r="D1697" s="5" t="s">
        <v>4647</v>
      </c>
      <c r="E1697" s="5" t="s">
        <v>4697</v>
      </c>
      <c r="F1697" s="5" t="s">
        <v>78</v>
      </c>
      <c r="G1697" s="5" t="s">
        <v>159</v>
      </c>
      <c r="H1697" s="5" t="s">
        <v>18</v>
      </c>
      <c r="I1697" s="6" t="n">
        <v>42156</v>
      </c>
      <c r="J1697" s="5" t="s">
        <v>19</v>
      </c>
      <c r="K1697" s="5" t="s">
        <v>20</v>
      </c>
      <c r="L1697" s="7" t="s">
        <v>1543</v>
      </c>
    </row>
    <row r="1698" customFormat="false" ht="15.65" hidden="false" customHeight="true" outlineLevel="0" collapsed="false">
      <c r="A1698" s="2" t="str">
        <f aca="false">HYPERLINK("https://www.fabsurplus.com/sdi_catalog/salesItemDetails.do?id=106882")</f>
        <v>https://www.fabsurplus.com/sdi_catalog/salesItemDetails.do?id=106882</v>
      </c>
      <c r="B1698" s="2" t="s">
        <v>4698</v>
      </c>
      <c r="C1698" s="2" t="s">
        <v>4621</v>
      </c>
      <c r="D1698" s="2" t="s">
        <v>4699</v>
      </c>
      <c r="E1698" s="2" t="s">
        <v>4697</v>
      </c>
      <c r="F1698" s="2" t="s">
        <v>151</v>
      </c>
      <c r="G1698" s="2" t="s">
        <v>159</v>
      </c>
      <c r="H1698" s="2" t="s">
        <v>18</v>
      </c>
      <c r="I1698" s="3" t="n">
        <v>42156</v>
      </c>
      <c r="J1698" s="2" t="s">
        <v>19</v>
      </c>
      <c r="K1698" s="2" t="s">
        <v>20</v>
      </c>
      <c r="L1698" s="4" t="s">
        <v>1543</v>
      </c>
    </row>
    <row r="1699" customFormat="false" ht="15.65" hidden="false" customHeight="true" outlineLevel="0" collapsed="false">
      <c r="A1699" s="5" t="str">
        <f aca="false">HYPERLINK("https://www.fabsurplus.com/sdi_catalog/salesItemDetails.do?id=77209")</f>
        <v>https://www.fabsurplus.com/sdi_catalog/salesItemDetails.do?id=77209</v>
      </c>
      <c r="B1699" s="5" t="s">
        <v>4700</v>
      </c>
      <c r="C1699" s="5" t="s">
        <v>4621</v>
      </c>
      <c r="D1699" s="5" t="s">
        <v>4622</v>
      </c>
      <c r="E1699" s="5" t="s">
        <v>4701</v>
      </c>
      <c r="F1699" s="5" t="s">
        <v>16</v>
      </c>
      <c r="G1699" s="5"/>
      <c r="H1699" s="5" t="s">
        <v>18</v>
      </c>
      <c r="I1699" s="5"/>
      <c r="J1699" s="5" t="s">
        <v>19</v>
      </c>
      <c r="K1699" s="5" t="s">
        <v>20</v>
      </c>
      <c r="L1699" s="7" t="s">
        <v>4702</v>
      </c>
    </row>
    <row r="1700" customFormat="false" ht="15.65" hidden="false" customHeight="true" outlineLevel="0" collapsed="false">
      <c r="A1700" s="2" t="str">
        <f aca="false">HYPERLINK("https://www.fabsurplus.com/sdi_catalog/salesItemDetails.do?id=106919")</f>
        <v>https://www.fabsurplus.com/sdi_catalog/salesItemDetails.do?id=106919</v>
      </c>
      <c r="B1700" s="2" t="s">
        <v>4703</v>
      </c>
      <c r="C1700" s="2" t="s">
        <v>4621</v>
      </c>
      <c r="D1700" s="2" t="s">
        <v>4704</v>
      </c>
      <c r="E1700" s="2" t="s">
        <v>4705</v>
      </c>
      <c r="F1700" s="2" t="s">
        <v>16</v>
      </c>
      <c r="G1700" s="2" t="s">
        <v>141</v>
      </c>
      <c r="H1700" s="2" t="s">
        <v>32</v>
      </c>
      <c r="I1700" s="3" t="n">
        <v>37408</v>
      </c>
      <c r="J1700" s="2" t="s">
        <v>19</v>
      </c>
      <c r="K1700" s="2" t="s">
        <v>20</v>
      </c>
      <c r="L1700" s="4" t="s">
        <v>4706</v>
      </c>
    </row>
    <row r="1701" customFormat="false" ht="15.65" hidden="false" customHeight="true" outlineLevel="0" collapsed="false">
      <c r="A1701" s="5" t="str">
        <f aca="false">HYPERLINK("https://www.fabsurplus.com/sdi_catalog/salesItemDetails.do?id=18865")</f>
        <v>https://www.fabsurplus.com/sdi_catalog/salesItemDetails.do?id=18865</v>
      </c>
      <c r="B1701" s="5" t="s">
        <v>4707</v>
      </c>
      <c r="C1701" s="5" t="s">
        <v>4626</v>
      </c>
      <c r="D1701" s="5" t="s">
        <v>4708</v>
      </c>
      <c r="E1701" s="5" t="s">
        <v>4709</v>
      </c>
      <c r="F1701" s="5" t="s">
        <v>151</v>
      </c>
      <c r="G1701" s="5"/>
      <c r="H1701" s="5"/>
      <c r="I1701" s="5"/>
      <c r="J1701" s="5" t="s">
        <v>19</v>
      </c>
      <c r="K1701" s="5"/>
      <c r="L1701" s="5"/>
    </row>
    <row r="1702" customFormat="false" ht="15.65" hidden="false" customHeight="true" outlineLevel="0" collapsed="false">
      <c r="A1702" s="2" t="str">
        <f aca="false">HYPERLINK("https://www.fabsurplus.com/sdi_catalog/salesItemDetails.do?id=72127")</f>
        <v>https://www.fabsurplus.com/sdi_catalog/salesItemDetails.do?id=72127</v>
      </c>
      <c r="B1702" s="2" t="s">
        <v>4710</v>
      </c>
      <c r="C1702" s="2" t="s">
        <v>4621</v>
      </c>
      <c r="D1702" s="2" t="s">
        <v>4711</v>
      </c>
      <c r="E1702" s="2" t="s">
        <v>4712</v>
      </c>
      <c r="F1702" s="2" t="s">
        <v>16</v>
      </c>
      <c r="G1702" s="2" t="s">
        <v>104</v>
      </c>
      <c r="H1702" s="2" t="s">
        <v>18</v>
      </c>
      <c r="I1702" s="2"/>
      <c r="J1702" s="2" t="s">
        <v>19</v>
      </c>
      <c r="K1702" s="2" t="s">
        <v>20</v>
      </c>
      <c r="L1702" s="4" t="s">
        <v>2631</v>
      </c>
    </row>
    <row r="1703" customFormat="false" ht="15.65" hidden="false" customHeight="true" outlineLevel="0" collapsed="false">
      <c r="A1703" s="5" t="str">
        <f aca="false">HYPERLINK("https://www.fabsurplus.com/sdi_catalog/salesItemDetails.do?id=72128")</f>
        <v>https://www.fabsurplus.com/sdi_catalog/salesItemDetails.do?id=72128</v>
      </c>
      <c r="B1703" s="5" t="s">
        <v>4713</v>
      </c>
      <c r="C1703" s="5" t="s">
        <v>4621</v>
      </c>
      <c r="D1703" s="5" t="s">
        <v>4714</v>
      </c>
      <c r="E1703" s="5" t="s">
        <v>4715</v>
      </c>
      <c r="F1703" s="5" t="s">
        <v>16</v>
      </c>
      <c r="G1703" s="5" t="s">
        <v>104</v>
      </c>
      <c r="H1703" s="5" t="s">
        <v>1969</v>
      </c>
      <c r="I1703" s="5"/>
      <c r="J1703" s="5" t="s">
        <v>19</v>
      </c>
      <c r="K1703" s="5" t="s">
        <v>20</v>
      </c>
      <c r="L1703" s="7" t="s">
        <v>2631</v>
      </c>
    </row>
    <row r="1704" customFormat="false" ht="15.65" hidden="false" customHeight="true" outlineLevel="0" collapsed="false">
      <c r="A1704" s="2" t="str">
        <f aca="false">HYPERLINK("https://www.fabsurplus.com/sdi_catalog/salesItemDetails.do?id=106947")</f>
        <v>https://www.fabsurplus.com/sdi_catalog/salesItemDetails.do?id=106947</v>
      </c>
      <c r="B1704" s="2" t="s">
        <v>4716</v>
      </c>
      <c r="C1704" s="2" t="s">
        <v>4626</v>
      </c>
      <c r="D1704" s="2" t="s">
        <v>4651</v>
      </c>
      <c r="E1704" s="2" t="s">
        <v>4717</v>
      </c>
      <c r="F1704" s="2" t="s">
        <v>16</v>
      </c>
      <c r="G1704" s="2" t="s">
        <v>141</v>
      </c>
      <c r="H1704" s="2" t="s">
        <v>32</v>
      </c>
      <c r="I1704" s="3" t="n">
        <v>39845</v>
      </c>
      <c r="J1704" s="2" t="s">
        <v>19</v>
      </c>
      <c r="K1704" s="2" t="s">
        <v>20</v>
      </c>
      <c r="L1704" s="4" t="s">
        <v>4718</v>
      </c>
    </row>
    <row r="1705" customFormat="false" ht="15.65" hidden="false" customHeight="true" outlineLevel="0" collapsed="false">
      <c r="A1705" s="5" t="str">
        <f aca="false">HYPERLINK("https://www.fabsurplus.com/sdi_catalog/salesItemDetails.do?id=54217")</f>
        <v>https://www.fabsurplus.com/sdi_catalog/salesItemDetails.do?id=54217</v>
      </c>
      <c r="B1705" s="5" t="s">
        <v>4719</v>
      </c>
      <c r="C1705" s="5" t="s">
        <v>4621</v>
      </c>
      <c r="D1705" s="5" t="s">
        <v>4720</v>
      </c>
      <c r="E1705" s="5" t="s">
        <v>4721</v>
      </c>
      <c r="F1705" s="5" t="s">
        <v>86</v>
      </c>
      <c r="G1705" s="5" t="s">
        <v>3919</v>
      </c>
      <c r="H1705" s="5" t="s">
        <v>32</v>
      </c>
      <c r="I1705" s="6" t="n">
        <v>39142</v>
      </c>
      <c r="J1705" s="5" t="s">
        <v>19</v>
      </c>
      <c r="K1705" s="5" t="s">
        <v>20</v>
      </c>
      <c r="L1705" s="7" t="s">
        <v>4722</v>
      </c>
    </row>
    <row r="1706" customFormat="false" ht="15.65" hidden="false" customHeight="true" outlineLevel="0" collapsed="false">
      <c r="A1706" s="2" t="str">
        <f aca="false">HYPERLINK("https://www.fabsurplus.com/sdi_catalog/salesItemDetails.do?id=54218")</f>
        <v>https://www.fabsurplus.com/sdi_catalog/salesItemDetails.do?id=54218</v>
      </c>
      <c r="B1706" s="2" t="s">
        <v>4723</v>
      </c>
      <c r="C1706" s="2" t="s">
        <v>4621</v>
      </c>
      <c r="D1706" s="2" t="s">
        <v>4720</v>
      </c>
      <c r="E1706" s="2" t="s">
        <v>4721</v>
      </c>
      <c r="F1706" s="2" t="s">
        <v>16</v>
      </c>
      <c r="G1706" s="2" t="s">
        <v>3919</v>
      </c>
      <c r="H1706" s="2" t="s">
        <v>32</v>
      </c>
      <c r="I1706" s="3" t="n">
        <v>39142</v>
      </c>
      <c r="J1706" s="2" t="s">
        <v>19</v>
      </c>
      <c r="K1706" s="2" t="s">
        <v>20</v>
      </c>
      <c r="L1706" s="4" t="s">
        <v>4724</v>
      </c>
    </row>
    <row r="1707" customFormat="false" ht="15.65" hidden="false" customHeight="true" outlineLevel="0" collapsed="false">
      <c r="A1707" s="5" t="str">
        <f aca="false">HYPERLINK("https://www.fabsurplus.com/sdi_catalog/salesItemDetails.do?id=54219")</f>
        <v>https://www.fabsurplus.com/sdi_catalog/salesItemDetails.do?id=54219</v>
      </c>
      <c r="B1707" s="5" t="s">
        <v>4725</v>
      </c>
      <c r="C1707" s="5" t="s">
        <v>4621</v>
      </c>
      <c r="D1707" s="5" t="s">
        <v>4720</v>
      </c>
      <c r="E1707" s="5" t="s">
        <v>4721</v>
      </c>
      <c r="F1707" s="5" t="s">
        <v>16</v>
      </c>
      <c r="G1707" s="5" t="s">
        <v>3919</v>
      </c>
      <c r="H1707" s="5" t="s">
        <v>32</v>
      </c>
      <c r="I1707" s="6" t="n">
        <v>39142</v>
      </c>
      <c r="J1707" s="5" t="s">
        <v>19</v>
      </c>
      <c r="K1707" s="5" t="s">
        <v>20</v>
      </c>
      <c r="L1707" s="7" t="s">
        <v>4726</v>
      </c>
    </row>
    <row r="1708" customFormat="false" ht="15.65" hidden="false" customHeight="true" outlineLevel="0" collapsed="false">
      <c r="A1708" s="2" t="str">
        <f aca="false">HYPERLINK("https://www.fabsurplus.com/sdi_catalog/salesItemDetails.do?id=54220")</f>
        <v>https://www.fabsurplus.com/sdi_catalog/salesItemDetails.do?id=54220</v>
      </c>
      <c r="B1708" s="2" t="s">
        <v>4727</v>
      </c>
      <c r="C1708" s="2" t="s">
        <v>4621</v>
      </c>
      <c r="D1708" s="2" t="s">
        <v>4728</v>
      </c>
      <c r="E1708" s="2" t="s">
        <v>4721</v>
      </c>
      <c r="F1708" s="2" t="s">
        <v>16</v>
      </c>
      <c r="G1708" s="2" t="s">
        <v>3919</v>
      </c>
      <c r="H1708" s="2" t="s">
        <v>32</v>
      </c>
      <c r="I1708" s="3" t="n">
        <v>36677.9166666667</v>
      </c>
      <c r="J1708" s="2" t="s">
        <v>19</v>
      </c>
      <c r="K1708" s="2" t="s">
        <v>20</v>
      </c>
      <c r="L1708" s="2" t="s">
        <v>4729</v>
      </c>
    </row>
    <row r="1709" customFormat="false" ht="15.65" hidden="false" customHeight="true" outlineLevel="0" collapsed="false">
      <c r="A1709" s="5" t="str">
        <f aca="false">HYPERLINK("https://www.fabsurplus.com/sdi_catalog/salesItemDetails.do?id=74445")</f>
        <v>https://www.fabsurplus.com/sdi_catalog/salesItemDetails.do?id=74445</v>
      </c>
      <c r="B1709" s="5" t="s">
        <v>4730</v>
      </c>
      <c r="C1709" s="5" t="s">
        <v>4621</v>
      </c>
      <c r="D1709" s="5" t="s">
        <v>4731</v>
      </c>
      <c r="E1709" s="5" t="s">
        <v>4732</v>
      </c>
      <c r="F1709" s="5" t="s">
        <v>16</v>
      </c>
      <c r="G1709" s="5" t="s">
        <v>141</v>
      </c>
      <c r="H1709" s="5"/>
      <c r="I1709" s="6" t="n">
        <v>36678</v>
      </c>
      <c r="J1709" s="5" t="s">
        <v>19</v>
      </c>
      <c r="K1709" s="5"/>
      <c r="L1709" s="7" t="s">
        <v>4733</v>
      </c>
    </row>
    <row r="1710" customFormat="false" ht="15.65" hidden="false" customHeight="true" outlineLevel="0" collapsed="false">
      <c r="A1710" s="2" t="str">
        <f aca="false">HYPERLINK("https://www.fabsurplus.com/sdi_catalog/salesItemDetails.do?id=54221")</f>
        <v>https://www.fabsurplus.com/sdi_catalog/salesItemDetails.do?id=54221</v>
      </c>
      <c r="B1710" s="2" t="s">
        <v>4734</v>
      </c>
      <c r="C1710" s="2" t="s">
        <v>4621</v>
      </c>
      <c r="D1710" s="2" t="s">
        <v>4728</v>
      </c>
      <c r="E1710" s="2" t="s">
        <v>4721</v>
      </c>
      <c r="F1710" s="2" t="s">
        <v>16</v>
      </c>
      <c r="G1710" s="2" t="s">
        <v>3919</v>
      </c>
      <c r="H1710" s="2" t="s">
        <v>32</v>
      </c>
      <c r="I1710" s="3" t="n">
        <v>36677.9166666667</v>
      </c>
      <c r="J1710" s="2" t="s">
        <v>19</v>
      </c>
      <c r="K1710" s="2" t="s">
        <v>20</v>
      </c>
      <c r="L1710" s="2" t="s">
        <v>4729</v>
      </c>
    </row>
    <row r="1711" customFormat="false" ht="15.65" hidden="false" customHeight="true" outlineLevel="0" collapsed="false">
      <c r="A1711" s="5" t="str">
        <f aca="false">HYPERLINK("https://www.fabsurplus.com/sdi_catalog/salesItemDetails.do?id=74446")</f>
        <v>https://www.fabsurplus.com/sdi_catalog/salesItemDetails.do?id=74446</v>
      </c>
      <c r="B1711" s="5" t="s">
        <v>4735</v>
      </c>
      <c r="C1711" s="5" t="s">
        <v>4621</v>
      </c>
      <c r="D1711" s="5" t="s">
        <v>4731</v>
      </c>
      <c r="E1711" s="5" t="s">
        <v>4732</v>
      </c>
      <c r="F1711" s="5" t="s">
        <v>16</v>
      </c>
      <c r="G1711" s="5" t="s">
        <v>141</v>
      </c>
      <c r="H1711" s="5"/>
      <c r="I1711" s="6" t="n">
        <v>36678</v>
      </c>
      <c r="J1711" s="5" t="s">
        <v>19</v>
      </c>
      <c r="K1711" s="5"/>
      <c r="L1711" s="7" t="s">
        <v>4736</v>
      </c>
    </row>
    <row r="1712" customFormat="false" ht="15.65" hidden="false" customHeight="true" outlineLevel="0" collapsed="false">
      <c r="A1712" s="2" t="str">
        <f aca="false">HYPERLINK("https://www.fabsurplus.com/sdi_catalog/salesItemDetails.do?id=54222")</f>
        <v>https://www.fabsurplus.com/sdi_catalog/salesItemDetails.do?id=54222</v>
      </c>
      <c r="B1712" s="2" t="s">
        <v>4737</v>
      </c>
      <c r="C1712" s="2" t="s">
        <v>4621</v>
      </c>
      <c r="D1712" s="2" t="s">
        <v>4738</v>
      </c>
      <c r="E1712" s="2" t="s">
        <v>4739</v>
      </c>
      <c r="F1712" s="2" t="s">
        <v>16</v>
      </c>
      <c r="G1712" s="2" t="s">
        <v>3919</v>
      </c>
      <c r="H1712" s="2" t="s">
        <v>32</v>
      </c>
      <c r="I1712" s="3" t="n">
        <v>36677.9166666667</v>
      </c>
      <c r="J1712" s="2" t="s">
        <v>19</v>
      </c>
      <c r="K1712" s="2" t="s">
        <v>20</v>
      </c>
      <c r="L1712" s="2" t="s">
        <v>4729</v>
      </c>
    </row>
    <row r="1713" customFormat="false" ht="15.65" hidden="false" customHeight="true" outlineLevel="0" collapsed="false">
      <c r="A1713" s="5" t="str">
        <f aca="false">HYPERLINK("https://www.fabsurplus.com/sdi_catalog/salesItemDetails.do?id=74447")</f>
        <v>https://www.fabsurplus.com/sdi_catalog/salesItemDetails.do?id=74447</v>
      </c>
      <c r="B1713" s="5" t="s">
        <v>4740</v>
      </c>
      <c r="C1713" s="5" t="s">
        <v>4621</v>
      </c>
      <c r="D1713" s="5" t="s">
        <v>4741</v>
      </c>
      <c r="E1713" s="5" t="s">
        <v>4742</v>
      </c>
      <c r="F1713" s="5" t="s">
        <v>16</v>
      </c>
      <c r="G1713" s="5" t="s">
        <v>141</v>
      </c>
      <c r="H1713" s="5"/>
      <c r="I1713" s="6" t="n">
        <v>36678</v>
      </c>
      <c r="J1713" s="5" t="s">
        <v>19</v>
      </c>
      <c r="K1713" s="5"/>
      <c r="L1713" s="7" t="s">
        <v>4743</v>
      </c>
    </row>
    <row r="1714" customFormat="false" ht="15.65" hidden="false" customHeight="true" outlineLevel="0" collapsed="false">
      <c r="A1714" s="2" t="str">
        <f aca="false">HYPERLINK("https://www.fabsurplus.com/sdi_catalog/salesItemDetails.do?id=74448")</f>
        <v>https://www.fabsurplus.com/sdi_catalog/salesItemDetails.do?id=74448</v>
      </c>
      <c r="B1714" s="2" t="s">
        <v>4744</v>
      </c>
      <c r="C1714" s="2" t="s">
        <v>4621</v>
      </c>
      <c r="D1714" s="2" t="s">
        <v>4741</v>
      </c>
      <c r="E1714" s="2" t="s">
        <v>4745</v>
      </c>
      <c r="F1714" s="2" t="s">
        <v>16</v>
      </c>
      <c r="G1714" s="2" t="s">
        <v>141</v>
      </c>
      <c r="H1714" s="2"/>
      <c r="I1714" s="3" t="n">
        <v>36678</v>
      </c>
      <c r="J1714" s="2" t="s">
        <v>19</v>
      </c>
      <c r="K1714" s="2"/>
      <c r="L1714" s="4" t="s">
        <v>4746</v>
      </c>
    </row>
    <row r="1715" customFormat="false" ht="15.65" hidden="false" customHeight="true" outlineLevel="0" collapsed="false">
      <c r="A1715" s="5" t="str">
        <f aca="false">HYPERLINK("https://www.fabsurplus.com/sdi_catalog/salesItemDetails.do?id=74449")</f>
        <v>https://www.fabsurplus.com/sdi_catalog/salesItemDetails.do?id=74449</v>
      </c>
      <c r="B1715" s="5" t="s">
        <v>4747</v>
      </c>
      <c r="C1715" s="5" t="s">
        <v>4621</v>
      </c>
      <c r="D1715" s="5" t="s">
        <v>4741</v>
      </c>
      <c r="E1715" s="5" t="s">
        <v>4745</v>
      </c>
      <c r="F1715" s="5" t="s">
        <v>16</v>
      </c>
      <c r="G1715" s="5" t="s">
        <v>141</v>
      </c>
      <c r="H1715" s="5"/>
      <c r="I1715" s="6" t="n">
        <v>36678</v>
      </c>
      <c r="J1715" s="5" t="s">
        <v>19</v>
      </c>
      <c r="K1715" s="5"/>
      <c r="L1715" s="7" t="s">
        <v>4748</v>
      </c>
    </row>
    <row r="1716" customFormat="false" ht="15.65" hidden="false" customHeight="true" outlineLevel="0" collapsed="false">
      <c r="A1716" s="2" t="str">
        <f aca="false">HYPERLINK("https://www.fabsurplus.com/sdi_catalog/salesItemDetails.do?id=74450")</f>
        <v>https://www.fabsurplus.com/sdi_catalog/salesItemDetails.do?id=74450</v>
      </c>
      <c r="B1716" s="2" t="s">
        <v>4749</v>
      </c>
      <c r="C1716" s="2" t="s">
        <v>4621</v>
      </c>
      <c r="D1716" s="2" t="s">
        <v>4750</v>
      </c>
      <c r="E1716" s="2" t="s">
        <v>4745</v>
      </c>
      <c r="F1716" s="2" t="s">
        <v>16</v>
      </c>
      <c r="G1716" s="2" t="s">
        <v>141</v>
      </c>
      <c r="H1716" s="2"/>
      <c r="I1716" s="3" t="n">
        <v>36678</v>
      </c>
      <c r="J1716" s="2" t="s">
        <v>19</v>
      </c>
      <c r="K1716" s="2"/>
      <c r="L1716" s="4" t="s">
        <v>4751</v>
      </c>
    </row>
    <row r="1717" customFormat="false" ht="15.65" hidden="false" customHeight="true" outlineLevel="0" collapsed="false">
      <c r="A1717" s="5" t="str">
        <f aca="false">HYPERLINK("https://www.fabsurplus.com/sdi_catalog/salesItemDetails.do?id=106972")</f>
        <v>https://www.fabsurplus.com/sdi_catalog/salesItemDetails.do?id=106972</v>
      </c>
      <c r="B1717" s="5" t="s">
        <v>4752</v>
      </c>
      <c r="C1717" s="5" t="s">
        <v>4621</v>
      </c>
      <c r="D1717" s="5" t="s">
        <v>4753</v>
      </c>
      <c r="E1717" s="5" t="s">
        <v>4754</v>
      </c>
      <c r="F1717" s="5" t="s">
        <v>16</v>
      </c>
      <c r="G1717" s="5" t="s">
        <v>3919</v>
      </c>
      <c r="H1717" s="5" t="s">
        <v>32</v>
      </c>
      <c r="I1717" s="6" t="n">
        <v>34851</v>
      </c>
      <c r="J1717" s="5" t="s">
        <v>19</v>
      </c>
      <c r="K1717" s="5" t="s">
        <v>20</v>
      </c>
      <c r="L1717" s="7" t="s">
        <v>4755</v>
      </c>
    </row>
    <row r="1718" customFormat="false" ht="15.65" hidden="false" customHeight="true" outlineLevel="0" collapsed="false">
      <c r="A1718" s="2" t="str">
        <f aca="false">HYPERLINK("https://www.fabsurplus.com/sdi_catalog/salesItemDetails.do?id=106973")</f>
        <v>https://www.fabsurplus.com/sdi_catalog/salesItemDetails.do?id=106973</v>
      </c>
      <c r="B1718" s="2" t="s">
        <v>4756</v>
      </c>
      <c r="C1718" s="2" t="s">
        <v>4621</v>
      </c>
      <c r="D1718" s="2" t="s">
        <v>4757</v>
      </c>
      <c r="E1718" s="2" t="s">
        <v>4758</v>
      </c>
      <c r="F1718" s="2" t="s">
        <v>16</v>
      </c>
      <c r="G1718" s="2" t="s">
        <v>3919</v>
      </c>
      <c r="H1718" s="2" t="s">
        <v>32</v>
      </c>
      <c r="I1718" s="3" t="n">
        <v>34851</v>
      </c>
      <c r="J1718" s="2" t="s">
        <v>19</v>
      </c>
      <c r="K1718" s="2" t="s">
        <v>20</v>
      </c>
      <c r="L1718" s="4" t="s">
        <v>4759</v>
      </c>
    </row>
    <row r="1719" customFormat="false" ht="15.65" hidden="false" customHeight="true" outlineLevel="0" collapsed="false">
      <c r="A1719" s="5" t="str">
        <f aca="false">HYPERLINK("https://www.fabsurplus.com/sdi_catalog/salesItemDetails.do?id=106974")</f>
        <v>https://www.fabsurplus.com/sdi_catalog/salesItemDetails.do?id=106974</v>
      </c>
      <c r="B1719" s="5" t="s">
        <v>4760</v>
      </c>
      <c r="C1719" s="5" t="s">
        <v>4621</v>
      </c>
      <c r="D1719" s="5" t="s">
        <v>4761</v>
      </c>
      <c r="E1719" s="5" t="s">
        <v>4758</v>
      </c>
      <c r="F1719" s="5" t="s">
        <v>16</v>
      </c>
      <c r="G1719" s="5" t="s">
        <v>3919</v>
      </c>
      <c r="H1719" s="5" t="s">
        <v>32</v>
      </c>
      <c r="I1719" s="6" t="n">
        <v>34851</v>
      </c>
      <c r="J1719" s="5" t="s">
        <v>19</v>
      </c>
      <c r="K1719" s="5" t="s">
        <v>20</v>
      </c>
      <c r="L1719" s="7" t="s">
        <v>4759</v>
      </c>
    </row>
    <row r="1720" customFormat="false" ht="15.65" hidden="false" customHeight="true" outlineLevel="0" collapsed="false">
      <c r="A1720" s="2" t="str">
        <f aca="false">HYPERLINK("https://www.fabsurplus.com/sdi_catalog/salesItemDetails.do?id=106975")</f>
        <v>https://www.fabsurplus.com/sdi_catalog/salesItemDetails.do?id=106975</v>
      </c>
      <c r="B1720" s="2" t="s">
        <v>4762</v>
      </c>
      <c r="C1720" s="2" t="s">
        <v>4621</v>
      </c>
      <c r="D1720" s="2" t="s">
        <v>4757</v>
      </c>
      <c r="E1720" s="2" t="s">
        <v>4758</v>
      </c>
      <c r="F1720" s="2" t="s">
        <v>16</v>
      </c>
      <c r="G1720" s="2" t="s">
        <v>3919</v>
      </c>
      <c r="H1720" s="2" t="s">
        <v>32</v>
      </c>
      <c r="I1720" s="3" t="n">
        <v>34851</v>
      </c>
      <c r="J1720" s="2" t="s">
        <v>19</v>
      </c>
      <c r="K1720" s="2" t="s">
        <v>20</v>
      </c>
      <c r="L1720" s="4" t="s">
        <v>4759</v>
      </c>
    </row>
    <row r="1721" customFormat="false" ht="15.65" hidden="false" customHeight="true" outlineLevel="0" collapsed="false">
      <c r="A1721" s="5" t="str">
        <f aca="false">HYPERLINK("https://www.fabsurplus.com/sdi_catalog/salesItemDetails.do?id=11233")</f>
        <v>https://www.fabsurplus.com/sdi_catalog/salesItemDetails.do?id=11233</v>
      </c>
      <c r="B1721" s="5" t="s">
        <v>4763</v>
      </c>
      <c r="C1721" s="5" t="s">
        <v>4626</v>
      </c>
      <c r="D1721" s="5" t="s">
        <v>4764</v>
      </c>
      <c r="E1721" s="5" t="s">
        <v>4765</v>
      </c>
      <c r="F1721" s="5" t="s">
        <v>16</v>
      </c>
      <c r="G1721" s="5" t="s">
        <v>165</v>
      </c>
      <c r="H1721" s="5" t="s">
        <v>18</v>
      </c>
      <c r="I1721" s="5"/>
      <c r="J1721" s="5" t="s">
        <v>19</v>
      </c>
      <c r="K1721" s="5" t="s">
        <v>20</v>
      </c>
      <c r="L1721" s="7" t="s">
        <v>4766</v>
      </c>
    </row>
    <row r="1722" customFormat="false" ht="15.65" hidden="false" customHeight="true" outlineLevel="0" collapsed="false">
      <c r="A1722" s="2" t="str">
        <f aca="false">HYPERLINK("https://www.fabsurplus.com/sdi_catalog/salesItemDetails.do?id=18921")</f>
        <v>https://www.fabsurplus.com/sdi_catalog/salesItemDetails.do?id=18921</v>
      </c>
      <c r="B1722" s="2" t="s">
        <v>4767</v>
      </c>
      <c r="C1722" s="2" t="s">
        <v>4626</v>
      </c>
      <c r="D1722" s="2" t="s">
        <v>4768</v>
      </c>
      <c r="E1722" s="2" t="s">
        <v>4769</v>
      </c>
      <c r="F1722" s="2" t="s">
        <v>16</v>
      </c>
      <c r="G1722" s="2"/>
      <c r="H1722" s="2"/>
      <c r="I1722" s="2"/>
      <c r="J1722" s="2" t="s">
        <v>19</v>
      </c>
      <c r="K1722" s="2"/>
      <c r="L1722" s="2"/>
    </row>
    <row r="1723" customFormat="false" ht="15.65" hidden="false" customHeight="true" outlineLevel="0" collapsed="false">
      <c r="A1723" s="5" t="str">
        <f aca="false">HYPERLINK("https://www.fabsurplus.com/sdi_catalog/salesItemDetails.do?id=18922")</f>
        <v>https://www.fabsurplus.com/sdi_catalog/salesItemDetails.do?id=18922</v>
      </c>
      <c r="B1723" s="5" t="s">
        <v>4770</v>
      </c>
      <c r="C1723" s="5" t="s">
        <v>4626</v>
      </c>
      <c r="D1723" s="5" t="s">
        <v>4771</v>
      </c>
      <c r="E1723" s="5" t="s">
        <v>4772</v>
      </c>
      <c r="F1723" s="5" t="s">
        <v>16</v>
      </c>
      <c r="G1723" s="5"/>
      <c r="H1723" s="5"/>
      <c r="I1723" s="5"/>
      <c r="J1723" s="5" t="s">
        <v>19</v>
      </c>
      <c r="K1723" s="5"/>
      <c r="L1723" s="5"/>
    </row>
    <row r="1724" customFormat="false" ht="15.65" hidden="false" customHeight="true" outlineLevel="0" collapsed="false">
      <c r="A1724" s="2" t="str">
        <f aca="false">HYPERLINK("https://www.fabsurplus.com/sdi_catalog/salesItemDetails.do?id=18923")</f>
        <v>https://www.fabsurplus.com/sdi_catalog/salesItemDetails.do?id=18923</v>
      </c>
      <c r="B1724" s="2" t="s">
        <v>4773</v>
      </c>
      <c r="C1724" s="2" t="s">
        <v>4626</v>
      </c>
      <c r="D1724" s="2" t="s">
        <v>4774</v>
      </c>
      <c r="E1724" s="2" t="s">
        <v>4775</v>
      </c>
      <c r="F1724" s="2" t="s">
        <v>16</v>
      </c>
      <c r="G1724" s="2"/>
      <c r="H1724" s="2"/>
      <c r="I1724" s="2"/>
      <c r="J1724" s="2" t="s">
        <v>19</v>
      </c>
      <c r="K1724" s="2"/>
      <c r="L1724" s="2"/>
    </row>
    <row r="1725" customFormat="false" ht="15.65" hidden="false" customHeight="true" outlineLevel="0" collapsed="false">
      <c r="A1725" s="5" t="str">
        <f aca="false">HYPERLINK("https://www.fabsurplus.com/sdi_catalog/salesItemDetails.do?id=69878")</f>
        <v>https://www.fabsurplus.com/sdi_catalog/salesItemDetails.do?id=69878</v>
      </c>
      <c r="B1725" s="5" t="s">
        <v>4776</v>
      </c>
      <c r="C1725" s="5" t="s">
        <v>4777</v>
      </c>
      <c r="D1725" s="5" t="s">
        <v>4778</v>
      </c>
      <c r="E1725" s="5" t="s">
        <v>4779</v>
      </c>
      <c r="F1725" s="5" t="s">
        <v>16</v>
      </c>
      <c r="G1725" s="5" t="s">
        <v>4780</v>
      </c>
      <c r="H1725" s="5"/>
      <c r="I1725" s="6" t="n">
        <v>36434</v>
      </c>
      <c r="J1725" s="5" t="s">
        <v>19</v>
      </c>
      <c r="K1725" s="5" t="s">
        <v>20</v>
      </c>
      <c r="L1725" s="7" t="s">
        <v>4781</v>
      </c>
    </row>
    <row r="1726" customFormat="false" ht="15.65" hidden="false" customHeight="true" outlineLevel="0" collapsed="false">
      <c r="A1726" s="2" t="str">
        <f aca="false">HYPERLINK("https://www.fabsurplus.com/sdi_catalog/salesItemDetails.do?id=108041")</f>
        <v>https://www.fabsurplus.com/sdi_catalog/salesItemDetails.do?id=108041</v>
      </c>
      <c r="B1726" s="2" t="s">
        <v>4782</v>
      </c>
      <c r="C1726" s="2" t="s">
        <v>4783</v>
      </c>
      <c r="D1726" s="2" t="s">
        <v>4784</v>
      </c>
      <c r="E1726" s="2" t="s">
        <v>4785</v>
      </c>
      <c r="F1726" s="2" t="s">
        <v>16</v>
      </c>
      <c r="G1726" s="2" t="s">
        <v>104</v>
      </c>
      <c r="H1726" s="2" t="s">
        <v>32</v>
      </c>
      <c r="I1726" s="2"/>
      <c r="J1726" s="2" t="s">
        <v>19</v>
      </c>
      <c r="K1726" s="2" t="s">
        <v>20</v>
      </c>
      <c r="L1726" s="4" t="s">
        <v>4786</v>
      </c>
    </row>
    <row r="1727" customFormat="false" ht="15.65" hidden="false" customHeight="true" outlineLevel="0" collapsed="false">
      <c r="A1727" s="5" t="str">
        <f aca="false">HYPERLINK("https://www.fabsurplus.com/sdi_catalog/salesItemDetails.do?id=79521")</f>
        <v>https://www.fabsurplus.com/sdi_catalog/salesItemDetails.do?id=79521</v>
      </c>
      <c r="B1727" s="5" t="s">
        <v>4787</v>
      </c>
      <c r="C1727" s="5" t="s">
        <v>4788</v>
      </c>
      <c r="D1727" s="5" t="s">
        <v>4789</v>
      </c>
      <c r="E1727" s="5" t="s">
        <v>4790</v>
      </c>
      <c r="F1727" s="5" t="s">
        <v>16</v>
      </c>
      <c r="G1727" s="5"/>
      <c r="H1727" s="5" t="s">
        <v>1266</v>
      </c>
      <c r="I1727" s="6" t="n">
        <v>36892</v>
      </c>
      <c r="J1727" s="5" t="s">
        <v>19</v>
      </c>
      <c r="K1727" s="5" t="s">
        <v>20</v>
      </c>
      <c r="L1727" s="5" t="s">
        <v>4791</v>
      </c>
    </row>
    <row r="1728" customFormat="false" ht="15.65" hidden="false" customHeight="true" outlineLevel="0" collapsed="false">
      <c r="A1728" s="2" t="str">
        <f aca="false">HYPERLINK("https://www.fabsurplus.com/sdi_catalog/salesItemDetails.do?id=15658")</f>
        <v>https://www.fabsurplus.com/sdi_catalog/salesItemDetails.do?id=15658</v>
      </c>
      <c r="B1728" s="2" t="s">
        <v>4792</v>
      </c>
      <c r="C1728" s="2" t="s">
        <v>4793</v>
      </c>
      <c r="D1728" s="2" t="s">
        <v>4794</v>
      </c>
      <c r="E1728" s="2" t="s">
        <v>96</v>
      </c>
      <c r="F1728" s="2" t="s">
        <v>16</v>
      </c>
      <c r="G1728" s="2"/>
      <c r="H1728" s="2" t="s">
        <v>98</v>
      </c>
      <c r="I1728" s="2"/>
      <c r="J1728" s="2" t="s">
        <v>19</v>
      </c>
      <c r="K1728" s="2" t="s">
        <v>20</v>
      </c>
      <c r="L1728" s="4" t="s">
        <v>4795</v>
      </c>
    </row>
    <row r="1729" customFormat="false" ht="15.65" hidden="false" customHeight="true" outlineLevel="0" collapsed="false">
      <c r="A1729" s="5" t="str">
        <f aca="false">HYPERLINK("https://www.fabsurplus.com/sdi_catalog/salesItemDetails.do?id=83636")</f>
        <v>https://www.fabsurplus.com/sdi_catalog/salesItemDetails.do?id=83636</v>
      </c>
      <c r="B1729" s="5" t="s">
        <v>4796</v>
      </c>
      <c r="C1729" s="5" t="s">
        <v>4797</v>
      </c>
      <c r="D1729" s="5" t="s">
        <v>4798</v>
      </c>
      <c r="E1729" s="5" t="s">
        <v>96</v>
      </c>
      <c r="F1729" s="5" t="s">
        <v>86</v>
      </c>
      <c r="G1729" s="5" t="s">
        <v>4799</v>
      </c>
      <c r="H1729" s="5" t="s">
        <v>32</v>
      </c>
      <c r="I1729" s="5"/>
      <c r="J1729" s="5" t="s">
        <v>19</v>
      </c>
      <c r="K1729" s="5" t="s">
        <v>20</v>
      </c>
      <c r="L1729" s="7" t="s">
        <v>4800</v>
      </c>
    </row>
    <row r="1730" customFormat="false" ht="15.65" hidden="false" customHeight="true" outlineLevel="0" collapsed="false">
      <c r="A1730" s="2" t="str">
        <f aca="false">HYPERLINK("https://www.fabsurplus.com/sdi_catalog/salesItemDetails.do?id=83639")</f>
        <v>https://www.fabsurplus.com/sdi_catalog/salesItemDetails.do?id=83639</v>
      </c>
      <c r="B1730" s="2" t="s">
        <v>4801</v>
      </c>
      <c r="C1730" s="2" t="s">
        <v>4797</v>
      </c>
      <c r="D1730" s="2" t="s">
        <v>4802</v>
      </c>
      <c r="E1730" s="2" t="s">
        <v>96</v>
      </c>
      <c r="F1730" s="2" t="s">
        <v>3473</v>
      </c>
      <c r="G1730" s="2" t="s">
        <v>4803</v>
      </c>
      <c r="H1730" s="2" t="s">
        <v>98</v>
      </c>
      <c r="I1730" s="2"/>
      <c r="J1730" s="2" t="s">
        <v>19</v>
      </c>
      <c r="K1730" s="2" t="s">
        <v>20</v>
      </c>
      <c r="L1730" s="4" t="s">
        <v>4804</v>
      </c>
    </row>
    <row r="1731" customFormat="false" ht="15.65" hidden="false" customHeight="true" outlineLevel="0" collapsed="false">
      <c r="A1731" s="5" t="str">
        <f aca="false">HYPERLINK("https://www.fabsurplus.com/sdi_catalog/salesItemDetails.do?id=78132")</f>
        <v>https://www.fabsurplus.com/sdi_catalog/salesItemDetails.do?id=78132</v>
      </c>
      <c r="B1731" s="5" t="s">
        <v>4805</v>
      </c>
      <c r="C1731" s="5" t="s">
        <v>4806</v>
      </c>
      <c r="D1731" s="5" t="s">
        <v>4807</v>
      </c>
      <c r="E1731" s="5" t="s">
        <v>4808</v>
      </c>
      <c r="F1731" s="5" t="s">
        <v>16</v>
      </c>
      <c r="G1731" s="5" t="s">
        <v>4809</v>
      </c>
      <c r="H1731" s="5" t="s">
        <v>18</v>
      </c>
      <c r="I1731" s="6" t="n">
        <v>35796</v>
      </c>
      <c r="J1731" s="5" t="s">
        <v>19</v>
      </c>
      <c r="K1731" s="5" t="s">
        <v>20</v>
      </c>
      <c r="L1731" s="7" t="s">
        <v>4810</v>
      </c>
    </row>
    <row r="1732" customFormat="false" ht="15.65" hidden="false" customHeight="true" outlineLevel="0" collapsed="false">
      <c r="A1732" s="2" t="str">
        <f aca="false">HYPERLINK("https://www.fabsurplus.com/sdi_catalog/salesItemDetails.do?id=91591")</f>
        <v>https://www.fabsurplus.com/sdi_catalog/salesItemDetails.do?id=91591</v>
      </c>
      <c r="B1732" s="2" t="s">
        <v>4811</v>
      </c>
      <c r="C1732" s="2" t="s">
        <v>4812</v>
      </c>
      <c r="D1732" s="2" t="s">
        <v>4813</v>
      </c>
      <c r="E1732" s="2" t="s">
        <v>59</v>
      </c>
      <c r="F1732" s="2" t="s">
        <v>16</v>
      </c>
      <c r="G1732" s="2" t="s">
        <v>61</v>
      </c>
      <c r="H1732" s="2"/>
      <c r="I1732" s="2"/>
      <c r="J1732" s="2" t="s">
        <v>19</v>
      </c>
      <c r="K1732" s="2"/>
      <c r="L1732" s="2" t="s">
        <v>142</v>
      </c>
    </row>
    <row r="1733" customFormat="false" ht="15.65" hidden="false" customHeight="true" outlineLevel="0" collapsed="false">
      <c r="A1733" s="5" t="str">
        <f aca="false">HYPERLINK("https://www.fabsurplus.com/sdi_catalog/salesItemDetails.do?id=91592")</f>
        <v>https://www.fabsurplus.com/sdi_catalog/salesItemDetails.do?id=91592</v>
      </c>
      <c r="B1733" s="5" t="s">
        <v>4814</v>
      </c>
      <c r="C1733" s="5" t="s">
        <v>4812</v>
      </c>
      <c r="D1733" s="5" t="s">
        <v>4815</v>
      </c>
      <c r="E1733" s="5" t="s">
        <v>59</v>
      </c>
      <c r="F1733" s="5" t="s">
        <v>16</v>
      </c>
      <c r="G1733" s="5" t="s">
        <v>61</v>
      </c>
      <c r="H1733" s="5" t="s">
        <v>32</v>
      </c>
      <c r="I1733" s="6" t="n">
        <v>38352.9583333333</v>
      </c>
      <c r="J1733" s="5" t="s">
        <v>19</v>
      </c>
      <c r="K1733" s="5" t="s">
        <v>20</v>
      </c>
      <c r="L1733" s="5" t="s">
        <v>142</v>
      </c>
    </row>
    <row r="1734" customFormat="false" ht="15.65" hidden="false" customHeight="true" outlineLevel="0" collapsed="false">
      <c r="A1734" s="2" t="str">
        <f aca="false">HYPERLINK("https://www.fabsurplus.com/sdi_catalog/salesItemDetails.do?id=91593")</f>
        <v>https://www.fabsurplus.com/sdi_catalog/salesItemDetails.do?id=91593</v>
      </c>
      <c r="B1734" s="2" t="s">
        <v>4816</v>
      </c>
      <c r="C1734" s="2" t="s">
        <v>4812</v>
      </c>
      <c r="D1734" s="2" t="s">
        <v>4813</v>
      </c>
      <c r="E1734" s="2" t="s">
        <v>59</v>
      </c>
      <c r="F1734" s="2" t="s">
        <v>16</v>
      </c>
      <c r="G1734" s="2" t="s">
        <v>61</v>
      </c>
      <c r="H1734" s="2"/>
      <c r="I1734" s="2"/>
      <c r="J1734" s="2" t="s">
        <v>19</v>
      </c>
      <c r="K1734" s="2"/>
      <c r="L1734" s="2" t="s">
        <v>142</v>
      </c>
    </row>
    <row r="1735" customFormat="false" ht="15.65" hidden="false" customHeight="true" outlineLevel="0" collapsed="false">
      <c r="A1735" s="5" t="str">
        <f aca="false">HYPERLINK("https://www.fabsurplus.com/sdi_catalog/salesItemDetails.do?id=110072")</f>
        <v>https://www.fabsurplus.com/sdi_catalog/salesItemDetails.do?id=110072</v>
      </c>
      <c r="B1735" s="5" t="s">
        <v>4817</v>
      </c>
      <c r="C1735" s="5" t="s">
        <v>4818</v>
      </c>
      <c r="D1735" s="5" t="s">
        <v>4819</v>
      </c>
      <c r="E1735" s="5" t="s">
        <v>763</v>
      </c>
      <c r="F1735" s="5" t="s">
        <v>16</v>
      </c>
      <c r="G1735" s="5" t="s">
        <v>165</v>
      </c>
      <c r="H1735" s="5"/>
      <c r="I1735" s="5"/>
      <c r="J1735" s="5" t="s">
        <v>42</v>
      </c>
      <c r="K1735" s="5"/>
      <c r="L1735" s="5" t="s">
        <v>686</v>
      </c>
    </row>
    <row r="1736" customFormat="false" ht="15.65" hidden="false" customHeight="true" outlineLevel="0" collapsed="false">
      <c r="A1736" s="2" t="str">
        <f aca="false">HYPERLINK("https://www.fabsurplus.com/sdi_catalog/salesItemDetails.do?id=110073")</f>
        <v>https://www.fabsurplus.com/sdi_catalog/salesItemDetails.do?id=110073</v>
      </c>
      <c r="B1736" s="2" t="s">
        <v>4820</v>
      </c>
      <c r="C1736" s="2" t="s">
        <v>4818</v>
      </c>
      <c r="D1736" s="2" t="s">
        <v>4819</v>
      </c>
      <c r="E1736" s="2" t="s">
        <v>763</v>
      </c>
      <c r="F1736" s="2" t="s">
        <v>16</v>
      </c>
      <c r="G1736" s="2" t="s">
        <v>165</v>
      </c>
      <c r="H1736" s="2"/>
      <c r="I1736" s="2"/>
      <c r="J1736" s="2" t="s">
        <v>42</v>
      </c>
      <c r="K1736" s="2"/>
      <c r="L1736" s="2" t="s">
        <v>686</v>
      </c>
    </row>
    <row r="1737" customFormat="false" ht="15.65" hidden="false" customHeight="true" outlineLevel="0" collapsed="false">
      <c r="A1737" s="5" t="str">
        <f aca="false">HYPERLINK("https://www.fabsurplus.com/sdi_catalog/salesItemDetails.do?id=110074")</f>
        <v>https://www.fabsurplus.com/sdi_catalog/salesItemDetails.do?id=110074</v>
      </c>
      <c r="B1737" s="5" t="s">
        <v>4821</v>
      </c>
      <c r="C1737" s="5" t="s">
        <v>4818</v>
      </c>
      <c r="D1737" s="5" t="s">
        <v>4819</v>
      </c>
      <c r="E1737" s="5" t="s">
        <v>763</v>
      </c>
      <c r="F1737" s="5" t="s">
        <v>16</v>
      </c>
      <c r="G1737" s="5" t="s">
        <v>165</v>
      </c>
      <c r="H1737" s="5"/>
      <c r="I1737" s="5"/>
      <c r="J1737" s="5" t="s">
        <v>42</v>
      </c>
      <c r="K1737" s="5"/>
      <c r="L1737" s="5" t="s">
        <v>686</v>
      </c>
    </row>
    <row r="1738" customFormat="false" ht="15.65" hidden="false" customHeight="true" outlineLevel="0" collapsed="false">
      <c r="A1738" s="2" t="str">
        <f aca="false">HYPERLINK("https://www.fabsurplus.com/sdi_catalog/salesItemDetails.do?id=99387")</f>
        <v>https://www.fabsurplus.com/sdi_catalog/salesItemDetails.do?id=99387</v>
      </c>
      <c r="B1738" s="2" t="s">
        <v>4822</v>
      </c>
      <c r="C1738" s="2" t="s">
        <v>4823</v>
      </c>
      <c r="D1738" s="2" t="s">
        <v>4824</v>
      </c>
      <c r="E1738" s="2" t="s">
        <v>4825</v>
      </c>
      <c r="F1738" s="2" t="s">
        <v>16</v>
      </c>
      <c r="G1738" s="2" t="s">
        <v>4826</v>
      </c>
      <c r="H1738" s="2" t="s">
        <v>18</v>
      </c>
      <c r="I1738" s="2"/>
      <c r="J1738" s="2" t="s">
        <v>19</v>
      </c>
      <c r="K1738" s="2" t="s">
        <v>20</v>
      </c>
      <c r="L1738" s="4" t="s">
        <v>4827</v>
      </c>
    </row>
    <row r="1739" customFormat="false" ht="15.65" hidden="false" customHeight="true" outlineLevel="0" collapsed="false">
      <c r="A1739" s="5" t="str">
        <f aca="false">HYPERLINK("https://www.fabsurplus.com/sdi_catalog/salesItemDetails.do?id=79885")</f>
        <v>https://www.fabsurplus.com/sdi_catalog/salesItemDetails.do?id=79885</v>
      </c>
      <c r="B1739" s="5" t="s">
        <v>4828</v>
      </c>
      <c r="C1739" s="5" t="s">
        <v>4829</v>
      </c>
      <c r="D1739" s="5" t="s">
        <v>4830</v>
      </c>
      <c r="E1739" s="5" t="s">
        <v>4831</v>
      </c>
      <c r="F1739" s="5" t="s">
        <v>16</v>
      </c>
      <c r="G1739" s="5" t="s">
        <v>1236</v>
      </c>
      <c r="H1739" s="5" t="s">
        <v>32</v>
      </c>
      <c r="I1739" s="5"/>
      <c r="J1739" s="5" t="s">
        <v>19</v>
      </c>
      <c r="K1739" s="5" t="s">
        <v>20</v>
      </c>
      <c r="L1739" s="7" t="s">
        <v>4832</v>
      </c>
    </row>
    <row r="1740" customFormat="false" ht="15.65" hidden="false" customHeight="true" outlineLevel="0" collapsed="false">
      <c r="A1740" s="2" t="str">
        <f aca="false">HYPERLINK("https://www.fabsurplus.com/sdi_catalog/salesItemDetails.do?id=79887")</f>
        <v>https://www.fabsurplus.com/sdi_catalog/salesItemDetails.do?id=79887</v>
      </c>
      <c r="B1740" s="2" t="s">
        <v>4833</v>
      </c>
      <c r="C1740" s="2" t="s">
        <v>4829</v>
      </c>
      <c r="D1740" s="2" t="s">
        <v>4834</v>
      </c>
      <c r="E1740" s="2" t="s">
        <v>4835</v>
      </c>
      <c r="F1740" s="2" t="s">
        <v>16</v>
      </c>
      <c r="G1740" s="2" t="s">
        <v>4836</v>
      </c>
      <c r="H1740" s="2" t="s">
        <v>18</v>
      </c>
      <c r="I1740" s="3" t="n">
        <v>34820</v>
      </c>
      <c r="J1740" s="2" t="s">
        <v>19</v>
      </c>
      <c r="K1740" s="2" t="s">
        <v>20</v>
      </c>
      <c r="L1740" s="4" t="s">
        <v>4837</v>
      </c>
    </row>
    <row r="1741" customFormat="false" ht="15.65" hidden="false" customHeight="true" outlineLevel="0" collapsed="false">
      <c r="A1741" s="5" t="str">
        <f aca="false">HYPERLINK("https://www.fabsurplus.com/sdi_catalog/salesItemDetails.do?id=79596")</f>
        <v>https://www.fabsurplus.com/sdi_catalog/salesItemDetails.do?id=79596</v>
      </c>
      <c r="B1741" s="5" t="s">
        <v>4838</v>
      </c>
      <c r="C1741" s="5" t="s">
        <v>4829</v>
      </c>
      <c r="D1741" s="5" t="s">
        <v>4839</v>
      </c>
      <c r="E1741" s="5" t="s">
        <v>4840</v>
      </c>
      <c r="F1741" s="5" t="s">
        <v>203</v>
      </c>
      <c r="G1741" s="5" t="s">
        <v>1236</v>
      </c>
      <c r="H1741" s="5" t="s">
        <v>18</v>
      </c>
      <c r="I1741" s="6" t="n">
        <v>36647</v>
      </c>
      <c r="J1741" s="5" t="s">
        <v>19</v>
      </c>
      <c r="K1741" s="5" t="s">
        <v>20</v>
      </c>
      <c r="L1741" s="7" t="s">
        <v>4841</v>
      </c>
    </row>
    <row r="1742" customFormat="false" ht="15.65" hidden="false" customHeight="true" outlineLevel="0" collapsed="false">
      <c r="A1742" s="2" t="str">
        <f aca="false">HYPERLINK("https://www.fabsurplus.com/sdi_catalog/salesItemDetails.do?id=108954")</f>
        <v>https://www.fabsurplus.com/sdi_catalog/salesItemDetails.do?id=108954</v>
      </c>
      <c r="B1742" s="2" t="s">
        <v>4842</v>
      </c>
      <c r="C1742" s="2" t="s">
        <v>4843</v>
      </c>
      <c r="D1742" s="2" t="s">
        <v>4844</v>
      </c>
      <c r="E1742" s="2" t="s">
        <v>4845</v>
      </c>
      <c r="F1742" s="2" t="s">
        <v>4846</v>
      </c>
      <c r="G1742" s="2"/>
      <c r="H1742" s="2"/>
      <c r="I1742" s="2"/>
      <c r="J1742" s="2"/>
      <c r="K1742" s="2"/>
      <c r="L1742" s="4" t="s">
        <v>4847</v>
      </c>
    </row>
    <row r="1743" customFormat="false" ht="15.65" hidden="false" customHeight="true" outlineLevel="0" collapsed="false">
      <c r="A1743" s="5" t="str">
        <f aca="false">HYPERLINK("https://www.fabsurplus.com/sdi_catalog/salesItemDetails.do?id=110080")</f>
        <v>https://www.fabsurplus.com/sdi_catalog/salesItemDetails.do?id=110080</v>
      </c>
      <c r="B1743" s="5" t="s">
        <v>4848</v>
      </c>
      <c r="C1743" s="5" t="s">
        <v>4849</v>
      </c>
      <c r="D1743" s="5" t="s">
        <v>4850</v>
      </c>
      <c r="E1743" s="5" t="s">
        <v>170</v>
      </c>
      <c r="F1743" s="5" t="s">
        <v>16</v>
      </c>
      <c r="G1743" s="5" t="s">
        <v>165</v>
      </c>
      <c r="H1743" s="5"/>
      <c r="I1743" s="5"/>
      <c r="J1743" s="5" t="s">
        <v>42</v>
      </c>
      <c r="K1743" s="5"/>
      <c r="L1743" s="5" t="s">
        <v>4851</v>
      </c>
    </row>
    <row r="1744" customFormat="false" ht="15.65" hidden="false" customHeight="true" outlineLevel="0" collapsed="false">
      <c r="A1744" s="2" t="str">
        <f aca="false">HYPERLINK("https://www.fabsurplus.com/sdi_catalog/salesItemDetails.do?id=110081")</f>
        <v>https://www.fabsurplus.com/sdi_catalog/salesItemDetails.do?id=110081</v>
      </c>
      <c r="B1744" s="2" t="s">
        <v>4852</v>
      </c>
      <c r="C1744" s="2" t="s">
        <v>4849</v>
      </c>
      <c r="D1744" s="2" t="s">
        <v>4850</v>
      </c>
      <c r="E1744" s="2" t="s">
        <v>170</v>
      </c>
      <c r="F1744" s="2" t="s">
        <v>16</v>
      </c>
      <c r="G1744" s="2" t="s">
        <v>165</v>
      </c>
      <c r="H1744" s="2"/>
      <c r="I1744" s="2"/>
      <c r="J1744" s="2" t="s">
        <v>42</v>
      </c>
      <c r="K1744" s="2"/>
      <c r="L1744" s="2" t="s">
        <v>4853</v>
      </c>
    </row>
    <row r="1745" customFormat="false" ht="15.65" hidden="false" customHeight="true" outlineLevel="0" collapsed="false">
      <c r="A1745" s="5" t="str">
        <f aca="false">HYPERLINK("https://www.fabsurplus.com/sdi_catalog/salesItemDetails.do?id=110082")</f>
        <v>https://www.fabsurplus.com/sdi_catalog/salesItemDetails.do?id=110082</v>
      </c>
      <c r="B1745" s="5" t="s">
        <v>4854</v>
      </c>
      <c r="C1745" s="5" t="s">
        <v>4849</v>
      </c>
      <c r="D1745" s="5" t="s">
        <v>4850</v>
      </c>
      <c r="E1745" s="5" t="s">
        <v>170</v>
      </c>
      <c r="F1745" s="5" t="s">
        <v>16</v>
      </c>
      <c r="G1745" s="5" t="s">
        <v>165</v>
      </c>
      <c r="H1745" s="5"/>
      <c r="I1745" s="5"/>
      <c r="J1745" s="5" t="s">
        <v>42</v>
      </c>
      <c r="K1745" s="5"/>
      <c r="L1745" s="5" t="s">
        <v>4855</v>
      </c>
    </row>
    <row r="1746" customFormat="false" ht="15.65" hidden="false" customHeight="true" outlineLevel="0" collapsed="false">
      <c r="A1746" s="2" t="str">
        <f aca="false">HYPERLINK("https://www.fabsurplus.com/sdi_catalog/salesItemDetails.do?id=110083")</f>
        <v>https://www.fabsurplus.com/sdi_catalog/salesItemDetails.do?id=110083</v>
      </c>
      <c r="B1746" s="2" t="s">
        <v>4856</v>
      </c>
      <c r="C1746" s="2" t="s">
        <v>4849</v>
      </c>
      <c r="D1746" s="2" t="s">
        <v>4850</v>
      </c>
      <c r="E1746" s="2" t="s">
        <v>170</v>
      </c>
      <c r="F1746" s="2" t="s">
        <v>16</v>
      </c>
      <c r="G1746" s="2" t="s">
        <v>165</v>
      </c>
      <c r="H1746" s="2"/>
      <c r="I1746" s="2"/>
      <c r="J1746" s="2" t="s">
        <v>42</v>
      </c>
      <c r="K1746" s="2"/>
      <c r="L1746" s="2" t="s">
        <v>4857</v>
      </c>
    </row>
    <row r="1747" customFormat="false" ht="15.65" hidden="false" customHeight="true" outlineLevel="0" collapsed="false">
      <c r="A1747" s="5" t="str">
        <f aca="false">HYPERLINK("https://www.fabsurplus.com/sdi_catalog/salesItemDetails.do?id=110084")</f>
        <v>https://www.fabsurplus.com/sdi_catalog/salesItemDetails.do?id=110084</v>
      </c>
      <c r="B1747" s="5" t="s">
        <v>4858</v>
      </c>
      <c r="C1747" s="5" t="s">
        <v>4849</v>
      </c>
      <c r="D1747" s="5" t="s">
        <v>4850</v>
      </c>
      <c r="E1747" s="5" t="s">
        <v>170</v>
      </c>
      <c r="F1747" s="5" t="s">
        <v>16</v>
      </c>
      <c r="G1747" s="5" t="s">
        <v>165</v>
      </c>
      <c r="H1747" s="5"/>
      <c r="I1747" s="5"/>
      <c r="J1747" s="5" t="s">
        <v>42</v>
      </c>
      <c r="K1747" s="5"/>
      <c r="L1747" s="5" t="s">
        <v>4859</v>
      </c>
    </row>
    <row r="1748" customFormat="false" ht="15.65" hidden="false" customHeight="true" outlineLevel="0" collapsed="false">
      <c r="A1748" s="2" t="str">
        <f aca="false">HYPERLINK("https://www.fabsurplus.com/sdi_catalog/salesItemDetails.do?id=110085")</f>
        <v>https://www.fabsurplus.com/sdi_catalog/salesItemDetails.do?id=110085</v>
      </c>
      <c r="B1748" s="2" t="s">
        <v>4860</v>
      </c>
      <c r="C1748" s="2" t="s">
        <v>4849</v>
      </c>
      <c r="D1748" s="2" t="s">
        <v>4850</v>
      </c>
      <c r="E1748" s="2" t="s">
        <v>170</v>
      </c>
      <c r="F1748" s="2" t="s">
        <v>16</v>
      </c>
      <c r="G1748" s="2" t="s">
        <v>165</v>
      </c>
      <c r="H1748" s="2"/>
      <c r="I1748" s="2"/>
      <c r="J1748" s="2" t="s">
        <v>42</v>
      </c>
      <c r="K1748" s="2"/>
      <c r="L1748" s="2" t="s">
        <v>4859</v>
      </c>
    </row>
    <row r="1749" customFormat="false" ht="15.65" hidden="false" customHeight="true" outlineLevel="0" collapsed="false">
      <c r="A1749" s="5" t="str">
        <f aca="false">HYPERLINK("https://www.fabsurplus.com/sdi_catalog/salesItemDetails.do?id=110086")</f>
        <v>https://www.fabsurplus.com/sdi_catalog/salesItemDetails.do?id=110086</v>
      </c>
      <c r="B1749" s="5" t="s">
        <v>4861</v>
      </c>
      <c r="C1749" s="5" t="s">
        <v>4849</v>
      </c>
      <c r="D1749" s="5" t="s">
        <v>4862</v>
      </c>
      <c r="E1749" s="5" t="s">
        <v>170</v>
      </c>
      <c r="F1749" s="5" t="s">
        <v>16</v>
      </c>
      <c r="G1749" s="5" t="s">
        <v>165</v>
      </c>
      <c r="H1749" s="5"/>
      <c r="I1749" s="5"/>
      <c r="J1749" s="5" t="s">
        <v>42</v>
      </c>
      <c r="K1749" s="5"/>
      <c r="L1749" s="5" t="s">
        <v>4863</v>
      </c>
    </row>
    <row r="1750" customFormat="false" ht="15.65" hidden="false" customHeight="true" outlineLevel="0" collapsed="false">
      <c r="A1750" s="2" t="str">
        <f aca="false">HYPERLINK("https://www.fabsurplus.com/sdi_catalog/salesItemDetails.do?id=110087")</f>
        <v>https://www.fabsurplus.com/sdi_catalog/salesItemDetails.do?id=110087</v>
      </c>
      <c r="B1750" s="2" t="s">
        <v>4864</v>
      </c>
      <c r="C1750" s="2" t="s">
        <v>4849</v>
      </c>
      <c r="D1750" s="2" t="s">
        <v>4865</v>
      </c>
      <c r="E1750" s="2" t="s">
        <v>170</v>
      </c>
      <c r="F1750" s="2" t="s">
        <v>16</v>
      </c>
      <c r="G1750" s="2" t="s">
        <v>165</v>
      </c>
      <c r="H1750" s="2"/>
      <c r="I1750" s="2"/>
      <c r="J1750" s="2" t="s">
        <v>42</v>
      </c>
      <c r="K1750" s="2"/>
      <c r="L1750" s="2" t="s">
        <v>686</v>
      </c>
    </row>
    <row r="1751" customFormat="false" ht="15.65" hidden="false" customHeight="true" outlineLevel="0" collapsed="false">
      <c r="A1751" s="5" t="str">
        <f aca="false">HYPERLINK("https://www.fabsurplus.com/sdi_catalog/salesItemDetails.do?id=110088")</f>
        <v>https://www.fabsurplus.com/sdi_catalog/salesItemDetails.do?id=110088</v>
      </c>
      <c r="B1751" s="5" t="s">
        <v>4866</v>
      </c>
      <c r="C1751" s="5" t="s">
        <v>4849</v>
      </c>
      <c r="D1751" s="5" t="s">
        <v>4865</v>
      </c>
      <c r="E1751" s="5" t="s">
        <v>170</v>
      </c>
      <c r="F1751" s="5" t="s">
        <v>16</v>
      </c>
      <c r="G1751" s="5" t="s">
        <v>165</v>
      </c>
      <c r="H1751" s="5"/>
      <c r="I1751" s="5"/>
      <c r="J1751" s="5" t="s">
        <v>42</v>
      </c>
      <c r="K1751" s="5"/>
      <c r="L1751" s="5" t="s">
        <v>686</v>
      </c>
    </row>
    <row r="1752" customFormat="false" ht="15.65" hidden="false" customHeight="true" outlineLevel="0" collapsed="false">
      <c r="A1752" s="2" t="str">
        <f aca="false">HYPERLINK("https://www.fabsurplus.com/sdi_catalog/salesItemDetails.do?id=110089")</f>
        <v>https://www.fabsurplus.com/sdi_catalog/salesItemDetails.do?id=110089</v>
      </c>
      <c r="B1752" s="2" t="s">
        <v>4867</v>
      </c>
      <c r="C1752" s="2" t="s">
        <v>4849</v>
      </c>
      <c r="D1752" s="2" t="s">
        <v>4865</v>
      </c>
      <c r="E1752" s="2" t="s">
        <v>170</v>
      </c>
      <c r="F1752" s="2" t="s">
        <v>16</v>
      </c>
      <c r="G1752" s="2" t="s">
        <v>165</v>
      </c>
      <c r="H1752" s="2"/>
      <c r="I1752" s="2"/>
      <c r="J1752" s="2" t="s">
        <v>42</v>
      </c>
      <c r="K1752" s="2"/>
      <c r="L1752" s="2" t="s">
        <v>4868</v>
      </c>
    </row>
    <row r="1753" customFormat="false" ht="15.65" hidden="false" customHeight="true" outlineLevel="0" collapsed="false">
      <c r="A1753" s="5" t="str">
        <f aca="false">HYPERLINK("https://www.fabsurplus.com/sdi_catalog/salesItemDetails.do?id=110090")</f>
        <v>https://www.fabsurplus.com/sdi_catalog/salesItemDetails.do?id=110090</v>
      </c>
      <c r="B1753" s="5" t="s">
        <v>4869</v>
      </c>
      <c r="C1753" s="5" t="s">
        <v>4849</v>
      </c>
      <c r="D1753" s="5" t="s">
        <v>4865</v>
      </c>
      <c r="E1753" s="5" t="s">
        <v>170</v>
      </c>
      <c r="F1753" s="5" t="s">
        <v>16</v>
      </c>
      <c r="G1753" s="5" t="s">
        <v>165</v>
      </c>
      <c r="H1753" s="5"/>
      <c r="I1753" s="5"/>
      <c r="J1753" s="5" t="s">
        <v>42</v>
      </c>
      <c r="K1753" s="5"/>
      <c r="L1753" s="5" t="s">
        <v>4868</v>
      </c>
    </row>
    <row r="1754" customFormat="false" ht="15.65" hidden="false" customHeight="true" outlineLevel="0" collapsed="false">
      <c r="A1754" s="2" t="str">
        <f aca="false">HYPERLINK("https://www.fabsurplus.com/sdi_catalog/salesItemDetails.do?id=110091")</f>
        <v>https://www.fabsurplus.com/sdi_catalog/salesItemDetails.do?id=110091</v>
      </c>
      <c r="B1754" s="2" t="s">
        <v>4870</v>
      </c>
      <c r="C1754" s="2" t="s">
        <v>4849</v>
      </c>
      <c r="D1754" s="2" t="s">
        <v>4865</v>
      </c>
      <c r="E1754" s="2" t="s">
        <v>170</v>
      </c>
      <c r="F1754" s="2" t="s">
        <v>16</v>
      </c>
      <c r="G1754" s="2" t="s">
        <v>165</v>
      </c>
      <c r="H1754" s="2"/>
      <c r="I1754" s="2"/>
      <c r="J1754" s="2" t="s">
        <v>42</v>
      </c>
      <c r="K1754" s="2"/>
      <c r="L1754" s="2" t="s">
        <v>4868</v>
      </c>
    </row>
    <row r="1755" customFormat="false" ht="15.65" hidden="false" customHeight="true" outlineLevel="0" collapsed="false">
      <c r="A1755" s="5" t="str">
        <f aca="false">HYPERLINK("https://www.fabsurplus.com/sdi_catalog/salesItemDetails.do?id=110092")</f>
        <v>https://www.fabsurplus.com/sdi_catalog/salesItemDetails.do?id=110092</v>
      </c>
      <c r="B1755" s="5" t="s">
        <v>4871</v>
      </c>
      <c r="C1755" s="5" t="s">
        <v>4849</v>
      </c>
      <c r="D1755" s="5" t="s">
        <v>4865</v>
      </c>
      <c r="E1755" s="5" t="s">
        <v>170</v>
      </c>
      <c r="F1755" s="5" t="s">
        <v>16</v>
      </c>
      <c r="G1755" s="5" t="s">
        <v>165</v>
      </c>
      <c r="H1755" s="5"/>
      <c r="I1755" s="5"/>
      <c r="J1755" s="5" t="s">
        <v>42</v>
      </c>
      <c r="K1755" s="5"/>
      <c r="L1755" s="5" t="s">
        <v>4868</v>
      </c>
    </row>
    <row r="1756" customFormat="false" ht="15.65" hidden="false" customHeight="true" outlineLevel="0" collapsed="false">
      <c r="A1756" s="2" t="str">
        <f aca="false">HYPERLINK("https://www.fabsurplus.com/sdi_catalog/salesItemDetails.do?id=110093")</f>
        <v>https://www.fabsurplus.com/sdi_catalog/salesItemDetails.do?id=110093</v>
      </c>
      <c r="B1756" s="2" t="s">
        <v>4872</v>
      </c>
      <c r="C1756" s="2" t="s">
        <v>4849</v>
      </c>
      <c r="D1756" s="2" t="s">
        <v>4865</v>
      </c>
      <c r="E1756" s="2" t="s">
        <v>170</v>
      </c>
      <c r="F1756" s="2" t="s">
        <v>16</v>
      </c>
      <c r="G1756" s="2" t="s">
        <v>165</v>
      </c>
      <c r="H1756" s="2"/>
      <c r="I1756" s="2"/>
      <c r="J1756" s="2" t="s">
        <v>42</v>
      </c>
      <c r="K1756" s="2"/>
      <c r="L1756" s="2" t="s">
        <v>4873</v>
      </c>
    </row>
    <row r="1757" customFormat="false" ht="15.65" hidden="false" customHeight="true" outlineLevel="0" collapsed="false">
      <c r="A1757" s="5" t="str">
        <f aca="false">HYPERLINK("https://www.fabsurplus.com/sdi_catalog/salesItemDetails.do?id=110094")</f>
        <v>https://www.fabsurplus.com/sdi_catalog/salesItemDetails.do?id=110094</v>
      </c>
      <c r="B1757" s="5" t="s">
        <v>4874</v>
      </c>
      <c r="C1757" s="5" t="s">
        <v>4849</v>
      </c>
      <c r="D1757" s="5" t="s">
        <v>4875</v>
      </c>
      <c r="E1757" s="5" t="s">
        <v>170</v>
      </c>
      <c r="F1757" s="5" t="s">
        <v>16</v>
      </c>
      <c r="G1757" s="5" t="s">
        <v>165</v>
      </c>
      <c r="H1757" s="5"/>
      <c r="I1757" s="5"/>
      <c r="J1757" s="5" t="s">
        <v>42</v>
      </c>
      <c r="K1757" s="5"/>
      <c r="L1757" s="5" t="s">
        <v>4876</v>
      </c>
    </row>
    <row r="1758" customFormat="false" ht="15.65" hidden="false" customHeight="true" outlineLevel="0" collapsed="false">
      <c r="A1758" s="2" t="str">
        <f aca="false">HYPERLINK("https://www.fabsurplus.com/sdi_catalog/salesItemDetails.do?id=110095")</f>
        <v>https://www.fabsurplus.com/sdi_catalog/salesItemDetails.do?id=110095</v>
      </c>
      <c r="B1758" s="2" t="s">
        <v>4877</v>
      </c>
      <c r="C1758" s="2" t="s">
        <v>4849</v>
      </c>
      <c r="D1758" s="2" t="s">
        <v>4875</v>
      </c>
      <c r="E1758" s="2" t="s">
        <v>170</v>
      </c>
      <c r="F1758" s="2" t="s">
        <v>16</v>
      </c>
      <c r="G1758" s="2" t="s">
        <v>165</v>
      </c>
      <c r="H1758" s="2"/>
      <c r="I1758" s="2"/>
      <c r="J1758" s="2" t="s">
        <v>42</v>
      </c>
      <c r="K1758" s="2"/>
      <c r="L1758" s="2" t="s">
        <v>4876</v>
      </c>
    </row>
    <row r="1759" customFormat="false" ht="15.65" hidden="false" customHeight="true" outlineLevel="0" collapsed="false">
      <c r="A1759" s="5" t="str">
        <f aca="false">HYPERLINK("https://www.fabsurplus.com/sdi_catalog/salesItemDetails.do?id=110096")</f>
        <v>https://www.fabsurplus.com/sdi_catalog/salesItemDetails.do?id=110096</v>
      </c>
      <c r="B1759" s="5" t="s">
        <v>4878</v>
      </c>
      <c r="C1759" s="5" t="s">
        <v>4849</v>
      </c>
      <c r="D1759" s="5" t="s">
        <v>4875</v>
      </c>
      <c r="E1759" s="5" t="s">
        <v>170</v>
      </c>
      <c r="F1759" s="5" t="s">
        <v>16</v>
      </c>
      <c r="G1759" s="5" t="s">
        <v>165</v>
      </c>
      <c r="H1759" s="5"/>
      <c r="I1759" s="5"/>
      <c r="J1759" s="5" t="s">
        <v>42</v>
      </c>
      <c r="K1759" s="5"/>
      <c r="L1759" s="5" t="s">
        <v>4879</v>
      </c>
    </row>
    <row r="1760" customFormat="false" ht="15.65" hidden="false" customHeight="true" outlineLevel="0" collapsed="false">
      <c r="A1760" s="2" t="str">
        <f aca="false">HYPERLINK("https://www.fabsurplus.com/sdi_catalog/salesItemDetails.do?id=110097")</f>
        <v>https://www.fabsurplus.com/sdi_catalog/salesItemDetails.do?id=110097</v>
      </c>
      <c r="B1760" s="2" t="s">
        <v>4880</v>
      </c>
      <c r="C1760" s="2" t="s">
        <v>4849</v>
      </c>
      <c r="D1760" s="2" t="s">
        <v>4875</v>
      </c>
      <c r="E1760" s="2" t="s">
        <v>170</v>
      </c>
      <c r="F1760" s="2" t="s">
        <v>16</v>
      </c>
      <c r="G1760" s="2" t="s">
        <v>165</v>
      </c>
      <c r="H1760" s="2"/>
      <c r="I1760" s="2"/>
      <c r="J1760" s="2" t="s">
        <v>42</v>
      </c>
      <c r="K1760" s="2"/>
      <c r="L1760" s="2" t="s">
        <v>4881</v>
      </c>
    </row>
    <row r="1761" customFormat="false" ht="15.65" hidden="false" customHeight="true" outlineLevel="0" collapsed="false">
      <c r="A1761" s="5" t="str">
        <f aca="false">HYPERLINK("https://www.fabsurplus.com/sdi_catalog/salesItemDetails.do?id=110098")</f>
        <v>https://www.fabsurplus.com/sdi_catalog/salesItemDetails.do?id=110098</v>
      </c>
      <c r="B1761" s="5" t="s">
        <v>4882</v>
      </c>
      <c r="C1761" s="5" t="s">
        <v>4849</v>
      </c>
      <c r="D1761" s="5" t="s">
        <v>4883</v>
      </c>
      <c r="E1761" s="5" t="s">
        <v>170</v>
      </c>
      <c r="F1761" s="5" t="s">
        <v>16</v>
      </c>
      <c r="G1761" s="5" t="s">
        <v>165</v>
      </c>
      <c r="H1761" s="5"/>
      <c r="I1761" s="5"/>
      <c r="J1761" s="5" t="s">
        <v>42</v>
      </c>
      <c r="K1761" s="5"/>
      <c r="L1761" s="5" t="s">
        <v>4884</v>
      </c>
    </row>
    <row r="1762" customFormat="false" ht="15.65" hidden="false" customHeight="true" outlineLevel="0" collapsed="false">
      <c r="A1762" s="2" t="str">
        <f aca="false">HYPERLINK("https://www.fabsurplus.com/sdi_catalog/salesItemDetails.do?id=110099")</f>
        <v>https://www.fabsurplus.com/sdi_catalog/salesItemDetails.do?id=110099</v>
      </c>
      <c r="B1762" s="2" t="s">
        <v>4885</v>
      </c>
      <c r="C1762" s="2" t="s">
        <v>4849</v>
      </c>
      <c r="D1762" s="2" t="s">
        <v>4883</v>
      </c>
      <c r="E1762" s="2" t="s">
        <v>170</v>
      </c>
      <c r="F1762" s="2" t="s">
        <v>16</v>
      </c>
      <c r="G1762" s="2" t="s">
        <v>165</v>
      </c>
      <c r="H1762" s="2"/>
      <c r="I1762" s="2"/>
      <c r="J1762" s="2" t="s">
        <v>42</v>
      </c>
      <c r="K1762" s="2"/>
      <c r="L1762" s="2" t="s">
        <v>4884</v>
      </c>
    </row>
    <row r="1763" customFormat="false" ht="15.65" hidden="false" customHeight="true" outlineLevel="0" collapsed="false">
      <c r="A1763" s="5" t="str">
        <f aca="false">HYPERLINK("https://www.fabsurplus.com/sdi_catalog/salesItemDetails.do?id=110100")</f>
        <v>https://www.fabsurplus.com/sdi_catalog/salesItemDetails.do?id=110100</v>
      </c>
      <c r="B1763" s="5" t="s">
        <v>4886</v>
      </c>
      <c r="C1763" s="5" t="s">
        <v>4849</v>
      </c>
      <c r="D1763" s="5" t="s">
        <v>4887</v>
      </c>
      <c r="E1763" s="5" t="s">
        <v>170</v>
      </c>
      <c r="F1763" s="5" t="s">
        <v>16</v>
      </c>
      <c r="G1763" s="5" t="s">
        <v>165</v>
      </c>
      <c r="H1763" s="5"/>
      <c r="I1763" s="5"/>
      <c r="J1763" s="5" t="s">
        <v>42</v>
      </c>
      <c r="K1763" s="5"/>
      <c r="L1763" s="5" t="s">
        <v>686</v>
      </c>
    </row>
    <row r="1764" customFormat="false" ht="15.65" hidden="false" customHeight="true" outlineLevel="0" collapsed="false">
      <c r="A1764" s="2" t="str">
        <f aca="false">HYPERLINK("https://www.fabsurplus.com/sdi_catalog/salesItemDetails.do?id=110101")</f>
        <v>https://www.fabsurplus.com/sdi_catalog/salesItemDetails.do?id=110101</v>
      </c>
      <c r="B1764" s="2" t="s">
        <v>4888</v>
      </c>
      <c r="C1764" s="2" t="s">
        <v>4849</v>
      </c>
      <c r="D1764" s="2" t="s">
        <v>4889</v>
      </c>
      <c r="E1764" s="2" t="s">
        <v>170</v>
      </c>
      <c r="F1764" s="2" t="s">
        <v>16</v>
      </c>
      <c r="G1764" s="2" t="s">
        <v>165</v>
      </c>
      <c r="H1764" s="2"/>
      <c r="I1764" s="2"/>
      <c r="J1764" s="2" t="s">
        <v>42</v>
      </c>
      <c r="K1764" s="2"/>
      <c r="L1764" s="2" t="s">
        <v>4890</v>
      </c>
    </row>
    <row r="1765" customFormat="false" ht="15.65" hidden="false" customHeight="true" outlineLevel="0" collapsed="false">
      <c r="A1765" s="5" t="str">
        <f aca="false">HYPERLINK("https://www.fabsurplus.com/sdi_catalog/salesItemDetails.do?id=108566")</f>
        <v>https://www.fabsurplus.com/sdi_catalog/salesItemDetails.do?id=108566</v>
      </c>
      <c r="B1765" s="5" t="s">
        <v>4891</v>
      </c>
      <c r="C1765" s="5" t="s">
        <v>4849</v>
      </c>
      <c r="D1765" s="5" t="s">
        <v>4892</v>
      </c>
      <c r="E1765" s="5" t="s">
        <v>279</v>
      </c>
      <c r="F1765" s="5" t="s">
        <v>236</v>
      </c>
      <c r="G1765" s="5" t="s">
        <v>165</v>
      </c>
      <c r="H1765" s="5" t="s">
        <v>32</v>
      </c>
      <c r="I1765" s="6" t="n">
        <v>38687</v>
      </c>
      <c r="J1765" s="5" t="s">
        <v>19</v>
      </c>
      <c r="K1765" s="5" t="s">
        <v>2891</v>
      </c>
      <c r="L1765" s="7" t="s">
        <v>4893</v>
      </c>
    </row>
    <row r="1766" customFormat="false" ht="15.65" hidden="false" customHeight="true" outlineLevel="0" collapsed="false">
      <c r="A1766" s="2" t="str">
        <f aca="false">HYPERLINK("https://www.fabsurplus.com/sdi_catalog/salesItemDetails.do?id=110102")</f>
        <v>https://www.fabsurplus.com/sdi_catalog/salesItemDetails.do?id=110102</v>
      </c>
      <c r="B1766" s="2" t="s">
        <v>4894</v>
      </c>
      <c r="C1766" s="2" t="s">
        <v>4849</v>
      </c>
      <c r="D1766" s="2" t="s">
        <v>4889</v>
      </c>
      <c r="E1766" s="2" t="s">
        <v>170</v>
      </c>
      <c r="F1766" s="2" t="s">
        <v>16</v>
      </c>
      <c r="G1766" s="2" t="s">
        <v>165</v>
      </c>
      <c r="H1766" s="2"/>
      <c r="I1766" s="2"/>
      <c r="J1766" s="2" t="s">
        <v>42</v>
      </c>
      <c r="K1766" s="2"/>
      <c r="L1766" s="2" t="s">
        <v>4890</v>
      </c>
    </row>
    <row r="1767" customFormat="false" ht="15.65" hidden="false" customHeight="true" outlineLevel="0" collapsed="false">
      <c r="A1767" s="5" t="str">
        <f aca="false">HYPERLINK("https://www.fabsurplus.com/sdi_catalog/salesItemDetails.do?id=108567")</f>
        <v>https://www.fabsurplus.com/sdi_catalog/salesItemDetails.do?id=108567</v>
      </c>
      <c r="B1767" s="5" t="s">
        <v>4895</v>
      </c>
      <c r="C1767" s="5" t="s">
        <v>4849</v>
      </c>
      <c r="D1767" s="5" t="s">
        <v>4896</v>
      </c>
      <c r="E1767" s="5" t="s">
        <v>279</v>
      </c>
      <c r="F1767" s="5" t="s">
        <v>16</v>
      </c>
      <c r="G1767" s="5" t="s">
        <v>165</v>
      </c>
      <c r="H1767" s="5" t="s">
        <v>18</v>
      </c>
      <c r="I1767" s="6" t="n">
        <v>38899</v>
      </c>
      <c r="J1767" s="5" t="s">
        <v>19</v>
      </c>
      <c r="K1767" s="5" t="s">
        <v>20</v>
      </c>
      <c r="L1767" s="5" t="s">
        <v>4897</v>
      </c>
    </row>
    <row r="1768" customFormat="false" ht="15.65" hidden="false" customHeight="true" outlineLevel="0" collapsed="false">
      <c r="A1768" s="2" t="str">
        <f aca="false">HYPERLINK("https://www.fabsurplus.com/sdi_catalog/salesItemDetails.do?id=110103")</f>
        <v>https://www.fabsurplus.com/sdi_catalog/salesItemDetails.do?id=110103</v>
      </c>
      <c r="B1768" s="2" t="s">
        <v>4898</v>
      </c>
      <c r="C1768" s="2" t="s">
        <v>4899</v>
      </c>
      <c r="D1768" s="2" t="s">
        <v>4900</v>
      </c>
      <c r="E1768" s="2" t="s">
        <v>170</v>
      </c>
      <c r="F1768" s="2" t="s">
        <v>16</v>
      </c>
      <c r="G1768" s="2" t="s">
        <v>165</v>
      </c>
      <c r="H1768" s="2"/>
      <c r="I1768" s="2"/>
      <c r="J1768" s="2" t="s">
        <v>42</v>
      </c>
      <c r="K1768" s="2"/>
      <c r="L1768" s="2" t="s">
        <v>4901</v>
      </c>
    </row>
    <row r="1769" customFormat="false" ht="15.65" hidden="false" customHeight="true" outlineLevel="0" collapsed="false">
      <c r="A1769" s="5" t="str">
        <f aca="false">HYPERLINK("https://www.fabsurplus.com/sdi_catalog/salesItemDetails.do?id=110104")</f>
        <v>https://www.fabsurplus.com/sdi_catalog/salesItemDetails.do?id=110104</v>
      </c>
      <c r="B1769" s="5" t="s">
        <v>4902</v>
      </c>
      <c r="C1769" s="5" t="s">
        <v>4849</v>
      </c>
      <c r="D1769" s="5" t="s">
        <v>4903</v>
      </c>
      <c r="E1769" s="5" t="s">
        <v>170</v>
      </c>
      <c r="F1769" s="5" t="s">
        <v>16</v>
      </c>
      <c r="G1769" s="5" t="s">
        <v>165</v>
      </c>
      <c r="H1769" s="5"/>
      <c r="I1769" s="5"/>
      <c r="J1769" s="5" t="s">
        <v>42</v>
      </c>
      <c r="K1769" s="5"/>
      <c r="L1769" s="5" t="s">
        <v>4904</v>
      </c>
    </row>
    <row r="1770" customFormat="false" ht="15.65" hidden="false" customHeight="true" outlineLevel="0" collapsed="false">
      <c r="A1770" s="2" t="str">
        <f aca="false">HYPERLINK("https://www.fabsurplus.com/sdi_catalog/salesItemDetails.do?id=110105")</f>
        <v>https://www.fabsurplus.com/sdi_catalog/salesItemDetails.do?id=110105</v>
      </c>
      <c r="B1770" s="2" t="s">
        <v>4905</v>
      </c>
      <c r="C1770" s="2" t="s">
        <v>4849</v>
      </c>
      <c r="D1770" s="2" t="s">
        <v>4903</v>
      </c>
      <c r="E1770" s="2" t="s">
        <v>170</v>
      </c>
      <c r="F1770" s="2" t="s">
        <v>16</v>
      </c>
      <c r="G1770" s="2" t="s">
        <v>165</v>
      </c>
      <c r="H1770" s="2"/>
      <c r="I1770" s="2"/>
      <c r="J1770" s="2" t="s">
        <v>42</v>
      </c>
      <c r="K1770" s="2"/>
      <c r="L1770" s="2" t="s">
        <v>4906</v>
      </c>
    </row>
    <row r="1771" customFormat="false" ht="15.65" hidden="false" customHeight="true" outlineLevel="0" collapsed="false">
      <c r="A1771" s="5" t="str">
        <f aca="false">HYPERLINK("https://www.fabsurplus.com/sdi_catalog/salesItemDetails.do?id=107546")</f>
        <v>https://www.fabsurplus.com/sdi_catalog/salesItemDetails.do?id=107546</v>
      </c>
      <c r="B1771" s="5" t="s">
        <v>4907</v>
      </c>
      <c r="C1771" s="5" t="s">
        <v>4849</v>
      </c>
      <c r="D1771" s="5" t="s">
        <v>4908</v>
      </c>
      <c r="E1771" s="5" t="s">
        <v>1390</v>
      </c>
      <c r="F1771" s="5" t="s">
        <v>16</v>
      </c>
      <c r="G1771" s="5" t="s">
        <v>104</v>
      </c>
      <c r="H1771" s="5" t="s">
        <v>275</v>
      </c>
      <c r="I1771" s="5"/>
      <c r="J1771" s="5" t="s">
        <v>19</v>
      </c>
      <c r="K1771" s="5" t="s">
        <v>20</v>
      </c>
      <c r="L1771" s="5" t="s">
        <v>4909</v>
      </c>
    </row>
    <row r="1772" customFormat="false" ht="15.65" hidden="false" customHeight="true" outlineLevel="0" collapsed="false">
      <c r="A1772" s="2" t="str">
        <f aca="false">HYPERLINK("https://www.fabsurplus.com/sdi_catalog/salesItemDetails.do?id=110106")</f>
        <v>https://www.fabsurplus.com/sdi_catalog/salesItemDetails.do?id=110106</v>
      </c>
      <c r="B1772" s="2" t="s">
        <v>4910</v>
      </c>
      <c r="C1772" s="2" t="s">
        <v>4849</v>
      </c>
      <c r="D1772" s="2" t="s">
        <v>4911</v>
      </c>
      <c r="E1772" s="2" t="s">
        <v>763</v>
      </c>
      <c r="F1772" s="2" t="s">
        <v>16</v>
      </c>
      <c r="G1772" s="2" t="s">
        <v>165</v>
      </c>
      <c r="H1772" s="2"/>
      <c r="I1772" s="2"/>
      <c r="J1772" s="2" t="s">
        <v>42</v>
      </c>
      <c r="K1772" s="2"/>
      <c r="L1772" s="4" t="s">
        <v>4912</v>
      </c>
    </row>
    <row r="1773" customFormat="false" ht="15.65" hidden="false" customHeight="true" outlineLevel="0" collapsed="false">
      <c r="A1773" s="5" t="str">
        <f aca="false">HYPERLINK("https://www.fabsurplus.com/sdi_catalog/salesItemDetails.do?id=110107")</f>
        <v>https://www.fabsurplus.com/sdi_catalog/salesItemDetails.do?id=110107</v>
      </c>
      <c r="B1773" s="5" t="s">
        <v>4913</v>
      </c>
      <c r="C1773" s="5" t="s">
        <v>4849</v>
      </c>
      <c r="D1773" s="5" t="s">
        <v>4914</v>
      </c>
      <c r="E1773" s="5" t="s">
        <v>763</v>
      </c>
      <c r="F1773" s="5" t="s">
        <v>16</v>
      </c>
      <c r="G1773" s="5" t="s">
        <v>165</v>
      </c>
      <c r="H1773" s="5"/>
      <c r="I1773" s="5"/>
      <c r="J1773" s="5" t="s">
        <v>42</v>
      </c>
      <c r="K1773" s="5"/>
      <c r="L1773" s="7" t="s">
        <v>4915</v>
      </c>
    </row>
    <row r="1774" customFormat="false" ht="15.65" hidden="false" customHeight="true" outlineLevel="0" collapsed="false">
      <c r="A1774" s="2" t="str">
        <f aca="false">HYPERLINK("https://www.fabsurplus.com/sdi_catalog/salesItemDetails.do?id=110108")</f>
        <v>https://www.fabsurplus.com/sdi_catalog/salesItemDetails.do?id=110108</v>
      </c>
      <c r="B1774" s="2" t="s">
        <v>4916</v>
      </c>
      <c r="C1774" s="2" t="s">
        <v>4849</v>
      </c>
      <c r="D1774" s="2" t="s">
        <v>4917</v>
      </c>
      <c r="E1774" s="2" t="s">
        <v>170</v>
      </c>
      <c r="F1774" s="2" t="s">
        <v>16</v>
      </c>
      <c r="G1774" s="2" t="s">
        <v>165</v>
      </c>
      <c r="H1774" s="2"/>
      <c r="I1774" s="2"/>
      <c r="J1774" s="2" t="s">
        <v>42</v>
      </c>
      <c r="K1774" s="2"/>
      <c r="L1774" s="2" t="s">
        <v>4918</v>
      </c>
    </row>
    <row r="1775" customFormat="false" ht="15.65" hidden="false" customHeight="true" outlineLevel="0" collapsed="false">
      <c r="A1775" s="5" t="str">
        <f aca="false">HYPERLINK("https://www.fabsurplus.com/sdi_catalog/salesItemDetails.do?id=110109")</f>
        <v>https://www.fabsurplus.com/sdi_catalog/salesItemDetails.do?id=110109</v>
      </c>
      <c r="B1775" s="5" t="s">
        <v>4919</v>
      </c>
      <c r="C1775" s="5" t="s">
        <v>4849</v>
      </c>
      <c r="D1775" s="5" t="s">
        <v>4917</v>
      </c>
      <c r="E1775" s="5" t="s">
        <v>170</v>
      </c>
      <c r="F1775" s="5" t="s">
        <v>16</v>
      </c>
      <c r="G1775" s="5" t="s">
        <v>165</v>
      </c>
      <c r="H1775" s="5"/>
      <c r="I1775" s="5"/>
      <c r="J1775" s="5" t="s">
        <v>42</v>
      </c>
      <c r="K1775" s="5"/>
      <c r="L1775" s="5" t="s">
        <v>4918</v>
      </c>
    </row>
    <row r="1776" customFormat="false" ht="15.65" hidden="false" customHeight="true" outlineLevel="0" collapsed="false">
      <c r="A1776" s="2" t="str">
        <f aca="false">HYPERLINK("https://www.fabsurplus.com/sdi_catalog/salesItemDetails.do?id=110110")</f>
        <v>https://www.fabsurplus.com/sdi_catalog/salesItemDetails.do?id=110110</v>
      </c>
      <c r="B1776" s="2" t="s">
        <v>4920</v>
      </c>
      <c r="C1776" s="2" t="s">
        <v>4849</v>
      </c>
      <c r="D1776" s="2" t="s">
        <v>4921</v>
      </c>
      <c r="E1776" s="2" t="s">
        <v>164</v>
      </c>
      <c r="F1776" s="2" t="s">
        <v>16</v>
      </c>
      <c r="G1776" s="2" t="s">
        <v>165</v>
      </c>
      <c r="H1776" s="2"/>
      <c r="I1776" s="2"/>
      <c r="J1776" s="2" t="s">
        <v>42</v>
      </c>
      <c r="K1776" s="2"/>
      <c r="L1776" s="2" t="s">
        <v>4922</v>
      </c>
    </row>
    <row r="1777" customFormat="false" ht="15.65" hidden="false" customHeight="true" outlineLevel="0" collapsed="false">
      <c r="A1777" s="5" t="str">
        <f aca="false">HYPERLINK("https://www.fabsurplus.com/sdi_catalog/salesItemDetails.do?id=110111")</f>
        <v>https://www.fabsurplus.com/sdi_catalog/salesItemDetails.do?id=110111</v>
      </c>
      <c r="B1777" s="5" t="s">
        <v>4923</v>
      </c>
      <c r="C1777" s="5" t="s">
        <v>4849</v>
      </c>
      <c r="D1777" s="5" t="s">
        <v>4924</v>
      </c>
      <c r="E1777" s="5" t="s">
        <v>170</v>
      </c>
      <c r="F1777" s="5" t="s">
        <v>16</v>
      </c>
      <c r="G1777" s="5" t="s">
        <v>165</v>
      </c>
      <c r="H1777" s="5"/>
      <c r="I1777" s="5"/>
      <c r="J1777" s="5" t="s">
        <v>42</v>
      </c>
      <c r="K1777" s="5"/>
      <c r="L1777" s="5" t="s">
        <v>4925</v>
      </c>
    </row>
    <row r="1778" customFormat="false" ht="15.65" hidden="false" customHeight="true" outlineLevel="0" collapsed="false">
      <c r="A1778" s="2" t="str">
        <f aca="false">HYPERLINK("https://www.fabsurplus.com/sdi_catalog/salesItemDetails.do?id=110112")</f>
        <v>https://www.fabsurplus.com/sdi_catalog/salesItemDetails.do?id=110112</v>
      </c>
      <c r="B1778" s="2" t="s">
        <v>4926</v>
      </c>
      <c r="C1778" s="2" t="s">
        <v>4849</v>
      </c>
      <c r="D1778" s="2" t="s">
        <v>4924</v>
      </c>
      <c r="E1778" s="2" t="s">
        <v>170</v>
      </c>
      <c r="F1778" s="2" t="s">
        <v>16</v>
      </c>
      <c r="G1778" s="2" t="s">
        <v>165</v>
      </c>
      <c r="H1778" s="2"/>
      <c r="I1778" s="2"/>
      <c r="J1778" s="2" t="s">
        <v>42</v>
      </c>
      <c r="K1778" s="2"/>
      <c r="L1778" s="2" t="s">
        <v>4925</v>
      </c>
    </row>
    <row r="1779" customFormat="false" ht="15.65" hidden="false" customHeight="true" outlineLevel="0" collapsed="false">
      <c r="A1779" s="5" t="str">
        <f aca="false">HYPERLINK("https://www.fabsurplus.com/sdi_catalog/salesItemDetails.do?id=110113")</f>
        <v>https://www.fabsurplus.com/sdi_catalog/salesItemDetails.do?id=110113</v>
      </c>
      <c r="B1779" s="5" t="s">
        <v>4927</v>
      </c>
      <c r="C1779" s="5" t="s">
        <v>4849</v>
      </c>
      <c r="D1779" s="5" t="s">
        <v>4928</v>
      </c>
      <c r="E1779" s="5" t="s">
        <v>170</v>
      </c>
      <c r="F1779" s="5" t="s">
        <v>16</v>
      </c>
      <c r="G1779" s="5" t="s">
        <v>165</v>
      </c>
      <c r="H1779" s="5"/>
      <c r="I1779" s="5"/>
      <c r="J1779" s="5" t="s">
        <v>42</v>
      </c>
      <c r="K1779" s="5"/>
      <c r="L1779" s="5" t="s">
        <v>4929</v>
      </c>
    </row>
    <row r="1780" customFormat="false" ht="15.65" hidden="false" customHeight="true" outlineLevel="0" collapsed="false">
      <c r="A1780" s="2" t="str">
        <f aca="false">HYPERLINK("https://www.fabsurplus.com/sdi_catalog/salesItemDetails.do?id=110114")</f>
        <v>https://www.fabsurplus.com/sdi_catalog/salesItemDetails.do?id=110114</v>
      </c>
      <c r="B1780" s="2" t="s">
        <v>4930</v>
      </c>
      <c r="C1780" s="2" t="s">
        <v>4849</v>
      </c>
      <c r="D1780" s="2" t="s">
        <v>4928</v>
      </c>
      <c r="E1780" s="2" t="s">
        <v>170</v>
      </c>
      <c r="F1780" s="2" t="s">
        <v>16</v>
      </c>
      <c r="G1780" s="2" t="s">
        <v>165</v>
      </c>
      <c r="H1780" s="2"/>
      <c r="I1780" s="2"/>
      <c r="J1780" s="2" t="s">
        <v>42</v>
      </c>
      <c r="K1780" s="2"/>
      <c r="L1780" s="2" t="s">
        <v>4931</v>
      </c>
    </row>
    <row r="1781" customFormat="false" ht="15.65" hidden="false" customHeight="true" outlineLevel="0" collapsed="false">
      <c r="A1781" s="5" t="str">
        <f aca="false">HYPERLINK("https://www.fabsurplus.com/sdi_catalog/salesItemDetails.do?id=110115")</f>
        <v>https://www.fabsurplus.com/sdi_catalog/salesItemDetails.do?id=110115</v>
      </c>
      <c r="B1781" s="5" t="s">
        <v>4932</v>
      </c>
      <c r="C1781" s="5" t="s">
        <v>4849</v>
      </c>
      <c r="D1781" s="5" t="s">
        <v>4928</v>
      </c>
      <c r="E1781" s="5" t="s">
        <v>170</v>
      </c>
      <c r="F1781" s="5" t="s">
        <v>16</v>
      </c>
      <c r="G1781" s="5" t="s">
        <v>165</v>
      </c>
      <c r="H1781" s="5"/>
      <c r="I1781" s="5"/>
      <c r="J1781" s="5" t="s">
        <v>42</v>
      </c>
      <c r="K1781" s="5"/>
      <c r="L1781" s="5" t="s">
        <v>4931</v>
      </c>
    </row>
    <row r="1782" customFormat="false" ht="15.65" hidden="false" customHeight="true" outlineLevel="0" collapsed="false">
      <c r="A1782" s="2" t="str">
        <f aca="false">HYPERLINK("https://www.fabsurplus.com/sdi_catalog/salesItemDetails.do?id=110116")</f>
        <v>https://www.fabsurplus.com/sdi_catalog/salesItemDetails.do?id=110116</v>
      </c>
      <c r="B1782" s="2" t="s">
        <v>4933</v>
      </c>
      <c r="C1782" s="2" t="s">
        <v>4849</v>
      </c>
      <c r="D1782" s="2" t="s">
        <v>4928</v>
      </c>
      <c r="E1782" s="2" t="s">
        <v>170</v>
      </c>
      <c r="F1782" s="2" t="s">
        <v>16</v>
      </c>
      <c r="G1782" s="2" t="s">
        <v>165</v>
      </c>
      <c r="H1782" s="2"/>
      <c r="I1782" s="2"/>
      <c r="J1782" s="2" t="s">
        <v>42</v>
      </c>
      <c r="K1782" s="2"/>
      <c r="L1782" s="2" t="s">
        <v>4934</v>
      </c>
    </row>
    <row r="1783" customFormat="false" ht="15.65" hidden="false" customHeight="true" outlineLevel="0" collapsed="false">
      <c r="A1783" s="5" t="str">
        <f aca="false">HYPERLINK("https://www.fabsurplus.com/sdi_catalog/salesItemDetails.do?id=110117")</f>
        <v>https://www.fabsurplus.com/sdi_catalog/salesItemDetails.do?id=110117</v>
      </c>
      <c r="B1783" s="5" t="s">
        <v>4935</v>
      </c>
      <c r="C1783" s="5" t="s">
        <v>4849</v>
      </c>
      <c r="D1783" s="5" t="s">
        <v>4928</v>
      </c>
      <c r="E1783" s="5" t="s">
        <v>170</v>
      </c>
      <c r="F1783" s="5" t="s">
        <v>16</v>
      </c>
      <c r="G1783" s="5" t="s">
        <v>165</v>
      </c>
      <c r="H1783" s="5"/>
      <c r="I1783" s="5"/>
      <c r="J1783" s="5" t="s">
        <v>42</v>
      </c>
      <c r="K1783" s="5"/>
      <c r="L1783" s="5" t="s">
        <v>4936</v>
      </c>
    </row>
    <row r="1784" customFormat="false" ht="15.65" hidden="false" customHeight="true" outlineLevel="0" collapsed="false">
      <c r="A1784" s="2" t="str">
        <f aca="false">HYPERLINK("https://www.fabsurplus.com/sdi_catalog/salesItemDetails.do?id=110118")</f>
        <v>https://www.fabsurplus.com/sdi_catalog/salesItemDetails.do?id=110118</v>
      </c>
      <c r="B1784" s="2" t="s">
        <v>4937</v>
      </c>
      <c r="C1784" s="2" t="s">
        <v>4849</v>
      </c>
      <c r="D1784" s="2" t="s">
        <v>4928</v>
      </c>
      <c r="E1784" s="2" t="s">
        <v>170</v>
      </c>
      <c r="F1784" s="2" t="s">
        <v>16</v>
      </c>
      <c r="G1784" s="2" t="s">
        <v>165</v>
      </c>
      <c r="H1784" s="2"/>
      <c r="I1784" s="2"/>
      <c r="J1784" s="2" t="s">
        <v>42</v>
      </c>
      <c r="K1784" s="2"/>
      <c r="L1784" s="2" t="s">
        <v>4938</v>
      </c>
    </row>
    <row r="1785" customFormat="false" ht="15.65" hidden="false" customHeight="true" outlineLevel="0" collapsed="false">
      <c r="A1785" s="5" t="str">
        <f aca="false">HYPERLINK("https://www.fabsurplus.com/sdi_catalog/salesItemDetails.do?id=110119")</f>
        <v>https://www.fabsurplus.com/sdi_catalog/salesItemDetails.do?id=110119</v>
      </c>
      <c r="B1785" s="5" t="s">
        <v>4939</v>
      </c>
      <c r="C1785" s="5" t="s">
        <v>4849</v>
      </c>
      <c r="D1785" s="5" t="s">
        <v>4928</v>
      </c>
      <c r="E1785" s="5" t="s">
        <v>170</v>
      </c>
      <c r="F1785" s="5" t="s">
        <v>16</v>
      </c>
      <c r="G1785" s="5" t="s">
        <v>165</v>
      </c>
      <c r="H1785" s="5"/>
      <c r="I1785" s="5"/>
      <c r="J1785" s="5" t="s">
        <v>42</v>
      </c>
      <c r="K1785" s="5"/>
      <c r="L1785" s="5" t="s">
        <v>4938</v>
      </c>
    </row>
    <row r="1786" customFormat="false" ht="15.65" hidden="false" customHeight="true" outlineLevel="0" collapsed="false">
      <c r="A1786" s="2" t="str">
        <f aca="false">HYPERLINK("https://www.fabsurplus.com/sdi_catalog/salesItemDetails.do?id=110120")</f>
        <v>https://www.fabsurplus.com/sdi_catalog/salesItemDetails.do?id=110120</v>
      </c>
      <c r="B1786" s="2" t="s">
        <v>4940</v>
      </c>
      <c r="C1786" s="2" t="s">
        <v>4899</v>
      </c>
      <c r="D1786" s="2" t="s">
        <v>4941</v>
      </c>
      <c r="E1786" s="2" t="s">
        <v>170</v>
      </c>
      <c r="F1786" s="2" t="s">
        <v>16</v>
      </c>
      <c r="G1786" s="2" t="s">
        <v>165</v>
      </c>
      <c r="H1786" s="2"/>
      <c r="I1786" s="2"/>
      <c r="J1786" s="2" t="s">
        <v>42</v>
      </c>
      <c r="K1786" s="2"/>
      <c r="L1786" s="2" t="s">
        <v>4942</v>
      </c>
    </row>
    <row r="1787" customFormat="false" ht="15.65" hidden="false" customHeight="true" outlineLevel="0" collapsed="false">
      <c r="A1787" s="5" t="str">
        <f aca="false">HYPERLINK("https://www.fabsurplus.com/sdi_catalog/salesItemDetails.do?id=110121")</f>
        <v>https://www.fabsurplus.com/sdi_catalog/salesItemDetails.do?id=110121</v>
      </c>
      <c r="B1787" s="5" t="s">
        <v>4943</v>
      </c>
      <c r="C1787" s="5" t="s">
        <v>4899</v>
      </c>
      <c r="D1787" s="5" t="s">
        <v>4941</v>
      </c>
      <c r="E1787" s="5" t="s">
        <v>170</v>
      </c>
      <c r="F1787" s="5" t="s">
        <v>16</v>
      </c>
      <c r="G1787" s="5" t="s">
        <v>165</v>
      </c>
      <c r="H1787" s="5"/>
      <c r="I1787" s="5"/>
      <c r="J1787" s="5" t="s">
        <v>42</v>
      </c>
      <c r="K1787" s="5"/>
      <c r="L1787" s="5" t="s">
        <v>4942</v>
      </c>
    </row>
    <row r="1788" customFormat="false" ht="15.65" hidden="false" customHeight="true" outlineLevel="0" collapsed="false">
      <c r="A1788" s="2" t="str">
        <f aca="false">HYPERLINK("https://www.fabsurplus.com/sdi_catalog/salesItemDetails.do?id=110122")</f>
        <v>https://www.fabsurplus.com/sdi_catalog/salesItemDetails.do?id=110122</v>
      </c>
      <c r="B1788" s="2" t="s">
        <v>4944</v>
      </c>
      <c r="C1788" s="2" t="s">
        <v>4849</v>
      </c>
      <c r="D1788" s="2" t="s">
        <v>4945</v>
      </c>
      <c r="E1788" s="2" t="s">
        <v>170</v>
      </c>
      <c r="F1788" s="2" t="s">
        <v>16</v>
      </c>
      <c r="G1788" s="2" t="s">
        <v>165</v>
      </c>
      <c r="H1788" s="2"/>
      <c r="I1788" s="2"/>
      <c r="J1788" s="2" t="s">
        <v>42</v>
      </c>
      <c r="K1788" s="2"/>
      <c r="L1788" s="2" t="s">
        <v>4946</v>
      </c>
    </row>
    <row r="1789" customFormat="false" ht="15.65" hidden="false" customHeight="true" outlineLevel="0" collapsed="false">
      <c r="A1789" s="5" t="str">
        <f aca="false">HYPERLINK("https://www.fabsurplus.com/sdi_catalog/salesItemDetails.do?id=110123")</f>
        <v>https://www.fabsurplus.com/sdi_catalog/salesItemDetails.do?id=110123</v>
      </c>
      <c r="B1789" s="5" t="s">
        <v>4947</v>
      </c>
      <c r="C1789" s="5" t="s">
        <v>4849</v>
      </c>
      <c r="D1789" s="5" t="s">
        <v>4948</v>
      </c>
      <c r="E1789" s="5" t="s">
        <v>170</v>
      </c>
      <c r="F1789" s="5" t="s">
        <v>16</v>
      </c>
      <c r="G1789" s="5" t="s">
        <v>165</v>
      </c>
      <c r="H1789" s="5"/>
      <c r="I1789" s="5"/>
      <c r="J1789" s="5" t="s">
        <v>42</v>
      </c>
      <c r="K1789" s="5"/>
      <c r="L1789" s="5" t="s">
        <v>686</v>
      </c>
    </row>
    <row r="1790" customFormat="false" ht="15.65" hidden="false" customHeight="true" outlineLevel="0" collapsed="false">
      <c r="A1790" s="2" t="str">
        <f aca="false">HYPERLINK("https://www.fabsurplus.com/sdi_catalog/salesItemDetails.do?id=110124")</f>
        <v>https://www.fabsurplus.com/sdi_catalog/salesItemDetails.do?id=110124</v>
      </c>
      <c r="B1790" s="2" t="s">
        <v>4949</v>
      </c>
      <c r="C1790" s="2" t="s">
        <v>4849</v>
      </c>
      <c r="D1790" s="2" t="s">
        <v>4948</v>
      </c>
      <c r="E1790" s="2" t="s">
        <v>170</v>
      </c>
      <c r="F1790" s="2" t="s">
        <v>16</v>
      </c>
      <c r="G1790" s="2" t="s">
        <v>165</v>
      </c>
      <c r="H1790" s="2"/>
      <c r="I1790" s="2"/>
      <c r="J1790" s="2" t="s">
        <v>42</v>
      </c>
      <c r="K1790" s="2"/>
      <c r="L1790" s="2" t="s">
        <v>686</v>
      </c>
    </row>
    <row r="1791" customFormat="false" ht="15.65" hidden="false" customHeight="true" outlineLevel="0" collapsed="false">
      <c r="A1791" s="5" t="str">
        <f aca="false">HYPERLINK("https://www.fabsurplus.com/sdi_catalog/salesItemDetails.do?id=110125")</f>
        <v>https://www.fabsurplus.com/sdi_catalog/salesItemDetails.do?id=110125</v>
      </c>
      <c r="B1791" s="5" t="s">
        <v>4950</v>
      </c>
      <c r="C1791" s="5" t="s">
        <v>4899</v>
      </c>
      <c r="D1791" s="5" t="s">
        <v>4951</v>
      </c>
      <c r="E1791" s="5" t="s">
        <v>164</v>
      </c>
      <c r="F1791" s="5" t="s">
        <v>16</v>
      </c>
      <c r="G1791" s="5" t="s">
        <v>165</v>
      </c>
      <c r="H1791" s="5"/>
      <c r="I1791" s="5"/>
      <c r="J1791" s="5" t="s">
        <v>42</v>
      </c>
      <c r="K1791" s="5"/>
      <c r="L1791" s="5" t="s">
        <v>4952</v>
      </c>
    </row>
    <row r="1792" customFormat="false" ht="15.65" hidden="false" customHeight="true" outlineLevel="0" collapsed="false">
      <c r="A1792" s="2" t="str">
        <f aca="false">HYPERLINK("https://www.fabsurplus.com/sdi_catalog/salesItemDetails.do?id=110126")</f>
        <v>https://www.fabsurplus.com/sdi_catalog/salesItemDetails.do?id=110126</v>
      </c>
      <c r="B1792" s="2" t="s">
        <v>4953</v>
      </c>
      <c r="C1792" s="2" t="s">
        <v>4899</v>
      </c>
      <c r="D1792" s="2" t="s">
        <v>4951</v>
      </c>
      <c r="E1792" s="2" t="s">
        <v>164</v>
      </c>
      <c r="F1792" s="2" t="s">
        <v>16</v>
      </c>
      <c r="G1792" s="2" t="s">
        <v>165</v>
      </c>
      <c r="H1792" s="2"/>
      <c r="I1792" s="2"/>
      <c r="J1792" s="2" t="s">
        <v>42</v>
      </c>
      <c r="K1792" s="2"/>
      <c r="L1792" s="2" t="s">
        <v>4952</v>
      </c>
    </row>
    <row r="1793" customFormat="false" ht="15.65" hidden="false" customHeight="true" outlineLevel="0" collapsed="false">
      <c r="A1793" s="5" t="str">
        <f aca="false">HYPERLINK("https://www.fabsurplus.com/sdi_catalog/salesItemDetails.do?id=110127")</f>
        <v>https://www.fabsurplus.com/sdi_catalog/salesItemDetails.do?id=110127</v>
      </c>
      <c r="B1793" s="5" t="s">
        <v>4954</v>
      </c>
      <c r="C1793" s="5" t="s">
        <v>4849</v>
      </c>
      <c r="D1793" s="5" t="s">
        <v>4951</v>
      </c>
      <c r="E1793" s="5" t="s">
        <v>164</v>
      </c>
      <c r="F1793" s="5" t="s">
        <v>16</v>
      </c>
      <c r="G1793" s="5" t="s">
        <v>165</v>
      </c>
      <c r="H1793" s="5"/>
      <c r="I1793" s="5"/>
      <c r="J1793" s="5" t="s">
        <v>42</v>
      </c>
      <c r="K1793" s="5"/>
      <c r="L1793" s="5" t="s">
        <v>4955</v>
      </c>
    </row>
    <row r="1794" customFormat="false" ht="15.65" hidden="false" customHeight="true" outlineLevel="0" collapsed="false">
      <c r="A1794" s="2" t="str">
        <f aca="false">HYPERLINK("https://www.fabsurplus.com/sdi_catalog/salesItemDetails.do?id=110128")</f>
        <v>https://www.fabsurplus.com/sdi_catalog/salesItemDetails.do?id=110128</v>
      </c>
      <c r="B1794" s="2" t="s">
        <v>4956</v>
      </c>
      <c r="C1794" s="2" t="s">
        <v>4849</v>
      </c>
      <c r="D1794" s="2" t="s">
        <v>4951</v>
      </c>
      <c r="E1794" s="2" t="s">
        <v>164</v>
      </c>
      <c r="F1794" s="2" t="s">
        <v>16</v>
      </c>
      <c r="G1794" s="2" t="s">
        <v>165</v>
      </c>
      <c r="H1794" s="2"/>
      <c r="I1794" s="2"/>
      <c r="J1794" s="2" t="s">
        <v>42</v>
      </c>
      <c r="K1794" s="2"/>
      <c r="L1794" s="2" t="s">
        <v>4957</v>
      </c>
    </row>
    <row r="1795" customFormat="false" ht="15.65" hidden="false" customHeight="true" outlineLevel="0" collapsed="false">
      <c r="A1795" s="5" t="str">
        <f aca="false">HYPERLINK("https://www.fabsurplus.com/sdi_catalog/salesItemDetails.do?id=110129")</f>
        <v>https://www.fabsurplus.com/sdi_catalog/salesItemDetails.do?id=110129</v>
      </c>
      <c r="B1795" s="5" t="s">
        <v>4958</v>
      </c>
      <c r="C1795" s="5" t="s">
        <v>4849</v>
      </c>
      <c r="D1795" s="5" t="s">
        <v>4951</v>
      </c>
      <c r="E1795" s="5" t="s">
        <v>164</v>
      </c>
      <c r="F1795" s="5" t="s">
        <v>16</v>
      </c>
      <c r="G1795" s="5" t="s">
        <v>165</v>
      </c>
      <c r="H1795" s="5"/>
      <c r="I1795" s="5"/>
      <c r="J1795" s="5" t="s">
        <v>42</v>
      </c>
      <c r="K1795" s="5"/>
      <c r="L1795" s="5" t="s">
        <v>4957</v>
      </c>
    </row>
    <row r="1796" customFormat="false" ht="15.65" hidden="false" customHeight="true" outlineLevel="0" collapsed="false">
      <c r="A1796" s="2" t="str">
        <f aca="false">HYPERLINK("https://www.fabsurplus.com/sdi_catalog/salesItemDetails.do?id=110130")</f>
        <v>https://www.fabsurplus.com/sdi_catalog/salesItemDetails.do?id=110130</v>
      </c>
      <c r="B1796" s="2" t="s">
        <v>4959</v>
      </c>
      <c r="C1796" s="2" t="s">
        <v>4849</v>
      </c>
      <c r="D1796" s="2" t="s">
        <v>4951</v>
      </c>
      <c r="E1796" s="2" t="s">
        <v>164</v>
      </c>
      <c r="F1796" s="2" t="s">
        <v>16</v>
      </c>
      <c r="G1796" s="2" t="s">
        <v>165</v>
      </c>
      <c r="H1796" s="2"/>
      <c r="I1796" s="2"/>
      <c r="J1796" s="2" t="s">
        <v>42</v>
      </c>
      <c r="K1796" s="2"/>
      <c r="L1796" s="2" t="s">
        <v>4957</v>
      </c>
    </row>
    <row r="1797" customFormat="false" ht="15.65" hidden="false" customHeight="true" outlineLevel="0" collapsed="false">
      <c r="A1797" s="5" t="str">
        <f aca="false">HYPERLINK("https://www.fabsurplus.com/sdi_catalog/salesItemDetails.do?id=110131")</f>
        <v>https://www.fabsurplus.com/sdi_catalog/salesItemDetails.do?id=110131</v>
      </c>
      <c r="B1797" s="5" t="s">
        <v>4960</v>
      </c>
      <c r="C1797" s="5" t="s">
        <v>4849</v>
      </c>
      <c r="D1797" s="5" t="s">
        <v>4951</v>
      </c>
      <c r="E1797" s="5" t="s">
        <v>164</v>
      </c>
      <c r="F1797" s="5" t="s">
        <v>16</v>
      </c>
      <c r="G1797" s="5" t="s">
        <v>165</v>
      </c>
      <c r="H1797" s="5"/>
      <c r="I1797" s="5"/>
      <c r="J1797" s="5" t="s">
        <v>42</v>
      </c>
      <c r="K1797" s="5"/>
      <c r="L1797" s="5" t="s">
        <v>4957</v>
      </c>
    </row>
    <row r="1798" customFormat="false" ht="15.65" hidden="false" customHeight="true" outlineLevel="0" collapsed="false">
      <c r="A1798" s="2" t="str">
        <f aca="false">HYPERLINK("https://www.fabsurplus.com/sdi_catalog/salesItemDetails.do?id=110132")</f>
        <v>https://www.fabsurplus.com/sdi_catalog/salesItemDetails.do?id=110132</v>
      </c>
      <c r="B1798" s="2" t="s">
        <v>4961</v>
      </c>
      <c r="C1798" s="2" t="s">
        <v>4849</v>
      </c>
      <c r="D1798" s="2" t="s">
        <v>4951</v>
      </c>
      <c r="E1798" s="2" t="s">
        <v>164</v>
      </c>
      <c r="F1798" s="2" t="s">
        <v>16</v>
      </c>
      <c r="G1798" s="2" t="s">
        <v>165</v>
      </c>
      <c r="H1798" s="2"/>
      <c r="I1798" s="2"/>
      <c r="J1798" s="2" t="s">
        <v>42</v>
      </c>
      <c r="K1798" s="2"/>
      <c r="L1798" s="2" t="s">
        <v>4957</v>
      </c>
    </row>
    <row r="1799" customFormat="false" ht="15.65" hidden="false" customHeight="true" outlineLevel="0" collapsed="false">
      <c r="A1799" s="5" t="str">
        <f aca="false">HYPERLINK("https://www.fabsurplus.com/sdi_catalog/salesItemDetails.do?id=110133")</f>
        <v>https://www.fabsurplus.com/sdi_catalog/salesItemDetails.do?id=110133</v>
      </c>
      <c r="B1799" s="5" t="s">
        <v>4962</v>
      </c>
      <c r="C1799" s="5" t="s">
        <v>4849</v>
      </c>
      <c r="D1799" s="5" t="s">
        <v>4951</v>
      </c>
      <c r="E1799" s="5" t="s">
        <v>164</v>
      </c>
      <c r="F1799" s="5" t="s">
        <v>16</v>
      </c>
      <c r="G1799" s="5" t="s">
        <v>165</v>
      </c>
      <c r="H1799" s="5"/>
      <c r="I1799" s="5"/>
      <c r="J1799" s="5" t="s">
        <v>42</v>
      </c>
      <c r="K1799" s="5"/>
      <c r="L1799" s="5" t="s">
        <v>4957</v>
      </c>
    </row>
    <row r="1800" customFormat="false" ht="15.65" hidden="false" customHeight="true" outlineLevel="0" collapsed="false">
      <c r="A1800" s="2" t="str">
        <f aca="false">HYPERLINK("https://www.fabsurplus.com/sdi_catalog/salesItemDetails.do?id=110134")</f>
        <v>https://www.fabsurplus.com/sdi_catalog/salesItemDetails.do?id=110134</v>
      </c>
      <c r="B1800" s="2" t="s">
        <v>4963</v>
      </c>
      <c r="C1800" s="2" t="s">
        <v>4849</v>
      </c>
      <c r="D1800" s="2" t="s">
        <v>4951</v>
      </c>
      <c r="E1800" s="2" t="s">
        <v>164</v>
      </c>
      <c r="F1800" s="2" t="s">
        <v>16</v>
      </c>
      <c r="G1800" s="2" t="s">
        <v>165</v>
      </c>
      <c r="H1800" s="2"/>
      <c r="I1800" s="2"/>
      <c r="J1800" s="2" t="s">
        <v>42</v>
      </c>
      <c r="K1800" s="2"/>
      <c r="L1800" s="2" t="s">
        <v>4957</v>
      </c>
    </row>
    <row r="1801" customFormat="false" ht="15.65" hidden="false" customHeight="true" outlineLevel="0" collapsed="false">
      <c r="A1801" s="5" t="str">
        <f aca="false">HYPERLINK("https://www.fabsurplus.com/sdi_catalog/salesItemDetails.do?id=110135")</f>
        <v>https://www.fabsurplus.com/sdi_catalog/salesItemDetails.do?id=110135</v>
      </c>
      <c r="B1801" s="5" t="s">
        <v>4964</v>
      </c>
      <c r="C1801" s="5" t="s">
        <v>4849</v>
      </c>
      <c r="D1801" s="5" t="s">
        <v>4965</v>
      </c>
      <c r="E1801" s="5" t="s">
        <v>763</v>
      </c>
      <c r="F1801" s="5" t="s">
        <v>16</v>
      </c>
      <c r="G1801" s="5" t="s">
        <v>165</v>
      </c>
      <c r="H1801" s="5"/>
      <c r="I1801" s="5"/>
      <c r="J1801" s="5" t="s">
        <v>42</v>
      </c>
      <c r="K1801" s="5"/>
      <c r="L1801" s="5" t="s">
        <v>4966</v>
      </c>
    </row>
    <row r="1802" customFormat="false" ht="15.65" hidden="false" customHeight="true" outlineLevel="0" collapsed="false">
      <c r="A1802" s="2" t="str">
        <f aca="false">HYPERLINK("https://www.fabsurplus.com/sdi_catalog/salesItemDetails.do?id=110136")</f>
        <v>https://www.fabsurplus.com/sdi_catalog/salesItemDetails.do?id=110136</v>
      </c>
      <c r="B1802" s="2" t="s">
        <v>4967</v>
      </c>
      <c r="C1802" s="2" t="s">
        <v>4849</v>
      </c>
      <c r="D1802" s="2" t="s">
        <v>4965</v>
      </c>
      <c r="E1802" s="2" t="s">
        <v>763</v>
      </c>
      <c r="F1802" s="2" t="s">
        <v>16</v>
      </c>
      <c r="G1802" s="2" t="s">
        <v>165</v>
      </c>
      <c r="H1802" s="2"/>
      <c r="I1802" s="2"/>
      <c r="J1802" s="2" t="s">
        <v>42</v>
      </c>
      <c r="K1802" s="2"/>
      <c r="L1802" s="2" t="s">
        <v>4968</v>
      </c>
    </row>
    <row r="1803" customFormat="false" ht="15.65" hidden="false" customHeight="true" outlineLevel="0" collapsed="false">
      <c r="A1803" s="5" t="str">
        <f aca="false">HYPERLINK("https://www.fabsurplus.com/sdi_catalog/salesItemDetails.do?id=110137")</f>
        <v>https://www.fabsurplus.com/sdi_catalog/salesItemDetails.do?id=110137</v>
      </c>
      <c r="B1803" s="5" t="s">
        <v>4969</v>
      </c>
      <c r="C1803" s="5" t="s">
        <v>4849</v>
      </c>
      <c r="D1803" s="5" t="s">
        <v>4965</v>
      </c>
      <c r="E1803" s="5" t="s">
        <v>763</v>
      </c>
      <c r="F1803" s="5" t="s">
        <v>16</v>
      </c>
      <c r="G1803" s="5" t="s">
        <v>165</v>
      </c>
      <c r="H1803" s="5"/>
      <c r="I1803" s="5"/>
      <c r="J1803" s="5" t="s">
        <v>42</v>
      </c>
      <c r="K1803" s="5"/>
      <c r="L1803" s="5" t="s">
        <v>4968</v>
      </c>
    </row>
    <row r="1804" customFormat="false" ht="15.65" hidden="false" customHeight="true" outlineLevel="0" collapsed="false">
      <c r="A1804" s="2" t="str">
        <f aca="false">HYPERLINK("https://www.fabsurplus.com/sdi_catalog/salesItemDetails.do?id=110138")</f>
        <v>https://www.fabsurplus.com/sdi_catalog/salesItemDetails.do?id=110138</v>
      </c>
      <c r="B1804" s="2" t="s">
        <v>4970</v>
      </c>
      <c r="C1804" s="2" t="s">
        <v>4849</v>
      </c>
      <c r="D1804" s="2" t="s">
        <v>4971</v>
      </c>
      <c r="E1804" s="2" t="s">
        <v>164</v>
      </c>
      <c r="F1804" s="2" t="s">
        <v>16</v>
      </c>
      <c r="G1804" s="2" t="s">
        <v>165</v>
      </c>
      <c r="H1804" s="2"/>
      <c r="I1804" s="2"/>
      <c r="J1804" s="2" t="s">
        <v>42</v>
      </c>
      <c r="K1804" s="2"/>
      <c r="L1804" s="2" t="s">
        <v>4972</v>
      </c>
    </row>
    <row r="1805" customFormat="false" ht="15.65" hidden="false" customHeight="true" outlineLevel="0" collapsed="false">
      <c r="A1805" s="5" t="str">
        <f aca="false">HYPERLINK("https://www.fabsurplus.com/sdi_catalog/salesItemDetails.do?id=110139")</f>
        <v>https://www.fabsurplus.com/sdi_catalog/salesItemDetails.do?id=110139</v>
      </c>
      <c r="B1805" s="5" t="s">
        <v>4973</v>
      </c>
      <c r="C1805" s="5" t="s">
        <v>4849</v>
      </c>
      <c r="D1805" s="5" t="s">
        <v>4971</v>
      </c>
      <c r="E1805" s="5" t="s">
        <v>164</v>
      </c>
      <c r="F1805" s="5" t="s">
        <v>16</v>
      </c>
      <c r="G1805" s="5" t="s">
        <v>165</v>
      </c>
      <c r="H1805" s="5"/>
      <c r="I1805" s="5"/>
      <c r="J1805" s="5" t="s">
        <v>42</v>
      </c>
      <c r="K1805" s="5"/>
      <c r="L1805" s="5" t="s">
        <v>4972</v>
      </c>
    </row>
    <row r="1806" customFormat="false" ht="15.65" hidden="false" customHeight="true" outlineLevel="0" collapsed="false">
      <c r="A1806" s="2" t="str">
        <f aca="false">HYPERLINK("https://www.fabsurplus.com/sdi_catalog/salesItemDetails.do?id=107580")</f>
        <v>https://www.fabsurplus.com/sdi_catalog/salesItemDetails.do?id=107580</v>
      </c>
      <c r="B1806" s="2" t="s">
        <v>4974</v>
      </c>
      <c r="C1806" s="2" t="s">
        <v>4849</v>
      </c>
      <c r="D1806" s="2" t="s">
        <v>4975</v>
      </c>
      <c r="E1806" s="2" t="s">
        <v>279</v>
      </c>
      <c r="F1806" s="2" t="s">
        <v>16</v>
      </c>
      <c r="G1806" s="2" t="s">
        <v>104</v>
      </c>
      <c r="H1806" s="2" t="s">
        <v>275</v>
      </c>
      <c r="I1806" s="2"/>
      <c r="J1806" s="2" t="s">
        <v>19</v>
      </c>
      <c r="K1806" s="2" t="s">
        <v>20</v>
      </c>
      <c r="L1806" s="2" t="s">
        <v>4976</v>
      </c>
    </row>
    <row r="1807" customFormat="false" ht="15.65" hidden="false" customHeight="true" outlineLevel="0" collapsed="false">
      <c r="A1807" s="5" t="str">
        <f aca="false">HYPERLINK("https://www.fabsurplus.com/sdi_catalog/salesItemDetails.do?id=110140")</f>
        <v>https://www.fabsurplus.com/sdi_catalog/salesItemDetails.do?id=110140</v>
      </c>
      <c r="B1807" s="5" t="s">
        <v>4977</v>
      </c>
      <c r="C1807" s="5" t="s">
        <v>4849</v>
      </c>
      <c r="D1807" s="5" t="s">
        <v>4971</v>
      </c>
      <c r="E1807" s="5" t="s">
        <v>164</v>
      </c>
      <c r="F1807" s="5" t="s">
        <v>16</v>
      </c>
      <c r="G1807" s="5" t="s">
        <v>165</v>
      </c>
      <c r="H1807" s="5"/>
      <c r="I1807" s="5"/>
      <c r="J1807" s="5" t="s">
        <v>42</v>
      </c>
      <c r="K1807" s="5"/>
      <c r="L1807" s="5" t="s">
        <v>4978</v>
      </c>
    </row>
    <row r="1808" customFormat="false" ht="15.65" hidden="false" customHeight="true" outlineLevel="0" collapsed="false">
      <c r="A1808" s="2" t="str">
        <f aca="false">HYPERLINK("https://www.fabsurplus.com/sdi_catalog/salesItemDetails.do?id=110141")</f>
        <v>https://www.fabsurplus.com/sdi_catalog/salesItemDetails.do?id=110141</v>
      </c>
      <c r="B1808" s="2" t="s">
        <v>4979</v>
      </c>
      <c r="C1808" s="2" t="s">
        <v>4849</v>
      </c>
      <c r="D1808" s="2" t="s">
        <v>4971</v>
      </c>
      <c r="E1808" s="2" t="s">
        <v>164</v>
      </c>
      <c r="F1808" s="2" t="s">
        <v>16</v>
      </c>
      <c r="G1808" s="2" t="s">
        <v>165</v>
      </c>
      <c r="H1808" s="2"/>
      <c r="I1808" s="2"/>
      <c r="J1808" s="2" t="s">
        <v>42</v>
      </c>
      <c r="K1808" s="2"/>
      <c r="L1808" s="2" t="s">
        <v>4978</v>
      </c>
    </row>
    <row r="1809" customFormat="false" ht="15.65" hidden="false" customHeight="true" outlineLevel="0" collapsed="false">
      <c r="A1809" s="5" t="str">
        <f aca="false">HYPERLINK("https://www.fabsurplus.com/sdi_catalog/salesItemDetails.do?id=110142")</f>
        <v>https://www.fabsurplus.com/sdi_catalog/salesItemDetails.do?id=110142</v>
      </c>
      <c r="B1809" s="5" t="s">
        <v>4980</v>
      </c>
      <c r="C1809" s="5" t="s">
        <v>4849</v>
      </c>
      <c r="D1809" s="5" t="s">
        <v>4981</v>
      </c>
      <c r="E1809" s="5" t="s">
        <v>164</v>
      </c>
      <c r="F1809" s="5" t="s">
        <v>16</v>
      </c>
      <c r="G1809" s="5" t="s">
        <v>165</v>
      </c>
      <c r="H1809" s="5"/>
      <c r="I1809" s="5"/>
      <c r="J1809" s="5" t="s">
        <v>42</v>
      </c>
      <c r="K1809" s="5"/>
      <c r="L1809" s="5" t="s">
        <v>4968</v>
      </c>
    </row>
    <row r="1810" customFormat="false" ht="15.65" hidden="false" customHeight="true" outlineLevel="0" collapsed="false">
      <c r="A1810" s="2" t="str">
        <f aca="false">HYPERLINK("https://www.fabsurplus.com/sdi_catalog/salesItemDetails.do?id=110143")</f>
        <v>https://www.fabsurplus.com/sdi_catalog/salesItemDetails.do?id=110143</v>
      </c>
      <c r="B1810" s="2" t="s">
        <v>4982</v>
      </c>
      <c r="C1810" s="2" t="s">
        <v>4849</v>
      </c>
      <c r="D1810" s="2" t="s">
        <v>4981</v>
      </c>
      <c r="E1810" s="2" t="s">
        <v>164</v>
      </c>
      <c r="F1810" s="2" t="s">
        <v>16</v>
      </c>
      <c r="G1810" s="2" t="s">
        <v>165</v>
      </c>
      <c r="H1810" s="2"/>
      <c r="I1810" s="2"/>
      <c r="J1810" s="2" t="s">
        <v>42</v>
      </c>
      <c r="K1810" s="2"/>
      <c r="L1810" s="2" t="s">
        <v>4968</v>
      </c>
    </row>
    <row r="1811" customFormat="false" ht="15.65" hidden="false" customHeight="true" outlineLevel="0" collapsed="false">
      <c r="A1811" s="5" t="str">
        <f aca="false">HYPERLINK("https://www.fabsurplus.com/sdi_catalog/salesItemDetails.do?id=110144")</f>
        <v>https://www.fabsurplus.com/sdi_catalog/salesItemDetails.do?id=110144</v>
      </c>
      <c r="B1811" s="5" t="s">
        <v>4983</v>
      </c>
      <c r="C1811" s="5" t="s">
        <v>4849</v>
      </c>
      <c r="D1811" s="5" t="s">
        <v>4981</v>
      </c>
      <c r="E1811" s="5" t="s">
        <v>164</v>
      </c>
      <c r="F1811" s="5" t="s">
        <v>16</v>
      </c>
      <c r="G1811" s="5" t="s">
        <v>165</v>
      </c>
      <c r="H1811" s="5"/>
      <c r="I1811" s="5"/>
      <c r="J1811" s="5" t="s">
        <v>42</v>
      </c>
      <c r="K1811" s="5"/>
      <c r="L1811" s="5" t="s">
        <v>4968</v>
      </c>
    </row>
    <row r="1812" customFormat="false" ht="15.65" hidden="false" customHeight="true" outlineLevel="0" collapsed="false">
      <c r="A1812" s="2" t="str">
        <f aca="false">HYPERLINK("https://www.fabsurplus.com/sdi_catalog/salesItemDetails.do?id=110145")</f>
        <v>https://www.fabsurplus.com/sdi_catalog/salesItemDetails.do?id=110145</v>
      </c>
      <c r="B1812" s="2" t="s">
        <v>4984</v>
      </c>
      <c r="C1812" s="2" t="s">
        <v>4849</v>
      </c>
      <c r="D1812" s="2" t="s">
        <v>4981</v>
      </c>
      <c r="E1812" s="2" t="s">
        <v>164</v>
      </c>
      <c r="F1812" s="2" t="s">
        <v>16</v>
      </c>
      <c r="G1812" s="2" t="s">
        <v>165</v>
      </c>
      <c r="H1812" s="2"/>
      <c r="I1812" s="2"/>
      <c r="J1812" s="2" t="s">
        <v>42</v>
      </c>
      <c r="K1812" s="2"/>
      <c r="L1812" s="2" t="s">
        <v>4968</v>
      </c>
    </row>
    <row r="1813" customFormat="false" ht="15.65" hidden="false" customHeight="true" outlineLevel="0" collapsed="false">
      <c r="A1813" s="5" t="str">
        <f aca="false">HYPERLINK("https://www.fabsurplus.com/sdi_catalog/salesItemDetails.do?id=110146")</f>
        <v>https://www.fabsurplus.com/sdi_catalog/salesItemDetails.do?id=110146</v>
      </c>
      <c r="B1813" s="5" t="s">
        <v>4985</v>
      </c>
      <c r="C1813" s="5" t="s">
        <v>4849</v>
      </c>
      <c r="D1813" s="5" t="s">
        <v>4981</v>
      </c>
      <c r="E1813" s="5" t="s">
        <v>164</v>
      </c>
      <c r="F1813" s="5" t="s">
        <v>16</v>
      </c>
      <c r="G1813" s="5" t="s">
        <v>165</v>
      </c>
      <c r="H1813" s="5"/>
      <c r="I1813" s="5"/>
      <c r="J1813" s="5" t="s">
        <v>42</v>
      </c>
      <c r="K1813" s="5"/>
      <c r="L1813" s="5" t="s">
        <v>4968</v>
      </c>
    </row>
    <row r="1814" customFormat="false" ht="15.65" hidden="false" customHeight="true" outlineLevel="0" collapsed="false">
      <c r="A1814" s="2" t="str">
        <f aca="false">HYPERLINK("https://www.fabsurplus.com/sdi_catalog/salesItemDetails.do?id=110147")</f>
        <v>https://www.fabsurplus.com/sdi_catalog/salesItemDetails.do?id=110147</v>
      </c>
      <c r="B1814" s="2" t="s">
        <v>4986</v>
      </c>
      <c r="C1814" s="2" t="s">
        <v>4849</v>
      </c>
      <c r="D1814" s="2" t="s">
        <v>4987</v>
      </c>
      <c r="E1814" s="2" t="s">
        <v>763</v>
      </c>
      <c r="F1814" s="2" t="s">
        <v>16</v>
      </c>
      <c r="G1814" s="2" t="s">
        <v>165</v>
      </c>
      <c r="H1814" s="2"/>
      <c r="I1814" s="2"/>
      <c r="J1814" s="2" t="s">
        <v>42</v>
      </c>
      <c r="K1814" s="2"/>
      <c r="L1814" s="2" t="s">
        <v>4988</v>
      </c>
    </row>
    <row r="1815" customFormat="false" ht="15.65" hidden="false" customHeight="true" outlineLevel="0" collapsed="false">
      <c r="A1815" s="5" t="str">
        <f aca="false">HYPERLINK("https://www.fabsurplus.com/sdi_catalog/salesItemDetails.do?id=110148")</f>
        <v>https://www.fabsurplus.com/sdi_catalog/salesItemDetails.do?id=110148</v>
      </c>
      <c r="B1815" s="5" t="s">
        <v>4989</v>
      </c>
      <c r="C1815" s="5" t="s">
        <v>4849</v>
      </c>
      <c r="D1815" s="5" t="s">
        <v>4987</v>
      </c>
      <c r="E1815" s="5" t="s">
        <v>763</v>
      </c>
      <c r="F1815" s="5" t="s">
        <v>16</v>
      </c>
      <c r="G1815" s="5" t="s">
        <v>165</v>
      </c>
      <c r="H1815" s="5"/>
      <c r="I1815" s="5"/>
      <c r="J1815" s="5" t="s">
        <v>42</v>
      </c>
      <c r="K1815" s="5"/>
      <c r="L1815" s="5" t="s">
        <v>4990</v>
      </c>
    </row>
    <row r="1816" customFormat="false" ht="15.65" hidden="false" customHeight="true" outlineLevel="0" collapsed="false">
      <c r="A1816" s="2" t="str">
        <f aca="false">HYPERLINK("https://www.fabsurplus.com/sdi_catalog/salesItemDetails.do?id=110149")</f>
        <v>https://www.fabsurplus.com/sdi_catalog/salesItemDetails.do?id=110149</v>
      </c>
      <c r="B1816" s="2" t="s">
        <v>4991</v>
      </c>
      <c r="C1816" s="2" t="s">
        <v>4849</v>
      </c>
      <c r="D1816" s="2" t="s">
        <v>4992</v>
      </c>
      <c r="E1816" s="2" t="s">
        <v>164</v>
      </c>
      <c r="F1816" s="2" t="s">
        <v>16</v>
      </c>
      <c r="G1816" s="2" t="s">
        <v>165</v>
      </c>
      <c r="H1816" s="2"/>
      <c r="I1816" s="2"/>
      <c r="J1816" s="2" t="s">
        <v>42</v>
      </c>
      <c r="K1816" s="2"/>
      <c r="L1816" s="2" t="s">
        <v>4988</v>
      </c>
    </row>
    <row r="1817" customFormat="false" ht="15.65" hidden="false" customHeight="true" outlineLevel="0" collapsed="false">
      <c r="A1817" s="5" t="str">
        <f aca="false">HYPERLINK("https://www.fabsurplus.com/sdi_catalog/salesItemDetails.do?id=110150")</f>
        <v>https://www.fabsurplus.com/sdi_catalog/salesItemDetails.do?id=110150</v>
      </c>
      <c r="B1817" s="5" t="s">
        <v>4993</v>
      </c>
      <c r="C1817" s="5" t="s">
        <v>4849</v>
      </c>
      <c r="D1817" s="5" t="s">
        <v>4992</v>
      </c>
      <c r="E1817" s="5" t="s">
        <v>164</v>
      </c>
      <c r="F1817" s="5" t="s">
        <v>16</v>
      </c>
      <c r="G1817" s="5" t="s">
        <v>165</v>
      </c>
      <c r="H1817" s="5"/>
      <c r="I1817" s="5"/>
      <c r="J1817" s="5" t="s">
        <v>42</v>
      </c>
      <c r="K1817" s="5"/>
      <c r="L1817" s="5" t="s">
        <v>4990</v>
      </c>
    </row>
    <row r="1818" customFormat="false" ht="15.65" hidden="false" customHeight="true" outlineLevel="0" collapsed="false">
      <c r="A1818" s="2" t="str">
        <f aca="false">HYPERLINK("https://www.fabsurplus.com/sdi_catalog/salesItemDetails.do?id=110151")</f>
        <v>https://www.fabsurplus.com/sdi_catalog/salesItemDetails.do?id=110151</v>
      </c>
      <c r="B1818" s="2" t="s">
        <v>4994</v>
      </c>
      <c r="C1818" s="2" t="s">
        <v>4899</v>
      </c>
      <c r="D1818" s="2" t="s">
        <v>4995</v>
      </c>
      <c r="E1818" s="2" t="s">
        <v>763</v>
      </c>
      <c r="F1818" s="2" t="s">
        <v>16</v>
      </c>
      <c r="G1818" s="2" t="s">
        <v>165</v>
      </c>
      <c r="H1818" s="2"/>
      <c r="I1818" s="2"/>
      <c r="J1818" s="2" t="s">
        <v>42</v>
      </c>
      <c r="K1818" s="2"/>
      <c r="L1818" s="4" t="s">
        <v>4996</v>
      </c>
    </row>
    <row r="1819" customFormat="false" ht="15.65" hidden="false" customHeight="true" outlineLevel="0" collapsed="false">
      <c r="A1819" s="5" t="str">
        <f aca="false">HYPERLINK("https://www.fabsurplus.com/sdi_catalog/salesItemDetails.do?id=110152")</f>
        <v>https://www.fabsurplus.com/sdi_catalog/salesItemDetails.do?id=110152</v>
      </c>
      <c r="B1819" s="5" t="s">
        <v>4997</v>
      </c>
      <c r="C1819" s="5" t="s">
        <v>4849</v>
      </c>
      <c r="D1819" s="5" t="s">
        <v>4998</v>
      </c>
      <c r="E1819" s="5" t="s">
        <v>763</v>
      </c>
      <c r="F1819" s="5" t="s">
        <v>16</v>
      </c>
      <c r="G1819" s="5" t="s">
        <v>165</v>
      </c>
      <c r="H1819" s="5"/>
      <c r="I1819" s="5"/>
      <c r="J1819" s="5" t="s">
        <v>42</v>
      </c>
      <c r="K1819" s="5"/>
      <c r="L1819" s="5" t="s">
        <v>4999</v>
      </c>
    </row>
    <row r="1820" customFormat="false" ht="15.65" hidden="false" customHeight="true" outlineLevel="0" collapsed="false">
      <c r="A1820" s="2" t="str">
        <f aca="false">HYPERLINK("https://www.fabsurplus.com/sdi_catalog/salesItemDetails.do?id=110153")</f>
        <v>https://www.fabsurplus.com/sdi_catalog/salesItemDetails.do?id=110153</v>
      </c>
      <c r="B1820" s="2" t="s">
        <v>5000</v>
      </c>
      <c r="C1820" s="2" t="s">
        <v>4849</v>
      </c>
      <c r="D1820" s="2" t="s">
        <v>4998</v>
      </c>
      <c r="E1820" s="2" t="s">
        <v>763</v>
      </c>
      <c r="F1820" s="2" t="s">
        <v>16</v>
      </c>
      <c r="G1820" s="2" t="s">
        <v>165</v>
      </c>
      <c r="H1820" s="2"/>
      <c r="I1820" s="2"/>
      <c r="J1820" s="2" t="s">
        <v>42</v>
      </c>
      <c r="K1820" s="2"/>
      <c r="L1820" s="2" t="s">
        <v>5001</v>
      </c>
    </row>
    <row r="1821" customFormat="false" ht="15.65" hidden="false" customHeight="true" outlineLevel="0" collapsed="false">
      <c r="A1821" s="5" t="str">
        <f aca="false">HYPERLINK("https://www.fabsurplus.com/sdi_catalog/salesItemDetails.do?id=110154")</f>
        <v>https://www.fabsurplus.com/sdi_catalog/salesItemDetails.do?id=110154</v>
      </c>
      <c r="B1821" s="5" t="s">
        <v>5002</v>
      </c>
      <c r="C1821" s="5" t="s">
        <v>4849</v>
      </c>
      <c r="D1821" s="5" t="s">
        <v>5003</v>
      </c>
      <c r="E1821" s="5" t="s">
        <v>164</v>
      </c>
      <c r="F1821" s="5" t="s">
        <v>16</v>
      </c>
      <c r="G1821" s="5" t="s">
        <v>165</v>
      </c>
      <c r="H1821" s="5"/>
      <c r="I1821" s="5"/>
      <c r="J1821" s="5" t="s">
        <v>42</v>
      </c>
      <c r="K1821" s="5"/>
      <c r="L1821" s="5" t="s">
        <v>686</v>
      </c>
    </row>
    <row r="1822" customFormat="false" ht="15.65" hidden="false" customHeight="true" outlineLevel="0" collapsed="false">
      <c r="A1822" s="2" t="str">
        <f aca="false">HYPERLINK("https://www.fabsurplus.com/sdi_catalog/salesItemDetails.do?id=110155")</f>
        <v>https://www.fabsurplus.com/sdi_catalog/salesItemDetails.do?id=110155</v>
      </c>
      <c r="B1822" s="2" t="s">
        <v>5004</v>
      </c>
      <c r="C1822" s="2" t="s">
        <v>4849</v>
      </c>
      <c r="D1822" s="2" t="s">
        <v>5003</v>
      </c>
      <c r="E1822" s="2" t="s">
        <v>164</v>
      </c>
      <c r="F1822" s="2" t="s">
        <v>16</v>
      </c>
      <c r="G1822" s="2" t="s">
        <v>165</v>
      </c>
      <c r="H1822" s="2"/>
      <c r="I1822" s="2"/>
      <c r="J1822" s="2" t="s">
        <v>42</v>
      </c>
      <c r="K1822" s="2"/>
      <c r="L1822" s="2" t="s">
        <v>686</v>
      </c>
    </row>
    <row r="1823" customFormat="false" ht="15.65" hidden="false" customHeight="true" outlineLevel="0" collapsed="false">
      <c r="A1823" s="5" t="str">
        <f aca="false">HYPERLINK("https://www.fabsurplus.com/sdi_catalog/salesItemDetails.do?id=110156")</f>
        <v>https://www.fabsurplus.com/sdi_catalog/salesItemDetails.do?id=110156</v>
      </c>
      <c r="B1823" s="5" t="s">
        <v>5005</v>
      </c>
      <c r="C1823" s="5" t="s">
        <v>4849</v>
      </c>
      <c r="D1823" s="5" t="s">
        <v>5006</v>
      </c>
      <c r="E1823" s="5" t="s">
        <v>164</v>
      </c>
      <c r="F1823" s="5" t="s">
        <v>16</v>
      </c>
      <c r="G1823" s="5" t="s">
        <v>165</v>
      </c>
      <c r="H1823" s="5"/>
      <c r="I1823" s="5"/>
      <c r="J1823" s="5" t="s">
        <v>42</v>
      </c>
      <c r="K1823" s="5"/>
      <c r="L1823" s="5" t="s">
        <v>5007</v>
      </c>
    </row>
    <row r="1824" customFormat="false" ht="15.65" hidden="false" customHeight="true" outlineLevel="0" collapsed="false">
      <c r="A1824" s="2" t="str">
        <f aca="false">HYPERLINK("https://www.fabsurplus.com/sdi_catalog/salesItemDetails.do?id=110157")</f>
        <v>https://www.fabsurplus.com/sdi_catalog/salesItemDetails.do?id=110157</v>
      </c>
      <c r="B1824" s="2" t="s">
        <v>5008</v>
      </c>
      <c r="C1824" s="2" t="s">
        <v>4849</v>
      </c>
      <c r="D1824" s="2" t="s">
        <v>5006</v>
      </c>
      <c r="E1824" s="2" t="s">
        <v>164</v>
      </c>
      <c r="F1824" s="2" t="s">
        <v>16</v>
      </c>
      <c r="G1824" s="2" t="s">
        <v>165</v>
      </c>
      <c r="H1824" s="2"/>
      <c r="I1824" s="2"/>
      <c r="J1824" s="2" t="s">
        <v>42</v>
      </c>
      <c r="K1824" s="2"/>
      <c r="L1824" s="2" t="s">
        <v>5007</v>
      </c>
    </row>
    <row r="1825" customFormat="false" ht="15.65" hidden="false" customHeight="true" outlineLevel="0" collapsed="false">
      <c r="A1825" s="5" t="str">
        <f aca="false">HYPERLINK("https://www.fabsurplus.com/sdi_catalog/salesItemDetails.do?id=110158")</f>
        <v>https://www.fabsurplus.com/sdi_catalog/salesItemDetails.do?id=110158</v>
      </c>
      <c r="B1825" s="5" t="s">
        <v>5009</v>
      </c>
      <c r="C1825" s="5" t="s">
        <v>4849</v>
      </c>
      <c r="D1825" s="5" t="s">
        <v>5006</v>
      </c>
      <c r="E1825" s="5" t="s">
        <v>164</v>
      </c>
      <c r="F1825" s="5" t="s">
        <v>16</v>
      </c>
      <c r="G1825" s="5" t="s">
        <v>165</v>
      </c>
      <c r="H1825" s="5"/>
      <c r="I1825" s="5"/>
      <c r="J1825" s="5" t="s">
        <v>42</v>
      </c>
      <c r="K1825" s="5"/>
      <c r="L1825" s="5" t="s">
        <v>5007</v>
      </c>
    </row>
    <row r="1826" customFormat="false" ht="15.65" hidden="false" customHeight="true" outlineLevel="0" collapsed="false">
      <c r="A1826" s="2" t="str">
        <f aca="false">HYPERLINK("https://www.fabsurplus.com/sdi_catalog/salesItemDetails.do?id=110159")</f>
        <v>https://www.fabsurplus.com/sdi_catalog/salesItemDetails.do?id=110159</v>
      </c>
      <c r="B1826" s="2" t="s">
        <v>5010</v>
      </c>
      <c r="C1826" s="2" t="s">
        <v>4849</v>
      </c>
      <c r="D1826" s="2" t="s">
        <v>5003</v>
      </c>
      <c r="E1826" s="2" t="s">
        <v>164</v>
      </c>
      <c r="F1826" s="2" t="s">
        <v>16</v>
      </c>
      <c r="G1826" s="2" t="s">
        <v>165</v>
      </c>
      <c r="H1826" s="2"/>
      <c r="I1826" s="2"/>
      <c r="J1826" s="2" t="s">
        <v>42</v>
      </c>
      <c r="K1826" s="2"/>
      <c r="L1826" s="2" t="s">
        <v>5011</v>
      </c>
    </row>
    <row r="1827" customFormat="false" ht="15.65" hidden="false" customHeight="true" outlineLevel="0" collapsed="false">
      <c r="A1827" s="5" t="str">
        <f aca="false">HYPERLINK("https://www.fabsurplus.com/sdi_catalog/salesItemDetails.do?id=110160")</f>
        <v>https://www.fabsurplus.com/sdi_catalog/salesItemDetails.do?id=110160</v>
      </c>
      <c r="B1827" s="5" t="s">
        <v>5012</v>
      </c>
      <c r="C1827" s="5" t="s">
        <v>4849</v>
      </c>
      <c r="D1827" s="5" t="s">
        <v>5013</v>
      </c>
      <c r="E1827" s="5" t="s">
        <v>763</v>
      </c>
      <c r="F1827" s="5" t="s">
        <v>16</v>
      </c>
      <c r="G1827" s="5" t="s">
        <v>165</v>
      </c>
      <c r="H1827" s="5"/>
      <c r="I1827" s="5"/>
      <c r="J1827" s="5" t="s">
        <v>42</v>
      </c>
      <c r="K1827" s="5"/>
      <c r="L1827" s="5" t="s">
        <v>686</v>
      </c>
    </row>
    <row r="1828" customFormat="false" ht="15.65" hidden="false" customHeight="true" outlineLevel="0" collapsed="false">
      <c r="A1828" s="2" t="str">
        <f aca="false">HYPERLINK("https://www.fabsurplus.com/sdi_catalog/salesItemDetails.do?id=110161")</f>
        <v>https://www.fabsurplus.com/sdi_catalog/salesItemDetails.do?id=110161</v>
      </c>
      <c r="B1828" s="2" t="s">
        <v>5014</v>
      </c>
      <c r="C1828" s="2" t="s">
        <v>4849</v>
      </c>
      <c r="D1828" s="2" t="s">
        <v>5015</v>
      </c>
      <c r="E1828" s="2" t="s">
        <v>763</v>
      </c>
      <c r="F1828" s="2" t="s">
        <v>16</v>
      </c>
      <c r="G1828" s="2" t="s">
        <v>165</v>
      </c>
      <c r="H1828" s="2"/>
      <c r="I1828" s="2"/>
      <c r="J1828" s="2" t="s">
        <v>42</v>
      </c>
      <c r="K1828" s="2"/>
      <c r="L1828" s="2" t="s">
        <v>686</v>
      </c>
    </row>
    <row r="1829" customFormat="false" ht="15.65" hidden="false" customHeight="true" outlineLevel="0" collapsed="false">
      <c r="A1829" s="5" t="str">
        <f aca="false">HYPERLINK("https://www.fabsurplus.com/sdi_catalog/salesItemDetails.do?id=110162")</f>
        <v>https://www.fabsurplus.com/sdi_catalog/salesItemDetails.do?id=110162</v>
      </c>
      <c r="B1829" s="5" t="s">
        <v>5016</v>
      </c>
      <c r="C1829" s="5" t="s">
        <v>4849</v>
      </c>
      <c r="D1829" s="5" t="s">
        <v>5015</v>
      </c>
      <c r="E1829" s="5" t="s">
        <v>763</v>
      </c>
      <c r="F1829" s="5" t="s">
        <v>16</v>
      </c>
      <c r="G1829" s="5" t="s">
        <v>165</v>
      </c>
      <c r="H1829" s="5"/>
      <c r="I1829" s="5"/>
      <c r="J1829" s="5" t="s">
        <v>42</v>
      </c>
      <c r="K1829" s="5"/>
      <c r="L1829" s="5" t="s">
        <v>5017</v>
      </c>
    </row>
    <row r="1830" customFormat="false" ht="15.65" hidden="false" customHeight="true" outlineLevel="0" collapsed="false">
      <c r="A1830" s="2" t="str">
        <f aca="false">HYPERLINK("https://www.fabsurplus.com/sdi_catalog/salesItemDetails.do?id=110163")</f>
        <v>https://www.fabsurplus.com/sdi_catalog/salesItemDetails.do?id=110163</v>
      </c>
      <c r="B1830" s="2" t="s">
        <v>5018</v>
      </c>
      <c r="C1830" s="2" t="s">
        <v>4849</v>
      </c>
      <c r="D1830" s="2" t="s">
        <v>5015</v>
      </c>
      <c r="E1830" s="2" t="s">
        <v>763</v>
      </c>
      <c r="F1830" s="2" t="s">
        <v>16</v>
      </c>
      <c r="G1830" s="2" t="s">
        <v>165</v>
      </c>
      <c r="H1830" s="2"/>
      <c r="I1830" s="2"/>
      <c r="J1830" s="2" t="s">
        <v>42</v>
      </c>
      <c r="K1830" s="2"/>
      <c r="L1830" s="2" t="s">
        <v>5017</v>
      </c>
    </row>
    <row r="1831" customFormat="false" ht="15.65" hidden="false" customHeight="true" outlineLevel="0" collapsed="false">
      <c r="A1831" s="5" t="str">
        <f aca="false">HYPERLINK("https://www.fabsurplus.com/sdi_catalog/salesItemDetails.do?id=110164")</f>
        <v>https://www.fabsurplus.com/sdi_catalog/salesItemDetails.do?id=110164</v>
      </c>
      <c r="B1831" s="5" t="s">
        <v>5019</v>
      </c>
      <c r="C1831" s="5" t="s">
        <v>4849</v>
      </c>
      <c r="D1831" s="5" t="s">
        <v>5015</v>
      </c>
      <c r="E1831" s="5" t="s">
        <v>763</v>
      </c>
      <c r="F1831" s="5" t="s">
        <v>16</v>
      </c>
      <c r="G1831" s="5" t="s">
        <v>165</v>
      </c>
      <c r="H1831" s="5"/>
      <c r="I1831" s="5"/>
      <c r="J1831" s="5" t="s">
        <v>42</v>
      </c>
      <c r="K1831" s="5"/>
      <c r="L1831" s="5" t="s">
        <v>5020</v>
      </c>
    </row>
    <row r="1832" customFormat="false" ht="15.65" hidden="false" customHeight="true" outlineLevel="0" collapsed="false">
      <c r="A1832" s="2" t="str">
        <f aca="false">HYPERLINK("https://www.fabsurplus.com/sdi_catalog/salesItemDetails.do?id=110165")</f>
        <v>https://www.fabsurplus.com/sdi_catalog/salesItemDetails.do?id=110165</v>
      </c>
      <c r="B1832" s="2" t="s">
        <v>5021</v>
      </c>
      <c r="C1832" s="2" t="s">
        <v>4849</v>
      </c>
      <c r="D1832" s="2" t="s">
        <v>5015</v>
      </c>
      <c r="E1832" s="2" t="s">
        <v>763</v>
      </c>
      <c r="F1832" s="2" t="s">
        <v>16</v>
      </c>
      <c r="G1832" s="2" t="s">
        <v>165</v>
      </c>
      <c r="H1832" s="2"/>
      <c r="I1832" s="2"/>
      <c r="J1832" s="2" t="s">
        <v>42</v>
      </c>
      <c r="K1832" s="2"/>
      <c r="L1832" s="2" t="s">
        <v>5022</v>
      </c>
    </row>
    <row r="1833" customFormat="false" ht="15.65" hidden="false" customHeight="true" outlineLevel="0" collapsed="false">
      <c r="A1833" s="5" t="str">
        <f aca="false">HYPERLINK("https://www.fabsurplus.com/sdi_catalog/salesItemDetails.do?id=110166")</f>
        <v>https://www.fabsurplus.com/sdi_catalog/salesItemDetails.do?id=110166</v>
      </c>
      <c r="B1833" s="5" t="s">
        <v>5023</v>
      </c>
      <c r="C1833" s="5" t="s">
        <v>4849</v>
      </c>
      <c r="D1833" s="5" t="s">
        <v>5015</v>
      </c>
      <c r="E1833" s="5" t="s">
        <v>763</v>
      </c>
      <c r="F1833" s="5" t="s">
        <v>16</v>
      </c>
      <c r="G1833" s="5" t="s">
        <v>165</v>
      </c>
      <c r="H1833" s="5"/>
      <c r="I1833" s="5"/>
      <c r="J1833" s="5" t="s">
        <v>42</v>
      </c>
      <c r="K1833" s="5"/>
      <c r="L1833" s="5" t="s">
        <v>5022</v>
      </c>
    </row>
    <row r="1834" customFormat="false" ht="15.65" hidden="false" customHeight="true" outlineLevel="0" collapsed="false">
      <c r="A1834" s="2" t="str">
        <f aca="false">HYPERLINK("https://www.fabsurplus.com/sdi_catalog/salesItemDetails.do?id=110167")</f>
        <v>https://www.fabsurplus.com/sdi_catalog/salesItemDetails.do?id=110167</v>
      </c>
      <c r="B1834" s="2" t="s">
        <v>5024</v>
      </c>
      <c r="C1834" s="2" t="s">
        <v>4849</v>
      </c>
      <c r="D1834" s="2" t="s">
        <v>5015</v>
      </c>
      <c r="E1834" s="2" t="s">
        <v>763</v>
      </c>
      <c r="F1834" s="2" t="s">
        <v>16</v>
      </c>
      <c r="G1834" s="2" t="s">
        <v>165</v>
      </c>
      <c r="H1834" s="2"/>
      <c r="I1834" s="2"/>
      <c r="J1834" s="2" t="s">
        <v>42</v>
      </c>
      <c r="K1834" s="2"/>
      <c r="L1834" s="2" t="s">
        <v>5022</v>
      </c>
    </row>
    <row r="1835" customFormat="false" ht="15.65" hidden="false" customHeight="true" outlineLevel="0" collapsed="false">
      <c r="A1835" s="5" t="str">
        <f aca="false">HYPERLINK("https://www.fabsurplus.com/sdi_catalog/salesItemDetails.do?id=110168")</f>
        <v>https://www.fabsurplus.com/sdi_catalog/salesItemDetails.do?id=110168</v>
      </c>
      <c r="B1835" s="5" t="s">
        <v>5025</v>
      </c>
      <c r="C1835" s="5" t="s">
        <v>4849</v>
      </c>
      <c r="D1835" s="5" t="s">
        <v>5015</v>
      </c>
      <c r="E1835" s="5" t="s">
        <v>763</v>
      </c>
      <c r="F1835" s="5" t="s">
        <v>16</v>
      </c>
      <c r="G1835" s="5" t="s">
        <v>165</v>
      </c>
      <c r="H1835" s="5"/>
      <c r="I1835" s="5"/>
      <c r="J1835" s="5" t="s">
        <v>42</v>
      </c>
      <c r="K1835" s="5"/>
      <c r="L1835" s="5" t="s">
        <v>5022</v>
      </c>
    </row>
    <row r="1836" customFormat="false" ht="15.65" hidden="false" customHeight="true" outlineLevel="0" collapsed="false">
      <c r="A1836" s="2" t="str">
        <f aca="false">HYPERLINK("https://www.fabsurplus.com/sdi_catalog/salesItemDetails.do?id=110169")</f>
        <v>https://www.fabsurplus.com/sdi_catalog/salesItemDetails.do?id=110169</v>
      </c>
      <c r="B1836" s="2" t="s">
        <v>5026</v>
      </c>
      <c r="C1836" s="2" t="s">
        <v>4849</v>
      </c>
      <c r="D1836" s="2" t="s">
        <v>5015</v>
      </c>
      <c r="E1836" s="2" t="s">
        <v>763</v>
      </c>
      <c r="F1836" s="2" t="s">
        <v>16</v>
      </c>
      <c r="G1836" s="2" t="s">
        <v>165</v>
      </c>
      <c r="H1836" s="2"/>
      <c r="I1836" s="2"/>
      <c r="J1836" s="2" t="s">
        <v>42</v>
      </c>
      <c r="K1836" s="2"/>
      <c r="L1836" s="2" t="s">
        <v>5022</v>
      </c>
    </row>
    <row r="1837" customFormat="false" ht="15.65" hidden="false" customHeight="true" outlineLevel="0" collapsed="false">
      <c r="A1837" s="5" t="str">
        <f aca="false">HYPERLINK("https://www.fabsurplus.com/sdi_catalog/salesItemDetails.do?id=110170")</f>
        <v>https://www.fabsurplus.com/sdi_catalog/salesItemDetails.do?id=110170</v>
      </c>
      <c r="B1837" s="5" t="s">
        <v>5027</v>
      </c>
      <c r="C1837" s="5" t="s">
        <v>4849</v>
      </c>
      <c r="D1837" s="5" t="s">
        <v>5015</v>
      </c>
      <c r="E1837" s="5" t="s">
        <v>763</v>
      </c>
      <c r="F1837" s="5" t="s">
        <v>16</v>
      </c>
      <c r="G1837" s="5" t="s">
        <v>165</v>
      </c>
      <c r="H1837" s="5"/>
      <c r="I1837" s="5"/>
      <c r="J1837" s="5" t="s">
        <v>42</v>
      </c>
      <c r="K1837" s="5"/>
      <c r="L1837" s="5" t="s">
        <v>5022</v>
      </c>
    </row>
    <row r="1838" customFormat="false" ht="15.65" hidden="false" customHeight="true" outlineLevel="0" collapsed="false">
      <c r="A1838" s="2" t="str">
        <f aca="false">HYPERLINK("https://www.fabsurplus.com/sdi_catalog/salesItemDetails.do?id=110171")</f>
        <v>https://www.fabsurplus.com/sdi_catalog/salesItemDetails.do?id=110171</v>
      </c>
      <c r="B1838" s="2" t="s">
        <v>5028</v>
      </c>
      <c r="C1838" s="2" t="s">
        <v>4849</v>
      </c>
      <c r="D1838" s="2" t="s">
        <v>5015</v>
      </c>
      <c r="E1838" s="2" t="s">
        <v>763</v>
      </c>
      <c r="F1838" s="2" t="s">
        <v>16</v>
      </c>
      <c r="G1838" s="2" t="s">
        <v>165</v>
      </c>
      <c r="H1838" s="2"/>
      <c r="I1838" s="2"/>
      <c r="J1838" s="2" t="s">
        <v>42</v>
      </c>
      <c r="K1838" s="2"/>
      <c r="L1838" s="2" t="s">
        <v>5029</v>
      </c>
    </row>
    <row r="1839" customFormat="false" ht="15.65" hidden="false" customHeight="true" outlineLevel="0" collapsed="false">
      <c r="A1839" s="5" t="str">
        <f aca="false">HYPERLINK("https://www.fabsurplus.com/sdi_catalog/salesItemDetails.do?id=110172")</f>
        <v>https://www.fabsurplus.com/sdi_catalog/salesItemDetails.do?id=110172</v>
      </c>
      <c r="B1839" s="5" t="s">
        <v>5030</v>
      </c>
      <c r="C1839" s="5" t="s">
        <v>4849</v>
      </c>
      <c r="D1839" s="5" t="s">
        <v>5031</v>
      </c>
      <c r="E1839" s="5" t="s">
        <v>164</v>
      </c>
      <c r="F1839" s="5" t="s">
        <v>16</v>
      </c>
      <c r="G1839" s="5" t="s">
        <v>165</v>
      </c>
      <c r="H1839" s="5"/>
      <c r="I1839" s="5"/>
      <c r="J1839" s="5" t="s">
        <v>42</v>
      </c>
      <c r="K1839" s="5"/>
      <c r="L1839" s="5" t="s">
        <v>5017</v>
      </c>
    </row>
    <row r="1840" customFormat="false" ht="15.65" hidden="false" customHeight="true" outlineLevel="0" collapsed="false">
      <c r="A1840" s="2" t="str">
        <f aca="false">HYPERLINK("https://www.fabsurplus.com/sdi_catalog/salesItemDetails.do?id=110173")</f>
        <v>https://www.fabsurplus.com/sdi_catalog/salesItemDetails.do?id=110173</v>
      </c>
      <c r="B1840" s="2" t="s">
        <v>5032</v>
      </c>
      <c r="C1840" s="2" t="s">
        <v>4849</v>
      </c>
      <c r="D1840" s="2" t="s">
        <v>5031</v>
      </c>
      <c r="E1840" s="2" t="s">
        <v>164</v>
      </c>
      <c r="F1840" s="2" t="s">
        <v>16</v>
      </c>
      <c r="G1840" s="2" t="s">
        <v>165</v>
      </c>
      <c r="H1840" s="2"/>
      <c r="I1840" s="2"/>
      <c r="J1840" s="2" t="s">
        <v>42</v>
      </c>
      <c r="K1840" s="2"/>
      <c r="L1840" s="2" t="s">
        <v>5017</v>
      </c>
    </row>
    <row r="1841" customFormat="false" ht="15.65" hidden="false" customHeight="true" outlineLevel="0" collapsed="false">
      <c r="A1841" s="5" t="str">
        <f aca="false">HYPERLINK("https://www.fabsurplus.com/sdi_catalog/salesItemDetails.do?id=110174")</f>
        <v>https://www.fabsurplus.com/sdi_catalog/salesItemDetails.do?id=110174</v>
      </c>
      <c r="B1841" s="5" t="s">
        <v>5033</v>
      </c>
      <c r="C1841" s="5" t="s">
        <v>4849</v>
      </c>
      <c r="D1841" s="5" t="s">
        <v>5031</v>
      </c>
      <c r="E1841" s="5" t="s">
        <v>164</v>
      </c>
      <c r="F1841" s="5" t="s">
        <v>16</v>
      </c>
      <c r="G1841" s="5" t="s">
        <v>165</v>
      </c>
      <c r="H1841" s="5"/>
      <c r="I1841" s="5"/>
      <c r="J1841" s="5" t="s">
        <v>42</v>
      </c>
      <c r="K1841" s="5"/>
      <c r="L1841" s="5" t="s">
        <v>5007</v>
      </c>
    </row>
    <row r="1842" customFormat="false" ht="15.65" hidden="false" customHeight="true" outlineLevel="0" collapsed="false">
      <c r="A1842" s="2" t="str">
        <f aca="false">HYPERLINK("https://www.fabsurplus.com/sdi_catalog/salesItemDetails.do?id=110175")</f>
        <v>https://www.fabsurplus.com/sdi_catalog/salesItemDetails.do?id=110175</v>
      </c>
      <c r="B1842" s="2" t="s">
        <v>5034</v>
      </c>
      <c r="C1842" s="2" t="s">
        <v>4849</v>
      </c>
      <c r="D1842" s="2" t="s">
        <v>5031</v>
      </c>
      <c r="E1842" s="2" t="s">
        <v>164</v>
      </c>
      <c r="F1842" s="2" t="s">
        <v>16</v>
      </c>
      <c r="G1842" s="2" t="s">
        <v>165</v>
      </c>
      <c r="H1842" s="2"/>
      <c r="I1842" s="2"/>
      <c r="J1842" s="2" t="s">
        <v>42</v>
      </c>
      <c r="K1842" s="2"/>
      <c r="L1842" s="2" t="s">
        <v>5007</v>
      </c>
    </row>
    <row r="1843" customFormat="false" ht="15.65" hidden="false" customHeight="true" outlineLevel="0" collapsed="false">
      <c r="A1843" s="5" t="str">
        <f aca="false">HYPERLINK("https://www.fabsurplus.com/sdi_catalog/salesItemDetails.do?id=110176")</f>
        <v>https://www.fabsurplus.com/sdi_catalog/salesItemDetails.do?id=110176</v>
      </c>
      <c r="B1843" s="5" t="s">
        <v>5035</v>
      </c>
      <c r="C1843" s="5" t="s">
        <v>4849</v>
      </c>
      <c r="D1843" s="5" t="s">
        <v>5031</v>
      </c>
      <c r="E1843" s="5" t="s">
        <v>164</v>
      </c>
      <c r="F1843" s="5" t="s">
        <v>16</v>
      </c>
      <c r="G1843" s="5" t="s">
        <v>165</v>
      </c>
      <c r="H1843" s="5"/>
      <c r="I1843" s="5"/>
      <c r="J1843" s="5" t="s">
        <v>42</v>
      </c>
      <c r="K1843" s="5"/>
      <c r="L1843" s="5" t="s">
        <v>5007</v>
      </c>
    </row>
    <row r="1844" customFormat="false" ht="15.65" hidden="false" customHeight="true" outlineLevel="0" collapsed="false">
      <c r="A1844" s="2" t="str">
        <f aca="false">HYPERLINK("https://www.fabsurplus.com/sdi_catalog/salesItemDetails.do?id=110177")</f>
        <v>https://www.fabsurplus.com/sdi_catalog/salesItemDetails.do?id=110177</v>
      </c>
      <c r="B1844" s="2" t="s">
        <v>5036</v>
      </c>
      <c r="C1844" s="2" t="s">
        <v>4849</v>
      </c>
      <c r="D1844" s="2" t="s">
        <v>5031</v>
      </c>
      <c r="E1844" s="2" t="s">
        <v>164</v>
      </c>
      <c r="F1844" s="2" t="s">
        <v>16</v>
      </c>
      <c r="G1844" s="2" t="s">
        <v>165</v>
      </c>
      <c r="H1844" s="2"/>
      <c r="I1844" s="2"/>
      <c r="J1844" s="2" t="s">
        <v>42</v>
      </c>
      <c r="K1844" s="2"/>
      <c r="L1844" s="2" t="s">
        <v>5037</v>
      </c>
    </row>
    <row r="1845" customFormat="false" ht="15.65" hidden="false" customHeight="true" outlineLevel="0" collapsed="false">
      <c r="A1845" s="5" t="str">
        <f aca="false">HYPERLINK("https://www.fabsurplus.com/sdi_catalog/salesItemDetails.do?id=110178")</f>
        <v>https://www.fabsurplus.com/sdi_catalog/salesItemDetails.do?id=110178</v>
      </c>
      <c r="B1845" s="5" t="s">
        <v>5038</v>
      </c>
      <c r="C1845" s="5" t="s">
        <v>4849</v>
      </c>
      <c r="D1845" s="5" t="s">
        <v>5039</v>
      </c>
      <c r="E1845" s="5" t="s">
        <v>763</v>
      </c>
      <c r="F1845" s="5" t="s">
        <v>16</v>
      </c>
      <c r="G1845" s="5" t="s">
        <v>165</v>
      </c>
      <c r="H1845" s="5"/>
      <c r="I1845" s="5"/>
      <c r="J1845" s="5" t="s">
        <v>42</v>
      </c>
      <c r="K1845" s="5"/>
      <c r="L1845" s="5" t="s">
        <v>5040</v>
      </c>
    </row>
    <row r="1846" customFormat="false" ht="15.65" hidden="false" customHeight="true" outlineLevel="0" collapsed="false">
      <c r="A1846" s="2" t="str">
        <f aca="false">HYPERLINK("https://www.fabsurplus.com/sdi_catalog/salesItemDetails.do?id=110179")</f>
        <v>https://www.fabsurplus.com/sdi_catalog/salesItemDetails.do?id=110179</v>
      </c>
      <c r="B1846" s="2" t="s">
        <v>5041</v>
      </c>
      <c r="C1846" s="2" t="s">
        <v>4849</v>
      </c>
      <c r="D1846" s="2" t="s">
        <v>5042</v>
      </c>
      <c r="E1846" s="2" t="s">
        <v>763</v>
      </c>
      <c r="F1846" s="2" t="s">
        <v>16</v>
      </c>
      <c r="G1846" s="2" t="s">
        <v>165</v>
      </c>
      <c r="H1846" s="2"/>
      <c r="I1846" s="2"/>
      <c r="J1846" s="2" t="s">
        <v>42</v>
      </c>
      <c r="K1846" s="2"/>
      <c r="L1846" s="2" t="s">
        <v>5043</v>
      </c>
    </row>
    <row r="1847" customFormat="false" ht="15.65" hidden="false" customHeight="true" outlineLevel="0" collapsed="false">
      <c r="A1847" s="5" t="str">
        <f aca="false">HYPERLINK("https://www.fabsurplus.com/sdi_catalog/salesItemDetails.do?id=110180")</f>
        <v>https://www.fabsurplus.com/sdi_catalog/salesItemDetails.do?id=110180</v>
      </c>
      <c r="B1847" s="5" t="s">
        <v>5044</v>
      </c>
      <c r="C1847" s="5" t="s">
        <v>4849</v>
      </c>
      <c r="D1847" s="5" t="s">
        <v>5042</v>
      </c>
      <c r="E1847" s="5" t="s">
        <v>763</v>
      </c>
      <c r="F1847" s="5" t="s">
        <v>16</v>
      </c>
      <c r="G1847" s="5" t="s">
        <v>165</v>
      </c>
      <c r="H1847" s="5"/>
      <c r="I1847" s="5"/>
      <c r="J1847" s="5" t="s">
        <v>42</v>
      </c>
      <c r="K1847" s="5"/>
      <c r="L1847" s="5" t="s">
        <v>5043</v>
      </c>
    </row>
    <row r="1848" customFormat="false" ht="15.65" hidden="false" customHeight="true" outlineLevel="0" collapsed="false">
      <c r="A1848" s="2" t="str">
        <f aca="false">HYPERLINK("https://www.fabsurplus.com/sdi_catalog/salesItemDetails.do?id=110181")</f>
        <v>https://www.fabsurplus.com/sdi_catalog/salesItemDetails.do?id=110181</v>
      </c>
      <c r="B1848" s="2" t="s">
        <v>5045</v>
      </c>
      <c r="C1848" s="2" t="s">
        <v>4849</v>
      </c>
      <c r="D1848" s="2" t="s">
        <v>4908</v>
      </c>
      <c r="E1848" s="2" t="s">
        <v>763</v>
      </c>
      <c r="F1848" s="2" t="s">
        <v>16</v>
      </c>
      <c r="G1848" s="2" t="s">
        <v>165</v>
      </c>
      <c r="H1848" s="2"/>
      <c r="I1848" s="2"/>
      <c r="J1848" s="2" t="s">
        <v>42</v>
      </c>
      <c r="K1848" s="2"/>
      <c r="L1848" s="4" t="s">
        <v>5046</v>
      </c>
    </row>
    <row r="1849" customFormat="false" ht="15.65" hidden="false" customHeight="true" outlineLevel="0" collapsed="false">
      <c r="A1849" s="5" t="str">
        <f aca="false">HYPERLINK("https://www.fabsurplus.com/sdi_catalog/salesItemDetails.do?id=110182")</f>
        <v>https://www.fabsurplus.com/sdi_catalog/salesItemDetails.do?id=110182</v>
      </c>
      <c r="B1849" s="5" t="s">
        <v>5047</v>
      </c>
      <c r="C1849" s="5" t="s">
        <v>4849</v>
      </c>
      <c r="D1849" s="5" t="s">
        <v>4908</v>
      </c>
      <c r="E1849" s="5" t="s">
        <v>763</v>
      </c>
      <c r="F1849" s="5" t="s">
        <v>16</v>
      </c>
      <c r="G1849" s="5" t="s">
        <v>165</v>
      </c>
      <c r="H1849" s="5"/>
      <c r="I1849" s="5"/>
      <c r="J1849" s="5" t="s">
        <v>42</v>
      </c>
      <c r="K1849" s="5"/>
      <c r="L1849" s="7" t="s">
        <v>5046</v>
      </c>
    </row>
    <row r="1850" customFormat="false" ht="15.65" hidden="false" customHeight="true" outlineLevel="0" collapsed="false">
      <c r="A1850" s="2" t="str">
        <f aca="false">HYPERLINK("https://www.fabsurplus.com/sdi_catalog/salesItemDetails.do?id=110183")</f>
        <v>https://www.fabsurplus.com/sdi_catalog/salesItemDetails.do?id=110183</v>
      </c>
      <c r="B1850" s="2" t="s">
        <v>5048</v>
      </c>
      <c r="C1850" s="2" t="s">
        <v>4849</v>
      </c>
      <c r="D1850" s="2" t="s">
        <v>4908</v>
      </c>
      <c r="E1850" s="2" t="s">
        <v>763</v>
      </c>
      <c r="F1850" s="2" t="s">
        <v>16</v>
      </c>
      <c r="G1850" s="2" t="s">
        <v>165</v>
      </c>
      <c r="H1850" s="2"/>
      <c r="I1850" s="2"/>
      <c r="J1850" s="2" t="s">
        <v>42</v>
      </c>
      <c r="K1850" s="2"/>
      <c r="L1850" s="4" t="s">
        <v>5049</v>
      </c>
    </row>
    <row r="1851" customFormat="false" ht="15.65" hidden="false" customHeight="true" outlineLevel="0" collapsed="false">
      <c r="A1851" s="5" t="str">
        <f aca="false">HYPERLINK("https://www.fabsurplus.com/sdi_catalog/salesItemDetails.do?id=110184")</f>
        <v>https://www.fabsurplus.com/sdi_catalog/salesItemDetails.do?id=110184</v>
      </c>
      <c r="B1851" s="5" t="s">
        <v>5050</v>
      </c>
      <c r="C1851" s="5" t="s">
        <v>4849</v>
      </c>
      <c r="D1851" s="5" t="s">
        <v>4908</v>
      </c>
      <c r="E1851" s="5" t="s">
        <v>763</v>
      </c>
      <c r="F1851" s="5" t="s">
        <v>16</v>
      </c>
      <c r="G1851" s="5" t="s">
        <v>165</v>
      </c>
      <c r="H1851" s="5"/>
      <c r="I1851" s="5"/>
      <c r="J1851" s="5" t="s">
        <v>42</v>
      </c>
      <c r="K1851" s="5"/>
      <c r="L1851" s="7" t="s">
        <v>5046</v>
      </c>
    </row>
    <row r="1852" customFormat="false" ht="15.65" hidden="false" customHeight="true" outlineLevel="0" collapsed="false">
      <c r="A1852" s="2" t="str">
        <f aca="false">HYPERLINK("https://www.fabsurplus.com/sdi_catalog/salesItemDetails.do?id=109417")</f>
        <v>https://www.fabsurplus.com/sdi_catalog/salesItemDetails.do?id=109417</v>
      </c>
      <c r="B1852" s="2" t="s">
        <v>5051</v>
      </c>
      <c r="C1852" s="2" t="s">
        <v>4849</v>
      </c>
      <c r="D1852" s="2" t="s">
        <v>5052</v>
      </c>
      <c r="E1852" s="2" t="s">
        <v>103</v>
      </c>
      <c r="F1852" s="2" t="s">
        <v>145</v>
      </c>
      <c r="G1852" s="2" t="s">
        <v>104</v>
      </c>
      <c r="H1852" s="2"/>
      <c r="I1852" s="2"/>
      <c r="J1852" s="2" t="s">
        <v>19</v>
      </c>
      <c r="K1852" s="2"/>
      <c r="L1852" s="2" t="s">
        <v>5053</v>
      </c>
    </row>
    <row r="1853" customFormat="false" ht="15.65" hidden="false" customHeight="true" outlineLevel="0" collapsed="false">
      <c r="A1853" s="5" t="str">
        <f aca="false">HYPERLINK("https://www.fabsurplus.com/sdi_catalog/salesItemDetails.do?id=110185")</f>
        <v>https://www.fabsurplus.com/sdi_catalog/salesItemDetails.do?id=110185</v>
      </c>
      <c r="B1853" s="5" t="s">
        <v>5054</v>
      </c>
      <c r="C1853" s="5" t="s">
        <v>4849</v>
      </c>
      <c r="D1853" s="5" t="s">
        <v>4908</v>
      </c>
      <c r="E1853" s="5" t="s">
        <v>763</v>
      </c>
      <c r="F1853" s="5" t="s">
        <v>16</v>
      </c>
      <c r="G1853" s="5" t="s">
        <v>165</v>
      </c>
      <c r="H1853" s="5"/>
      <c r="I1853" s="5"/>
      <c r="J1853" s="5" t="s">
        <v>42</v>
      </c>
      <c r="K1853" s="5"/>
      <c r="L1853" s="7" t="s">
        <v>5046</v>
      </c>
    </row>
    <row r="1854" customFormat="false" ht="15.65" hidden="false" customHeight="true" outlineLevel="0" collapsed="false">
      <c r="A1854" s="2" t="str">
        <f aca="false">HYPERLINK("https://www.fabsurplus.com/sdi_catalog/salesItemDetails.do?id=109418")</f>
        <v>https://www.fabsurplus.com/sdi_catalog/salesItemDetails.do?id=109418</v>
      </c>
      <c r="B1854" s="2" t="s">
        <v>5055</v>
      </c>
      <c r="C1854" s="2" t="s">
        <v>4849</v>
      </c>
      <c r="D1854" s="2" t="s">
        <v>5052</v>
      </c>
      <c r="E1854" s="2" t="s">
        <v>103</v>
      </c>
      <c r="F1854" s="2" t="s">
        <v>16</v>
      </c>
      <c r="G1854" s="2" t="s">
        <v>104</v>
      </c>
      <c r="H1854" s="2"/>
      <c r="I1854" s="2"/>
      <c r="J1854" s="2" t="s">
        <v>19</v>
      </c>
      <c r="K1854" s="2"/>
      <c r="L1854" s="2" t="s">
        <v>5056</v>
      </c>
    </row>
    <row r="1855" customFormat="false" ht="15.65" hidden="false" customHeight="true" outlineLevel="0" collapsed="false">
      <c r="A1855" s="5" t="str">
        <f aca="false">HYPERLINK("https://www.fabsurplus.com/sdi_catalog/salesItemDetails.do?id=110186")</f>
        <v>https://www.fabsurplus.com/sdi_catalog/salesItemDetails.do?id=110186</v>
      </c>
      <c r="B1855" s="5" t="s">
        <v>5057</v>
      </c>
      <c r="C1855" s="5" t="s">
        <v>4849</v>
      </c>
      <c r="D1855" s="5" t="s">
        <v>4908</v>
      </c>
      <c r="E1855" s="5" t="s">
        <v>763</v>
      </c>
      <c r="F1855" s="5" t="s">
        <v>16</v>
      </c>
      <c r="G1855" s="5" t="s">
        <v>165</v>
      </c>
      <c r="H1855" s="5"/>
      <c r="I1855" s="5"/>
      <c r="J1855" s="5" t="s">
        <v>42</v>
      </c>
      <c r="K1855" s="5"/>
      <c r="L1855" s="7" t="s">
        <v>5046</v>
      </c>
    </row>
    <row r="1856" customFormat="false" ht="15.65" hidden="false" customHeight="true" outlineLevel="0" collapsed="false">
      <c r="A1856" s="2" t="str">
        <f aca="false">HYPERLINK("https://www.fabsurplus.com/sdi_catalog/salesItemDetails.do?id=109419")</f>
        <v>https://www.fabsurplus.com/sdi_catalog/salesItemDetails.do?id=109419</v>
      </c>
      <c r="B1856" s="2" t="s">
        <v>5058</v>
      </c>
      <c r="C1856" s="2" t="s">
        <v>4849</v>
      </c>
      <c r="D1856" s="2" t="s">
        <v>5052</v>
      </c>
      <c r="E1856" s="2" t="s">
        <v>103</v>
      </c>
      <c r="F1856" s="2" t="s">
        <v>236</v>
      </c>
      <c r="G1856" s="2" t="s">
        <v>104</v>
      </c>
      <c r="H1856" s="2"/>
      <c r="I1856" s="2"/>
      <c r="J1856" s="2" t="s">
        <v>19</v>
      </c>
      <c r="K1856" s="2"/>
      <c r="L1856" s="2" t="s">
        <v>5059</v>
      </c>
    </row>
    <row r="1857" customFormat="false" ht="15.65" hidden="false" customHeight="true" outlineLevel="0" collapsed="false">
      <c r="A1857" s="5" t="str">
        <f aca="false">HYPERLINK("https://www.fabsurplus.com/sdi_catalog/salesItemDetails.do?id=110187")</f>
        <v>https://www.fabsurplus.com/sdi_catalog/salesItemDetails.do?id=110187</v>
      </c>
      <c r="B1857" s="5" t="s">
        <v>5060</v>
      </c>
      <c r="C1857" s="5" t="s">
        <v>4849</v>
      </c>
      <c r="D1857" s="5" t="s">
        <v>5061</v>
      </c>
      <c r="E1857" s="5" t="s">
        <v>763</v>
      </c>
      <c r="F1857" s="5" t="s">
        <v>16</v>
      </c>
      <c r="G1857" s="5" t="s">
        <v>165</v>
      </c>
      <c r="H1857" s="5"/>
      <c r="I1857" s="5"/>
      <c r="J1857" s="5" t="s">
        <v>42</v>
      </c>
      <c r="K1857" s="5"/>
      <c r="L1857" s="7" t="s">
        <v>5062</v>
      </c>
    </row>
    <row r="1858" customFormat="false" ht="15.65" hidden="false" customHeight="true" outlineLevel="0" collapsed="false">
      <c r="A1858" s="2" t="str">
        <f aca="false">HYPERLINK("https://www.fabsurplus.com/sdi_catalog/salesItemDetails.do?id=109420")</f>
        <v>https://www.fabsurplus.com/sdi_catalog/salesItemDetails.do?id=109420</v>
      </c>
      <c r="B1858" s="2" t="s">
        <v>5063</v>
      </c>
      <c r="C1858" s="2" t="s">
        <v>4849</v>
      </c>
      <c r="D1858" s="2" t="s">
        <v>5052</v>
      </c>
      <c r="E1858" s="2" t="s">
        <v>103</v>
      </c>
      <c r="F1858" s="2" t="s">
        <v>86</v>
      </c>
      <c r="G1858" s="2" t="s">
        <v>104</v>
      </c>
      <c r="H1858" s="2"/>
      <c r="I1858" s="2"/>
      <c r="J1858" s="2" t="s">
        <v>19</v>
      </c>
      <c r="K1858" s="2"/>
      <c r="L1858" s="2" t="s">
        <v>5064</v>
      </c>
    </row>
    <row r="1859" customFormat="false" ht="15.65" hidden="false" customHeight="true" outlineLevel="0" collapsed="false">
      <c r="A1859" s="5" t="str">
        <f aca="false">HYPERLINK("https://www.fabsurplus.com/sdi_catalog/salesItemDetails.do?id=110188")</f>
        <v>https://www.fabsurplus.com/sdi_catalog/salesItemDetails.do?id=110188</v>
      </c>
      <c r="B1859" s="5" t="s">
        <v>5065</v>
      </c>
      <c r="C1859" s="5" t="s">
        <v>4849</v>
      </c>
      <c r="D1859" s="5" t="s">
        <v>5061</v>
      </c>
      <c r="E1859" s="5" t="s">
        <v>763</v>
      </c>
      <c r="F1859" s="5" t="s">
        <v>16</v>
      </c>
      <c r="G1859" s="5" t="s">
        <v>165</v>
      </c>
      <c r="H1859" s="5"/>
      <c r="I1859" s="5"/>
      <c r="J1859" s="5" t="s">
        <v>42</v>
      </c>
      <c r="K1859" s="5"/>
      <c r="L1859" s="7" t="s">
        <v>5062</v>
      </c>
    </row>
    <row r="1860" customFormat="false" ht="15.65" hidden="false" customHeight="true" outlineLevel="0" collapsed="false">
      <c r="A1860" s="2" t="str">
        <f aca="false">HYPERLINK("https://www.fabsurplus.com/sdi_catalog/salesItemDetails.do?id=109421")</f>
        <v>https://www.fabsurplus.com/sdi_catalog/salesItemDetails.do?id=109421</v>
      </c>
      <c r="B1860" s="2" t="s">
        <v>5066</v>
      </c>
      <c r="C1860" s="2" t="s">
        <v>4849</v>
      </c>
      <c r="D1860" s="2" t="s">
        <v>4892</v>
      </c>
      <c r="E1860" s="2" t="s">
        <v>103</v>
      </c>
      <c r="F1860" s="2" t="s">
        <v>16</v>
      </c>
      <c r="G1860" s="2" t="s">
        <v>104</v>
      </c>
      <c r="H1860" s="2"/>
      <c r="I1860" s="2"/>
      <c r="J1860" s="2" t="s">
        <v>19</v>
      </c>
      <c r="K1860" s="2"/>
      <c r="L1860" s="2" t="s">
        <v>5067</v>
      </c>
    </row>
    <row r="1861" customFormat="false" ht="15.65" hidden="false" customHeight="true" outlineLevel="0" collapsed="false">
      <c r="A1861" s="5" t="str">
        <f aca="false">HYPERLINK("https://www.fabsurplus.com/sdi_catalog/salesItemDetails.do?id=110189")</f>
        <v>https://www.fabsurplus.com/sdi_catalog/salesItemDetails.do?id=110189</v>
      </c>
      <c r="B1861" s="5" t="s">
        <v>5068</v>
      </c>
      <c r="C1861" s="5" t="s">
        <v>4849</v>
      </c>
      <c r="D1861" s="5" t="s">
        <v>5061</v>
      </c>
      <c r="E1861" s="5" t="s">
        <v>763</v>
      </c>
      <c r="F1861" s="5" t="s">
        <v>16</v>
      </c>
      <c r="G1861" s="5" t="s">
        <v>165</v>
      </c>
      <c r="H1861" s="5"/>
      <c r="I1861" s="5"/>
      <c r="J1861" s="5" t="s">
        <v>42</v>
      </c>
      <c r="K1861" s="5"/>
      <c r="L1861" s="7" t="s">
        <v>5069</v>
      </c>
    </row>
    <row r="1862" customFormat="false" ht="15.65" hidden="false" customHeight="true" outlineLevel="0" collapsed="false">
      <c r="A1862" s="2" t="str">
        <f aca="false">HYPERLINK("https://www.fabsurplus.com/sdi_catalog/salesItemDetails.do?id=109422")</f>
        <v>https://www.fabsurplus.com/sdi_catalog/salesItemDetails.do?id=109422</v>
      </c>
      <c r="B1862" s="2" t="s">
        <v>5070</v>
      </c>
      <c r="C1862" s="2" t="s">
        <v>4849</v>
      </c>
      <c r="D1862" s="2" t="s">
        <v>4892</v>
      </c>
      <c r="E1862" s="2" t="s">
        <v>103</v>
      </c>
      <c r="F1862" s="2" t="s">
        <v>203</v>
      </c>
      <c r="G1862" s="2" t="s">
        <v>104</v>
      </c>
      <c r="H1862" s="2"/>
      <c r="I1862" s="2"/>
      <c r="J1862" s="2" t="s">
        <v>19</v>
      </c>
      <c r="K1862" s="2"/>
      <c r="L1862" s="2" t="s">
        <v>5053</v>
      </c>
    </row>
    <row r="1863" customFormat="false" ht="15.65" hidden="false" customHeight="true" outlineLevel="0" collapsed="false">
      <c r="A1863" s="5" t="str">
        <f aca="false">HYPERLINK("https://www.fabsurplus.com/sdi_catalog/salesItemDetails.do?id=110190")</f>
        <v>https://www.fabsurplus.com/sdi_catalog/salesItemDetails.do?id=110190</v>
      </c>
      <c r="B1863" s="5" t="s">
        <v>5071</v>
      </c>
      <c r="C1863" s="5" t="s">
        <v>4849</v>
      </c>
      <c r="D1863" s="5" t="s">
        <v>5072</v>
      </c>
      <c r="E1863" s="5" t="s">
        <v>763</v>
      </c>
      <c r="F1863" s="5" t="s">
        <v>16</v>
      </c>
      <c r="G1863" s="5" t="s">
        <v>165</v>
      </c>
      <c r="H1863" s="5"/>
      <c r="I1863" s="5"/>
      <c r="J1863" s="5" t="s">
        <v>42</v>
      </c>
      <c r="K1863" s="5"/>
      <c r="L1863" s="5" t="s">
        <v>5073</v>
      </c>
    </row>
    <row r="1864" customFormat="false" ht="15.65" hidden="false" customHeight="true" outlineLevel="0" collapsed="false">
      <c r="A1864" s="2" t="str">
        <f aca="false">HYPERLINK("https://www.fabsurplus.com/sdi_catalog/salesItemDetails.do?id=109423")</f>
        <v>https://www.fabsurplus.com/sdi_catalog/salesItemDetails.do?id=109423</v>
      </c>
      <c r="B1864" s="2" t="s">
        <v>5074</v>
      </c>
      <c r="C1864" s="2" t="s">
        <v>4849</v>
      </c>
      <c r="D1864" s="2" t="s">
        <v>4892</v>
      </c>
      <c r="E1864" s="2" t="s">
        <v>103</v>
      </c>
      <c r="F1864" s="2" t="s">
        <v>16</v>
      </c>
      <c r="G1864" s="2" t="s">
        <v>104</v>
      </c>
      <c r="H1864" s="2"/>
      <c r="I1864" s="2"/>
      <c r="J1864" s="2" t="s">
        <v>19</v>
      </c>
      <c r="K1864" s="2"/>
      <c r="L1864" s="2" t="s">
        <v>5075</v>
      </c>
    </row>
    <row r="1865" customFormat="false" ht="15.65" hidden="false" customHeight="true" outlineLevel="0" collapsed="false">
      <c r="A1865" s="5" t="str">
        <f aca="false">HYPERLINK("https://www.fabsurplus.com/sdi_catalog/salesItemDetails.do?id=110191")</f>
        <v>https://www.fabsurplus.com/sdi_catalog/salesItemDetails.do?id=110191</v>
      </c>
      <c r="B1865" s="5" t="s">
        <v>5076</v>
      </c>
      <c r="C1865" s="5" t="s">
        <v>4849</v>
      </c>
      <c r="D1865" s="5" t="s">
        <v>5077</v>
      </c>
      <c r="E1865" s="5" t="s">
        <v>164</v>
      </c>
      <c r="F1865" s="5" t="s">
        <v>16</v>
      </c>
      <c r="G1865" s="5" t="s">
        <v>165</v>
      </c>
      <c r="H1865" s="5"/>
      <c r="I1865" s="5"/>
      <c r="J1865" s="5" t="s">
        <v>42</v>
      </c>
      <c r="K1865" s="5"/>
      <c r="L1865" s="5" t="s">
        <v>5073</v>
      </c>
    </row>
    <row r="1866" customFormat="false" ht="15.65" hidden="false" customHeight="true" outlineLevel="0" collapsed="false">
      <c r="A1866" s="2" t="str">
        <f aca="false">HYPERLINK("https://www.fabsurplus.com/sdi_catalog/salesItemDetails.do?id=109424")</f>
        <v>https://www.fabsurplus.com/sdi_catalog/salesItemDetails.do?id=109424</v>
      </c>
      <c r="B1866" s="2" t="s">
        <v>5078</v>
      </c>
      <c r="C1866" s="2" t="s">
        <v>4849</v>
      </c>
      <c r="D1866" s="2" t="s">
        <v>4892</v>
      </c>
      <c r="E1866" s="2" t="s">
        <v>103</v>
      </c>
      <c r="F1866" s="2" t="s">
        <v>151</v>
      </c>
      <c r="G1866" s="2" t="s">
        <v>104</v>
      </c>
      <c r="H1866" s="2"/>
      <c r="I1866" s="2"/>
      <c r="J1866" s="2" t="s">
        <v>19</v>
      </c>
      <c r="K1866" s="2"/>
      <c r="L1866" s="2" t="s">
        <v>5056</v>
      </c>
    </row>
    <row r="1867" customFormat="false" ht="15.65" hidden="false" customHeight="true" outlineLevel="0" collapsed="false">
      <c r="A1867" s="5" t="str">
        <f aca="false">HYPERLINK("https://www.fabsurplus.com/sdi_catalog/salesItemDetails.do?id=110192")</f>
        <v>https://www.fabsurplus.com/sdi_catalog/salesItemDetails.do?id=110192</v>
      </c>
      <c r="B1867" s="5" t="s">
        <v>5079</v>
      </c>
      <c r="C1867" s="5" t="s">
        <v>4849</v>
      </c>
      <c r="D1867" s="5" t="s">
        <v>5077</v>
      </c>
      <c r="E1867" s="5" t="s">
        <v>164</v>
      </c>
      <c r="F1867" s="5" t="s">
        <v>16</v>
      </c>
      <c r="G1867" s="5" t="s">
        <v>165</v>
      </c>
      <c r="H1867" s="5"/>
      <c r="I1867" s="5"/>
      <c r="J1867" s="5" t="s">
        <v>42</v>
      </c>
      <c r="K1867" s="5"/>
      <c r="L1867" s="5" t="s">
        <v>5080</v>
      </c>
    </row>
    <row r="1868" customFormat="false" ht="15.65" hidden="false" customHeight="true" outlineLevel="0" collapsed="false">
      <c r="A1868" s="2" t="str">
        <f aca="false">HYPERLINK("https://www.fabsurplus.com/sdi_catalog/salesItemDetails.do?id=109425")</f>
        <v>https://www.fabsurplus.com/sdi_catalog/salesItemDetails.do?id=109425</v>
      </c>
      <c r="B1868" s="2" t="s">
        <v>5081</v>
      </c>
      <c r="C1868" s="2" t="s">
        <v>4849</v>
      </c>
      <c r="D1868" s="2" t="s">
        <v>4892</v>
      </c>
      <c r="E1868" s="2" t="s">
        <v>103</v>
      </c>
      <c r="F1868" s="2" t="s">
        <v>108</v>
      </c>
      <c r="G1868" s="2" t="s">
        <v>104</v>
      </c>
      <c r="H1868" s="2"/>
      <c r="I1868" s="2"/>
      <c r="J1868" s="2" t="s">
        <v>19</v>
      </c>
      <c r="K1868" s="2"/>
      <c r="L1868" s="2" t="s">
        <v>5059</v>
      </c>
    </row>
    <row r="1869" customFormat="false" ht="15.65" hidden="false" customHeight="true" outlineLevel="0" collapsed="false">
      <c r="A1869" s="5" t="str">
        <f aca="false">HYPERLINK("https://www.fabsurplus.com/sdi_catalog/salesItemDetails.do?id=110193")</f>
        <v>https://www.fabsurplus.com/sdi_catalog/salesItemDetails.do?id=110193</v>
      </c>
      <c r="B1869" s="5" t="s">
        <v>5082</v>
      </c>
      <c r="C1869" s="5" t="s">
        <v>4849</v>
      </c>
      <c r="D1869" s="5" t="s">
        <v>5083</v>
      </c>
      <c r="E1869" s="5" t="s">
        <v>763</v>
      </c>
      <c r="F1869" s="5" t="s">
        <v>16</v>
      </c>
      <c r="G1869" s="5" t="s">
        <v>165</v>
      </c>
      <c r="H1869" s="5"/>
      <c r="I1869" s="5"/>
      <c r="J1869" s="5" t="s">
        <v>42</v>
      </c>
      <c r="K1869" s="5"/>
      <c r="L1869" s="7" t="s">
        <v>5084</v>
      </c>
    </row>
    <row r="1870" customFormat="false" ht="15.65" hidden="false" customHeight="true" outlineLevel="0" collapsed="false">
      <c r="A1870" s="2" t="str">
        <f aca="false">HYPERLINK("https://www.fabsurplus.com/sdi_catalog/salesItemDetails.do?id=109426")</f>
        <v>https://www.fabsurplus.com/sdi_catalog/salesItemDetails.do?id=109426</v>
      </c>
      <c r="B1870" s="2" t="s">
        <v>5085</v>
      </c>
      <c r="C1870" s="2" t="s">
        <v>4849</v>
      </c>
      <c r="D1870" s="2" t="s">
        <v>4892</v>
      </c>
      <c r="E1870" s="2" t="s">
        <v>103</v>
      </c>
      <c r="F1870" s="2" t="s">
        <v>86</v>
      </c>
      <c r="G1870" s="2" t="s">
        <v>104</v>
      </c>
      <c r="H1870" s="2"/>
      <c r="I1870" s="2"/>
      <c r="J1870" s="2" t="s">
        <v>19</v>
      </c>
      <c r="K1870" s="2"/>
      <c r="L1870" s="2" t="s">
        <v>5086</v>
      </c>
    </row>
    <row r="1871" customFormat="false" ht="15.65" hidden="false" customHeight="true" outlineLevel="0" collapsed="false">
      <c r="A1871" s="5" t="str">
        <f aca="false">HYPERLINK("https://www.fabsurplus.com/sdi_catalog/salesItemDetails.do?id=110194")</f>
        <v>https://www.fabsurplus.com/sdi_catalog/salesItemDetails.do?id=110194</v>
      </c>
      <c r="B1871" s="5" t="s">
        <v>5087</v>
      </c>
      <c r="C1871" s="5" t="s">
        <v>4849</v>
      </c>
      <c r="D1871" s="5" t="s">
        <v>5083</v>
      </c>
      <c r="E1871" s="5" t="s">
        <v>763</v>
      </c>
      <c r="F1871" s="5" t="s">
        <v>16</v>
      </c>
      <c r="G1871" s="5" t="s">
        <v>165</v>
      </c>
      <c r="H1871" s="5"/>
      <c r="I1871" s="5"/>
      <c r="J1871" s="5" t="s">
        <v>42</v>
      </c>
      <c r="K1871" s="5"/>
      <c r="L1871" s="7" t="s">
        <v>5084</v>
      </c>
    </row>
    <row r="1872" customFormat="false" ht="15.65" hidden="false" customHeight="true" outlineLevel="0" collapsed="false">
      <c r="A1872" s="2" t="str">
        <f aca="false">HYPERLINK("https://www.fabsurplus.com/sdi_catalog/salesItemDetails.do?id=109427")</f>
        <v>https://www.fabsurplus.com/sdi_catalog/salesItemDetails.do?id=109427</v>
      </c>
      <c r="B1872" s="2" t="s">
        <v>5088</v>
      </c>
      <c r="C1872" s="2" t="s">
        <v>4849</v>
      </c>
      <c r="D1872" s="2" t="s">
        <v>4892</v>
      </c>
      <c r="E1872" s="2" t="s">
        <v>103</v>
      </c>
      <c r="F1872" s="2" t="s">
        <v>108</v>
      </c>
      <c r="G1872" s="2" t="s">
        <v>104</v>
      </c>
      <c r="H1872" s="2"/>
      <c r="I1872" s="2"/>
      <c r="J1872" s="2" t="s">
        <v>19</v>
      </c>
      <c r="K1872" s="2"/>
      <c r="L1872" s="2" t="s">
        <v>5089</v>
      </c>
    </row>
    <row r="1873" customFormat="false" ht="15.65" hidden="false" customHeight="true" outlineLevel="0" collapsed="false">
      <c r="A1873" s="5" t="str">
        <f aca="false">HYPERLINK("https://www.fabsurplus.com/sdi_catalog/salesItemDetails.do?id=110195")</f>
        <v>https://www.fabsurplus.com/sdi_catalog/salesItemDetails.do?id=110195</v>
      </c>
      <c r="B1873" s="5" t="s">
        <v>5090</v>
      </c>
      <c r="C1873" s="5" t="s">
        <v>4849</v>
      </c>
      <c r="D1873" s="5" t="s">
        <v>5083</v>
      </c>
      <c r="E1873" s="5" t="s">
        <v>763</v>
      </c>
      <c r="F1873" s="5" t="s">
        <v>16</v>
      </c>
      <c r="G1873" s="5" t="s">
        <v>165</v>
      </c>
      <c r="H1873" s="5"/>
      <c r="I1873" s="5"/>
      <c r="J1873" s="5" t="s">
        <v>42</v>
      </c>
      <c r="K1873" s="5"/>
      <c r="L1873" s="7" t="s">
        <v>5084</v>
      </c>
    </row>
    <row r="1874" customFormat="false" ht="15.65" hidden="false" customHeight="true" outlineLevel="0" collapsed="false">
      <c r="A1874" s="2" t="str">
        <f aca="false">HYPERLINK("https://www.fabsurplus.com/sdi_catalog/salesItemDetails.do?id=109428")</f>
        <v>https://www.fabsurplus.com/sdi_catalog/salesItemDetails.do?id=109428</v>
      </c>
      <c r="B1874" s="2" t="s">
        <v>5091</v>
      </c>
      <c r="C1874" s="2" t="s">
        <v>4849</v>
      </c>
      <c r="D1874" s="2" t="s">
        <v>5092</v>
      </c>
      <c r="E1874" s="2" t="s">
        <v>103</v>
      </c>
      <c r="F1874" s="2" t="s">
        <v>16</v>
      </c>
      <c r="G1874" s="2" t="s">
        <v>104</v>
      </c>
      <c r="H1874" s="2"/>
      <c r="I1874" s="2"/>
      <c r="J1874" s="2" t="s">
        <v>19</v>
      </c>
      <c r="K1874" s="2"/>
      <c r="L1874" s="2" t="s">
        <v>5093</v>
      </c>
    </row>
    <row r="1875" customFormat="false" ht="15.65" hidden="false" customHeight="true" outlineLevel="0" collapsed="false">
      <c r="A1875" s="5" t="str">
        <f aca="false">HYPERLINK("https://www.fabsurplus.com/sdi_catalog/salesItemDetails.do?id=110196")</f>
        <v>https://www.fabsurplus.com/sdi_catalog/salesItemDetails.do?id=110196</v>
      </c>
      <c r="B1875" s="5" t="s">
        <v>5094</v>
      </c>
      <c r="C1875" s="5" t="s">
        <v>4849</v>
      </c>
      <c r="D1875" s="5" t="s">
        <v>5095</v>
      </c>
      <c r="E1875" s="5" t="s">
        <v>170</v>
      </c>
      <c r="F1875" s="5" t="s">
        <v>16</v>
      </c>
      <c r="G1875" s="5" t="s">
        <v>165</v>
      </c>
      <c r="H1875" s="5"/>
      <c r="I1875" s="5"/>
      <c r="J1875" s="5" t="s">
        <v>42</v>
      </c>
      <c r="K1875" s="5"/>
      <c r="L1875" s="5" t="s">
        <v>5096</v>
      </c>
    </row>
    <row r="1876" customFormat="false" ht="15.65" hidden="false" customHeight="true" outlineLevel="0" collapsed="false">
      <c r="A1876" s="2" t="str">
        <f aca="false">HYPERLINK("https://www.fabsurplus.com/sdi_catalog/salesItemDetails.do?id=109429")</f>
        <v>https://www.fabsurplus.com/sdi_catalog/salesItemDetails.do?id=109429</v>
      </c>
      <c r="B1876" s="2" t="s">
        <v>5097</v>
      </c>
      <c r="C1876" s="2" t="s">
        <v>4849</v>
      </c>
      <c r="D1876" s="2" t="s">
        <v>5098</v>
      </c>
      <c r="E1876" s="2" t="s">
        <v>103</v>
      </c>
      <c r="F1876" s="2" t="s">
        <v>16</v>
      </c>
      <c r="G1876" s="2" t="s">
        <v>104</v>
      </c>
      <c r="H1876" s="2"/>
      <c r="I1876" s="2"/>
      <c r="J1876" s="2" t="s">
        <v>19</v>
      </c>
      <c r="K1876" s="2"/>
      <c r="L1876" s="2" t="s">
        <v>5099</v>
      </c>
    </row>
    <row r="1877" customFormat="false" ht="15.65" hidden="false" customHeight="true" outlineLevel="0" collapsed="false">
      <c r="A1877" s="5" t="str">
        <f aca="false">HYPERLINK("https://www.fabsurplus.com/sdi_catalog/salesItemDetails.do?id=110197")</f>
        <v>https://www.fabsurplus.com/sdi_catalog/salesItemDetails.do?id=110197</v>
      </c>
      <c r="B1877" s="5" t="s">
        <v>5100</v>
      </c>
      <c r="C1877" s="5" t="s">
        <v>4849</v>
      </c>
      <c r="D1877" s="5" t="s">
        <v>5101</v>
      </c>
      <c r="E1877" s="5" t="s">
        <v>170</v>
      </c>
      <c r="F1877" s="5" t="s">
        <v>16</v>
      </c>
      <c r="G1877" s="5" t="s">
        <v>165</v>
      </c>
      <c r="H1877" s="5"/>
      <c r="I1877" s="5"/>
      <c r="J1877" s="5" t="s">
        <v>42</v>
      </c>
      <c r="K1877" s="5"/>
      <c r="L1877" s="5" t="s">
        <v>686</v>
      </c>
    </row>
    <row r="1878" customFormat="false" ht="15.65" hidden="false" customHeight="true" outlineLevel="0" collapsed="false">
      <c r="A1878" s="2" t="str">
        <f aca="false">HYPERLINK("https://www.fabsurplus.com/sdi_catalog/salesItemDetails.do?id=109430")</f>
        <v>https://www.fabsurplus.com/sdi_catalog/salesItemDetails.do?id=109430</v>
      </c>
      <c r="B1878" s="2" t="s">
        <v>5102</v>
      </c>
      <c r="C1878" s="2" t="s">
        <v>4849</v>
      </c>
      <c r="D1878" s="2" t="s">
        <v>4908</v>
      </c>
      <c r="E1878" s="2" t="s">
        <v>103</v>
      </c>
      <c r="F1878" s="2" t="s">
        <v>16</v>
      </c>
      <c r="G1878" s="2" t="s">
        <v>104</v>
      </c>
      <c r="H1878" s="2"/>
      <c r="I1878" s="2"/>
      <c r="J1878" s="2" t="s">
        <v>19</v>
      </c>
      <c r="K1878" s="2"/>
      <c r="L1878" s="2" t="s">
        <v>5103</v>
      </c>
    </row>
    <row r="1879" customFormat="false" ht="15.65" hidden="false" customHeight="true" outlineLevel="0" collapsed="false">
      <c r="A1879" s="5" t="str">
        <f aca="false">HYPERLINK("https://www.fabsurplus.com/sdi_catalog/salesItemDetails.do?id=110198")</f>
        <v>https://www.fabsurplus.com/sdi_catalog/salesItemDetails.do?id=110198</v>
      </c>
      <c r="B1879" s="5" t="s">
        <v>5104</v>
      </c>
      <c r="C1879" s="5" t="s">
        <v>4849</v>
      </c>
      <c r="D1879" s="5" t="s">
        <v>5101</v>
      </c>
      <c r="E1879" s="5" t="s">
        <v>170</v>
      </c>
      <c r="F1879" s="5" t="s">
        <v>16</v>
      </c>
      <c r="G1879" s="5" t="s">
        <v>165</v>
      </c>
      <c r="H1879" s="5"/>
      <c r="I1879" s="5"/>
      <c r="J1879" s="5" t="s">
        <v>42</v>
      </c>
      <c r="K1879" s="5"/>
      <c r="L1879" s="5" t="s">
        <v>686</v>
      </c>
    </row>
    <row r="1880" customFormat="false" ht="15.65" hidden="false" customHeight="true" outlineLevel="0" collapsed="false">
      <c r="A1880" s="2" t="str">
        <f aca="false">HYPERLINK("https://www.fabsurplus.com/sdi_catalog/salesItemDetails.do?id=109431")</f>
        <v>https://www.fabsurplus.com/sdi_catalog/salesItemDetails.do?id=109431</v>
      </c>
      <c r="B1880" s="2" t="s">
        <v>5105</v>
      </c>
      <c r="C1880" s="2" t="s">
        <v>4849</v>
      </c>
      <c r="D1880" s="2" t="s">
        <v>4908</v>
      </c>
      <c r="E1880" s="2" t="s">
        <v>103</v>
      </c>
      <c r="F1880" s="2" t="s">
        <v>16</v>
      </c>
      <c r="G1880" s="2" t="s">
        <v>104</v>
      </c>
      <c r="H1880" s="2"/>
      <c r="I1880" s="2"/>
      <c r="J1880" s="2" t="s">
        <v>19</v>
      </c>
      <c r="K1880" s="2"/>
      <c r="L1880" s="2" t="s">
        <v>5106</v>
      </c>
    </row>
    <row r="1881" customFormat="false" ht="15.65" hidden="false" customHeight="true" outlineLevel="0" collapsed="false">
      <c r="A1881" s="5" t="str">
        <f aca="false">HYPERLINK("https://www.fabsurplus.com/sdi_catalog/salesItemDetails.do?id=110199")</f>
        <v>https://www.fabsurplus.com/sdi_catalog/salesItemDetails.do?id=110199</v>
      </c>
      <c r="B1881" s="5" t="s">
        <v>5107</v>
      </c>
      <c r="C1881" s="5" t="s">
        <v>4849</v>
      </c>
      <c r="D1881" s="5" t="s">
        <v>5101</v>
      </c>
      <c r="E1881" s="5" t="s">
        <v>170</v>
      </c>
      <c r="F1881" s="5" t="s">
        <v>16</v>
      </c>
      <c r="G1881" s="5" t="s">
        <v>165</v>
      </c>
      <c r="H1881" s="5"/>
      <c r="I1881" s="5"/>
      <c r="J1881" s="5" t="s">
        <v>42</v>
      </c>
      <c r="K1881" s="5"/>
      <c r="L1881" s="5" t="s">
        <v>686</v>
      </c>
    </row>
    <row r="1882" customFormat="false" ht="15.65" hidden="false" customHeight="true" outlineLevel="0" collapsed="false">
      <c r="A1882" s="2" t="str">
        <f aca="false">HYPERLINK("https://www.fabsurplus.com/sdi_catalog/salesItemDetails.do?id=109432")</f>
        <v>https://www.fabsurplus.com/sdi_catalog/salesItemDetails.do?id=109432</v>
      </c>
      <c r="B1882" s="2" t="s">
        <v>5108</v>
      </c>
      <c r="C1882" s="2" t="s">
        <v>4849</v>
      </c>
      <c r="D1882" s="2" t="s">
        <v>5109</v>
      </c>
      <c r="E1882" s="2" t="s">
        <v>103</v>
      </c>
      <c r="F1882" s="2" t="s">
        <v>86</v>
      </c>
      <c r="G1882" s="2" t="s">
        <v>104</v>
      </c>
      <c r="H1882" s="2"/>
      <c r="I1882" s="2"/>
      <c r="J1882" s="2" t="s">
        <v>19</v>
      </c>
      <c r="K1882" s="2"/>
      <c r="L1882" s="2" t="s">
        <v>5110</v>
      </c>
    </row>
    <row r="1883" customFormat="false" ht="15.65" hidden="false" customHeight="true" outlineLevel="0" collapsed="false">
      <c r="A1883" s="5" t="str">
        <f aca="false">HYPERLINK("https://www.fabsurplus.com/sdi_catalog/salesItemDetails.do?id=110200")</f>
        <v>https://www.fabsurplus.com/sdi_catalog/salesItemDetails.do?id=110200</v>
      </c>
      <c r="B1883" s="5" t="s">
        <v>5111</v>
      </c>
      <c r="C1883" s="5" t="s">
        <v>4849</v>
      </c>
      <c r="D1883" s="5" t="s">
        <v>5112</v>
      </c>
      <c r="E1883" s="5" t="s">
        <v>170</v>
      </c>
      <c r="F1883" s="5" t="s">
        <v>16</v>
      </c>
      <c r="G1883" s="5" t="s">
        <v>165</v>
      </c>
      <c r="H1883" s="5"/>
      <c r="I1883" s="5"/>
      <c r="J1883" s="5" t="s">
        <v>42</v>
      </c>
      <c r="K1883" s="5"/>
      <c r="L1883" s="5" t="s">
        <v>5113</v>
      </c>
    </row>
    <row r="1884" customFormat="false" ht="15.65" hidden="false" customHeight="true" outlineLevel="0" collapsed="false">
      <c r="A1884" s="2" t="str">
        <f aca="false">HYPERLINK("https://www.fabsurplus.com/sdi_catalog/salesItemDetails.do?id=109433")</f>
        <v>https://www.fabsurplus.com/sdi_catalog/salesItemDetails.do?id=109433</v>
      </c>
      <c r="B1884" s="2" t="s">
        <v>5114</v>
      </c>
      <c r="C1884" s="2" t="s">
        <v>4849</v>
      </c>
      <c r="D1884" s="2" t="s">
        <v>5115</v>
      </c>
      <c r="E1884" s="2" t="s">
        <v>103</v>
      </c>
      <c r="F1884" s="2" t="s">
        <v>16</v>
      </c>
      <c r="G1884" s="2" t="s">
        <v>104</v>
      </c>
      <c r="H1884" s="2"/>
      <c r="I1884" s="2"/>
      <c r="J1884" s="2" t="s">
        <v>19</v>
      </c>
      <c r="K1884" s="2"/>
      <c r="L1884" s="2" t="s">
        <v>5116</v>
      </c>
    </row>
    <row r="1885" customFormat="false" ht="15.65" hidden="false" customHeight="true" outlineLevel="0" collapsed="false">
      <c r="A1885" s="5" t="str">
        <f aca="false">HYPERLINK("https://www.fabsurplus.com/sdi_catalog/salesItemDetails.do?id=110201")</f>
        <v>https://www.fabsurplus.com/sdi_catalog/salesItemDetails.do?id=110201</v>
      </c>
      <c r="B1885" s="5" t="s">
        <v>5117</v>
      </c>
      <c r="C1885" s="5" t="s">
        <v>4849</v>
      </c>
      <c r="D1885" s="5" t="s">
        <v>5118</v>
      </c>
      <c r="E1885" s="5" t="s">
        <v>170</v>
      </c>
      <c r="F1885" s="5" t="s">
        <v>16</v>
      </c>
      <c r="G1885" s="5" t="s">
        <v>165</v>
      </c>
      <c r="H1885" s="5"/>
      <c r="I1885" s="5"/>
      <c r="J1885" s="5" t="s">
        <v>42</v>
      </c>
      <c r="K1885" s="5"/>
      <c r="L1885" s="5" t="s">
        <v>686</v>
      </c>
    </row>
    <row r="1886" customFormat="false" ht="15.65" hidden="false" customHeight="true" outlineLevel="0" collapsed="false">
      <c r="A1886" s="2" t="str">
        <f aca="false">HYPERLINK("https://www.fabsurplus.com/sdi_catalog/salesItemDetails.do?id=107642")</f>
        <v>https://www.fabsurplus.com/sdi_catalog/salesItemDetails.do?id=107642</v>
      </c>
      <c r="B1886" s="2" t="s">
        <v>5119</v>
      </c>
      <c r="C1886" s="2" t="s">
        <v>4849</v>
      </c>
      <c r="D1886" s="2" t="s">
        <v>5120</v>
      </c>
      <c r="E1886" s="2" t="s">
        <v>164</v>
      </c>
      <c r="F1886" s="2" t="s">
        <v>16</v>
      </c>
      <c r="G1886" s="2" t="s">
        <v>104</v>
      </c>
      <c r="H1886" s="2" t="s">
        <v>32</v>
      </c>
      <c r="I1886" s="2"/>
      <c r="J1886" s="2" t="s">
        <v>19</v>
      </c>
      <c r="K1886" s="2" t="s">
        <v>20</v>
      </c>
      <c r="L1886" s="2" t="s">
        <v>5121</v>
      </c>
    </row>
    <row r="1887" customFormat="false" ht="15.65" hidden="false" customHeight="true" outlineLevel="0" collapsed="false">
      <c r="A1887" s="5" t="str">
        <f aca="false">HYPERLINK("https://www.fabsurplus.com/sdi_catalog/salesItemDetails.do?id=110202")</f>
        <v>https://www.fabsurplus.com/sdi_catalog/salesItemDetails.do?id=110202</v>
      </c>
      <c r="B1887" s="5" t="s">
        <v>5122</v>
      </c>
      <c r="C1887" s="5" t="s">
        <v>4849</v>
      </c>
      <c r="D1887" s="5" t="s">
        <v>5118</v>
      </c>
      <c r="E1887" s="5" t="s">
        <v>170</v>
      </c>
      <c r="F1887" s="5" t="s">
        <v>16</v>
      </c>
      <c r="G1887" s="5" t="s">
        <v>165</v>
      </c>
      <c r="H1887" s="5"/>
      <c r="I1887" s="5"/>
      <c r="J1887" s="5" t="s">
        <v>42</v>
      </c>
      <c r="K1887" s="5"/>
      <c r="L1887" s="5" t="s">
        <v>686</v>
      </c>
    </row>
    <row r="1888" customFormat="false" ht="15.65" hidden="false" customHeight="true" outlineLevel="0" collapsed="false">
      <c r="A1888" s="2" t="str">
        <f aca="false">HYPERLINK("https://www.fabsurplus.com/sdi_catalog/salesItemDetails.do?id=110203")</f>
        <v>https://www.fabsurplus.com/sdi_catalog/salesItemDetails.do?id=110203</v>
      </c>
      <c r="B1888" s="2" t="s">
        <v>5123</v>
      </c>
      <c r="C1888" s="2" t="s">
        <v>4849</v>
      </c>
      <c r="D1888" s="2" t="s">
        <v>5118</v>
      </c>
      <c r="E1888" s="2" t="s">
        <v>170</v>
      </c>
      <c r="F1888" s="2" t="s">
        <v>16</v>
      </c>
      <c r="G1888" s="2" t="s">
        <v>165</v>
      </c>
      <c r="H1888" s="2"/>
      <c r="I1888" s="2"/>
      <c r="J1888" s="2" t="s">
        <v>42</v>
      </c>
      <c r="K1888" s="2"/>
      <c r="L1888" s="2" t="s">
        <v>5124</v>
      </c>
    </row>
    <row r="1889" customFormat="false" ht="15.65" hidden="false" customHeight="true" outlineLevel="0" collapsed="false">
      <c r="A1889" s="5" t="str">
        <f aca="false">HYPERLINK("https://www.fabsurplus.com/sdi_catalog/salesItemDetails.do?id=110204")</f>
        <v>https://www.fabsurplus.com/sdi_catalog/salesItemDetails.do?id=110204</v>
      </c>
      <c r="B1889" s="5" t="s">
        <v>5125</v>
      </c>
      <c r="C1889" s="5" t="s">
        <v>4849</v>
      </c>
      <c r="D1889" s="5" t="s">
        <v>5118</v>
      </c>
      <c r="E1889" s="5" t="s">
        <v>170</v>
      </c>
      <c r="F1889" s="5" t="s">
        <v>16</v>
      </c>
      <c r="G1889" s="5" t="s">
        <v>165</v>
      </c>
      <c r="H1889" s="5"/>
      <c r="I1889" s="5"/>
      <c r="J1889" s="5" t="s">
        <v>42</v>
      </c>
      <c r="K1889" s="5"/>
      <c r="L1889" s="5" t="s">
        <v>5124</v>
      </c>
    </row>
    <row r="1890" customFormat="false" ht="15.65" hidden="false" customHeight="true" outlineLevel="0" collapsed="false">
      <c r="A1890" s="2" t="str">
        <f aca="false">HYPERLINK("https://www.fabsurplus.com/sdi_catalog/salesItemDetails.do?id=110205")</f>
        <v>https://www.fabsurplus.com/sdi_catalog/salesItemDetails.do?id=110205</v>
      </c>
      <c r="B1890" s="2" t="s">
        <v>5126</v>
      </c>
      <c r="C1890" s="2" t="s">
        <v>4849</v>
      </c>
      <c r="D1890" s="2" t="s">
        <v>5118</v>
      </c>
      <c r="E1890" s="2" t="s">
        <v>170</v>
      </c>
      <c r="F1890" s="2" t="s">
        <v>16</v>
      </c>
      <c r="G1890" s="2" t="s">
        <v>165</v>
      </c>
      <c r="H1890" s="2"/>
      <c r="I1890" s="2"/>
      <c r="J1890" s="2" t="s">
        <v>42</v>
      </c>
      <c r="K1890" s="2"/>
      <c r="L1890" s="2" t="s">
        <v>5124</v>
      </c>
    </row>
    <row r="1891" customFormat="false" ht="15.65" hidden="false" customHeight="true" outlineLevel="0" collapsed="false">
      <c r="A1891" s="5" t="str">
        <f aca="false">HYPERLINK("https://www.fabsurplus.com/sdi_catalog/salesItemDetails.do?id=110206")</f>
        <v>https://www.fabsurplus.com/sdi_catalog/salesItemDetails.do?id=110206</v>
      </c>
      <c r="B1891" s="5" t="s">
        <v>5127</v>
      </c>
      <c r="C1891" s="5" t="s">
        <v>4849</v>
      </c>
      <c r="D1891" s="5" t="s">
        <v>5118</v>
      </c>
      <c r="E1891" s="5" t="s">
        <v>170</v>
      </c>
      <c r="F1891" s="5" t="s">
        <v>16</v>
      </c>
      <c r="G1891" s="5" t="s">
        <v>165</v>
      </c>
      <c r="H1891" s="5"/>
      <c r="I1891" s="5"/>
      <c r="J1891" s="5" t="s">
        <v>42</v>
      </c>
      <c r="K1891" s="5"/>
      <c r="L1891" s="5" t="s">
        <v>5124</v>
      </c>
    </row>
    <row r="1892" customFormat="false" ht="15.65" hidden="false" customHeight="true" outlineLevel="0" collapsed="false">
      <c r="A1892" s="2" t="str">
        <f aca="false">HYPERLINK("https://www.fabsurplus.com/sdi_catalog/salesItemDetails.do?id=107647")</f>
        <v>https://www.fabsurplus.com/sdi_catalog/salesItemDetails.do?id=107647</v>
      </c>
      <c r="B1892" s="2" t="s">
        <v>5128</v>
      </c>
      <c r="C1892" s="2" t="s">
        <v>4849</v>
      </c>
      <c r="D1892" s="2" t="s">
        <v>5129</v>
      </c>
      <c r="E1892" s="2" t="s">
        <v>164</v>
      </c>
      <c r="F1892" s="2" t="s">
        <v>16</v>
      </c>
      <c r="G1892" s="2" t="s">
        <v>104</v>
      </c>
      <c r="H1892" s="2" t="s">
        <v>275</v>
      </c>
      <c r="I1892" s="2"/>
      <c r="J1892" s="2" t="s">
        <v>19</v>
      </c>
      <c r="K1892" s="2" t="s">
        <v>20</v>
      </c>
      <c r="L1892" s="2" t="s">
        <v>5129</v>
      </c>
    </row>
    <row r="1893" customFormat="false" ht="15.65" hidden="false" customHeight="true" outlineLevel="0" collapsed="false">
      <c r="A1893" s="5" t="str">
        <f aca="false">HYPERLINK("https://www.fabsurplus.com/sdi_catalog/salesItemDetails.do?id=110207")</f>
        <v>https://www.fabsurplus.com/sdi_catalog/salesItemDetails.do?id=110207</v>
      </c>
      <c r="B1893" s="5" t="s">
        <v>5130</v>
      </c>
      <c r="C1893" s="5" t="s">
        <v>4849</v>
      </c>
      <c r="D1893" s="5" t="s">
        <v>5131</v>
      </c>
      <c r="E1893" s="5" t="s">
        <v>170</v>
      </c>
      <c r="F1893" s="5" t="s">
        <v>16</v>
      </c>
      <c r="G1893" s="5" t="s">
        <v>165</v>
      </c>
      <c r="H1893" s="5"/>
      <c r="I1893" s="5"/>
      <c r="J1893" s="5" t="s">
        <v>42</v>
      </c>
      <c r="K1893" s="5"/>
      <c r="L1893" s="5" t="s">
        <v>5132</v>
      </c>
    </row>
    <row r="1894" customFormat="false" ht="15.65" hidden="false" customHeight="true" outlineLevel="0" collapsed="false">
      <c r="A1894" s="2" t="str">
        <f aca="false">HYPERLINK("https://www.fabsurplus.com/sdi_catalog/salesItemDetails.do?id=110208")</f>
        <v>https://www.fabsurplus.com/sdi_catalog/salesItemDetails.do?id=110208</v>
      </c>
      <c r="B1894" s="2" t="s">
        <v>5133</v>
      </c>
      <c r="C1894" s="2" t="s">
        <v>4849</v>
      </c>
      <c r="D1894" s="2" t="s">
        <v>5131</v>
      </c>
      <c r="E1894" s="2" t="s">
        <v>170</v>
      </c>
      <c r="F1894" s="2" t="s">
        <v>16</v>
      </c>
      <c r="G1894" s="2" t="s">
        <v>165</v>
      </c>
      <c r="H1894" s="2"/>
      <c r="I1894" s="2"/>
      <c r="J1894" s="2" t="s">
        <v>42</v>
      </c>
      <c r="K1894" s="2"/>
      <c r="L1894" s="2" t="s">
        <v>5134</v>
      </c>
    </row>
    <row r="1895" customFormat="false" ht="15.65" hidden="false" customHeight="true" outlineLevel="0" collapsed="false">
      <c r="A1895" s="5" t="str">
        <f aca="false">HYPERLINK("https://www.fabsurplus.com/sdi_catalog/salesItemDetails.do?id=110209")</f>
        <v>https://www.fabsurplus.com/sdi_catalog/salesItemDetails.do?id=110209</v>
      </c>
      <c r="B1895" s="5" t="s">
        <v>5135</v>
      </c>
      <c r="C1895" s="5" t="s">
        <v>4849</v>
      </c>
      <c r="D1895" s="5" t="s">
        <v>5131</v>
      </c>
      <c r="E1895" s="5" t="s">
        <v>170</v>
      </c>
      <c r="F1895" s="5" t="s">
        <v>16</v>
      </c>
      <c r="G1895" s="5" t="s">
        <v>165</v>
      </c>
      <c r="H1895" s="5"/>
      <c r="I1895" s="5"/>
      <c r="J1895" s="5" t="s">
        <v>42</v>
      </c>
      <c r="K1895" s="5"/>
      <c r="L1895" s="5" t="s">
        <v>5136</v>
      </c>
    </row>
    <row r="1896" customFormat="false" ht="15.65" hidden="false" customHeight="true" outlineLevel="0" collapsed="false">
      <c r="A1896" s="2" t="str">
        <f aca="false">HYPERLINK("https://www.fabsurplus.com/sdi_catalog/salesItemDetails.do?id=110210")</f>
        <v>https://www.fabsurplus.com/sdi_catalog/salesItemDetails.do?id=110210</v>
      </c>
      <c r="B1896" s="2" t="s">
        <v>5137</v>
      </c>
      <c r="C1896" s="2" t="s">
        <v>4849</v>
      </c>
      <c r="D1896" s="2" t="s">
        <v>5131</v>
      </c>
      <c r="E1896" s="2" t="s">
        <v>170</v>
      </c>
      <c r="F1896" s="2" t="s">
        <v>16</v>
      </c>
      <c r="G1896" s="2" t="s">
        <v>165</v>
      </c>
      <c r="H1896" s="2"/>
      <c r="I1896" s="2"/>
      <c r="J1896" s="2" t="s">
        <v>42</v>
      </c>
      <c r="K1896" s="2"/>
      <c r="L1896" s="2" t="s">
        <v>5136</v>
      </c>
    </row>
    <row r="1897" customFormat="false" ht="15.65" hidden="false" customHeight="true" outlineLevel="0" collapsed="false">
      <c r="A1897" s="5" t="str">
        <f aca="false">HYPERLINK("https://www.fabsurplus.com/sdi_catalog/salesItemDetails.do?id=110211")</f>
        <v>https://www.fabsurplus.com/sdi_catalog/salesItemDetails.do?id=110211</v>
      </c>
      <c r="B1897" s="5" t="s">
        <v>5138</v>
      </c>
      <c r="C1897" s="5" t="s">
        <v>4849</v>
      </c>
      <c r="D1897" s="5" t="s">
        <v>5131</v>
      </c>
      <c r="E1897" s="5" t="s">
        <v>170</v>
      </c>
      <c r="F1897" s="5" t="s">
        <v>16</v>
      </c>
      <c r="G1897" s="5" t="s">
        <v>165</v>
      </c>
      <c r="H1897" s="5"/>
      <c r="I1897" s="5"/>
      <c r="J1897" s="5" t="s">
        <v>42</v>
      </c>
      <c r="K1897" s="5"/>
      <c r="L1897" s="5" t="s">
        <v>5136</v>
      </c>
    </row>
    <row r="1898" customFormat="false" ht="15.65" hidden="false" customHeight="true" outlineLevel="0" collapsed="false">
      <c r="A1898" s="2" t="str">
        <f aca="false">HYPERLINK("https://www.fabsurplus.com/sdi_catalog/salesItemDetails.do?id=110212")</f>
        <v>https://www.fabsurplus.com/sdi_catalog/salesItemDetails.do?id=110212</v>
      </c>
      <c r="B1898" s="2" t="s">
        <v>5139</v>
      </c>
      <c r="C1898" s="2" t="s">
        <v>4849</v>
      </c>
      <c r="D1898" s="2" t="s">
        <v>5131</v>
      </c>
      <c r="E1898" s="2" t="s">
        <v>170</v>
      </c>
      <c r="F1898" s="2" t="s">
        <v>16</v>
      </c>
      <c r="G1898" s="2" t="s">
        <v>165</v>
      </c>
      <c r="H1898" s="2"/>
      <c r="I1898" s="2"/>
      <c r="J1898" s="2" t="s">
        <v>42</v>
      </c>
      <c r="K1898" s="2"/>
      <c r="L1898" s="2" t="s">
        <v>5136</v>
      </c>
    </row>
    <row r="1899" customFormat="false" ht="15.65" hidden="false" customHeight="true" outlineLevel="0" collapsed="false">
      <c r="A1899" s="5" t="str">
        <f aca="false">HYPERLINK("https://www.fabsurplus.com/sdi_catalog/salesItemDetails.do?id=110213")</f>
        <v>https://www.fabsurplus.com/sdi_catalog/salesItemDetails.do?id=110213</v>
      </c>
      <c r="B1899" s="5" t="s">
        <v>5140</v>
      </c>
      <c r="C1899" s="5" t="s">
        <v>4849</v>
      </c>
      <c r="D1899" s="5" t="s">
        <v>5131</v>
      </c>
      <c r="E1899" s="5" t="s">
        <v>170</v>
      </c>
      <c r="F1899" s="5" t="s">
        <v>16</v>
      </c>
      <c r="G1899" s="5" t="s">
        <v>165</v>
      </c>
      <c r="H1899" s="5"/>
      <c r="I1899" s="5"/>
      <c r="J1899" s="5" t="s">
        <v>42</v>
      </c>
      <c r="K1899" s="5"/>
      <c r="L1899" s="5" t="s">
        <v>5136</v>
      </c>
    </row>
    <row r="1900" customFormat="false" ht="15.65" hidden="false" customHeight="true" outlineLevel="0" collapsed="false">
      <c r="A1900" s="2" t="str">
        <f aca="false">HYPERLINK("https://www.fabsurplus.com/sdi_catalog/salesItemDetails.do?id=110214")</f>
        <v>https://www.fabsurplus.com/sdi_catalog/salesItemDetails.do?id=110214</v>
      </c>
      <c r="B1900" s="2" t="s">
        <v>5141</v>
      </c>
      <c r="C1900" s="2" t="s">
        <v>4849</v>
      </c>
      <c r="D1900" s="2" t="s">
        <v>5131</v>
      </c>
      <c r="E1900" s="2" t="s">
        <v>170</v>
      </c>
      <c r="F1900" s="2" t="s">
        <v>16</v>
      </c>
      <c r="G1900" s="2" t="s">
        <v>165</v>
      </c>
      <c r="H1900" s="2"/>
      <c r="I1900" s="2"/>
      <c r="J1900" s="2" t="s">
        <v>42</v>
      </c>
      <c r="K1900" s="2"/>
      <c r="L1900" s="2" t="s">
        <v>5142</v>
      </c>
    </row>
    <row r="1901" customFormat="false" ht="15.65" hidden="false" customHeight="true" outlineLevel="0" collapsed="false">
      <c r="A1901" s="5" t="str">
        <f aca="false">HYPERLINK("https://www.fabsurplus.com/sdi_catalog/salesItemDetails.do?id=110215")</f>
        <v>https://www.fabsurplus.com/sdi_catalog/salesItemDetails.do?id=110215</v>
      </c>
      <c r="B1901" s="5" t="s">
        <v>5143</v>
      </c>
      <c r="C1901" s="5" t="s">
        <v>4849</v>
      </c>
      <c r="D1901" s="5" t="s">
        <v>5131</v>
      </c>
      <c r="E1901" s="5" t="s">
        <v>170</v>
      </c>
      <c r="F1901" s="5" t="s">
        <v>16</v>
      </c>
      <c r="G1901" s="5" t="s">
        <v>165</v>
      </c>
      <c r="H1901" s="5"/>
      <c r="I1901" s="5"/>
      <c r="J1901" s="5" t="s">
        <v>42</v>
      </c>
      <c r="K1901" s="5"/>
      <c r="L1901" s="5" t="s">
        <v>5142</v>
      </c>
    </row>
    <row r="1902" customFormat="false" ht="15.65" hidden="false" customHeight="true" outlineLevel="0" collapsed="false">
      <c r="A1902" s="2" t="str">
        <f aca="false">HYPERLINK("https://www.fabsurplus.com/sdi_catalog/salesItemDetails.do?id=110216")</f>
        <v>https://www.fabsurplus.com/sdi_catalog/salesItemDetails.do?id=110216</v>
      </c>
      <c r="B1902" s="2" t="s">
        <v>5144</v>
      </c>
      <c r="C1902" s="2" t="s">
        <v>4849</v>
      </c>
      <c r="D1902" s="2" t="s">
        <v>5131</v>
      </c>
      <c r="E1902" s="2" t="s">
        <v>170</v>
      </c>
      <c r="F1902" s="2" t="s">
        <v>16</v>
      </c>
      <c r="G1902" s="2" t="s">
        <v>165</v>
      </c>
      <c r="H1902" s="2"/>
      <c r="I1902" s="2"/>
      <c r="J1902" s="2" t="s">
        <v>42</v>
      </c>
      <c r="K1902" s="2"/>
      <c r="L1902" s="2" t="s">
        <v>5145</v>
      </c>
    </row>
    <row r="1903" customFormat="false" ht="15.65" hidden="false" customHeight="true" outlineLevel="0" collapsed="false">
      <c r="A1903" s="5" t="str">
        <f aca="false">HYPERLINK("https://www.fabsurplus.com/sdi_catalog/salesItemDetails.do?id=110217")</f>
        <v>https://www.fabsurplus.com/sdi_catalog/salesItemDetails.do?id=110217</v>
      </c>
      <c r="B1903" s="5" t="s">
        <v>5146</v>
      </c>
      <c r="C1903" s="5" t="s">
        <v>4849</v>
      </c>
      <c r="D1903" s="5" t="s">
        <v>5131</v>
      </c>
      <c r="E1903" s="5" t="s">
        <v>170</v>
      </c>
      <c r="F1903" s="5" t="s">
        <v>16</v>
      </c>
      <c r="G1903" s="5" t="s">
        <v>165</v>
      </c>
      <c r="H1903" s="5"/>
      <c r="I1903" s="5"/>
      <c r="J1903" s="5" t="s">
        <v>42</v>
      </c>
      <c r="K1903" s="5"/>
      <c r="L1903" s="5" t="s">
        <v>5147</v>
      </c>
    </row>
    <row r="1904" customFormat="false" ht="15.65" hidden="false" customHeight="true" outlineLevel="0" collapsed="false">
      <c r="A1904" s="2" t="str">
        <f aca="false">HYPERLINK("https://www.fabsurplus.com/sdi_catalog/salesItemDetails.do?id=110218")</f>
        <v>https://www.fabsurplus.com/sdi_catalog/salesItemDetails.do?id=110218</v>
      </c>
      <c r="B1904" s="2" t="s">
        <v>5148</v>
      </c>
      <c r="C1904" s="2" t="s">
        <v>4849</v>
      </c>
      <c r="D1904" s="2" t="s">
        <v>4975</v>
      </c>
      <c r="E1904" s="2" t="s">
        <v>170</v>
      </c>
      <c r="F1904" s="2" t="s">
        <v>16</v>
      </c>
      <c r="G1904" s="2" t="s">
        <v>165</v>
      </c>
      <c r="H1904" s="2"/>
      <c r="I1904" s="2"/>
      <c r="J1904" s="2" t="s">
        <v>42</v>
      </c>
      <c r="K1904" s="2"/>
      <c r="L1904" s="2" t="s">
        <v>5149</v>
      </c>
    </row>
    <row r="1905" customFormat="false" ht="15.65" hidden="false" customHeight="true" outlineLevel="0" collapsed="false">
      <c r="A1905" s="5" t="str">
        <f aca="false">HYPERLINK("https://www.fabsurplus.com/sdi_catalog/salesItemDetails.do?id=110219")</f>
        <v>https://www.fabsurplus.com/sdi_catalog/salesItemDetails.do?id=110219</v>
      </c>
      <c r="B1905" s="5" t="s">
        <v>5150</v>
      </c>
      <c r="C1905" s="5" t="s">
        <v>4849</v>
      </c>
      <c r="D1905" s="5" t="s">
        <v>4975</v>
      </c>
      <c r="E1905" s="5" t="s">
        <v>170</v>
      </c>
      <c r="F1905" s="5" t="s">
        <v>16</v>
      </c>
      <c r="G1905" s="5" t="s">
        <v>165</v>
      </c>
      <c r="H1905" s="5"/>
      <c r="I1905" s="5"/>
      <c r="J1905" s="5" t="s">
        <v>42</v>
      </c>
      <c r="K1905" s="5"/>
      <c r="L1905" s="5" t="s">
        <v>5149</v>
      </c>
    </row>
    <row r="1906" customFormat="false" ht="15.65" hidden="false" customHeight="true" outlineLevel="0" collapsed="false">
      <c r="A1906" s="2" t="str">
        <f aca="false">HYPERLINK("https://www.fabsurplus.com/sdi_catalog/salesItemDetails.do?id=110220")</f>
        <v>https://www.fabsurplus.com/sdi_catalog/salesItemDetails.do?id=110220</v>
      </c>
      <c r="B1906" s="2" t="s">
        <v>5151</v>
      </c>
      <c r="C1906" s="2" t="s">
        <v>4849</v>
      </c>
      <c r="D1906" s="2" t="s">
        <v>5152</v>
      </c>
      <c r="E1906" s="2" t="s">
        <v>170</v>
      </c>
      <c r="F1906" s="2" t="s">
        <v>16</v>
      </c>
      <c r="G1906" s="2" t="s">
        <v>165</v>
      </c>
      <c r="H1906" s="2"/>
      <c r="I1906" s="2"/>
      <c r="J1906" s="2" t="s">
        <v>42</v>
      </c>
      <c r="K1906" s="2"/>
      <c r="L1906" s="2" t="s">
        <v>5153</v>
      </c>
    </row>
    <row r="1907" customFormat="false" ht="15.65" hidden="false" customHeight="true" outlineLevel="0" collapsed="false">
      <c r="A1907" s="5" t="str">
        <f aca="false">HYPERLINK("https://www.fabsurplus.com/sdi_catalog/salesItemDetails.do?id=110221")</f>
        <v>https://www.fabsurplus.com/sdi_catalog/salesItemDetails.do?id=110221</v>
      </c>
      <c r="B1907" s="5" t="s">
        <v>5154</v>
      </c>
      <c r="C1907" s="5" t="s">
        <v>4849</v>
      </c>
      <c r="D1907" s="5" t="s">
        <v>5155</v>
      </c>
      <c r="E1907" s="5" t="s">
        <v>170</v>
      </c>
      <c r="F1907" s="5" t="s">
        <v>16</v>
      </c>
      <c r="G1907" s="5" t="s">
        <v>165</v>
      </c>
      <c r="H1907" s="5"/>
      <c r="I1907" s="5"/>
      <c r="J1907" s="5" t="s">
        <v>42</v>
      </c>
      <c r="K1907" s="5"/>
      <c r="L1907" s="5" t="s">
        <v>686</v>
      </c>
    </row>
    <row r="1908" customFormat="false" ht="15.65" hidden="false" customHeight="true" outlineLevel="0" collapsed="false">
      <c r="A1908" s="2" t="str">
        <f aca="false">HYPERLINK("https://www.fabsurplus.com/sdi_catalog/salesItemDetails.do?id=110222")</f>
        <v>https://www.fabsurplus.com/sdi_catalog/salesItemDetails.do?id=110222</v>
      </c>
      <c r="B1908" s="2" t="s">
        <v>5156</v>
      </c>
      <c r="C1908" s="2" t="s">
        <v>4849</v>
      </c>
      <c r="D1908" s="2" t="s">
        <v>5155</v>
      </c>
      <c r="E1908" s="2" t="s">
        <v>170</v>
      </c>
      <c r="F1908" s="2" t="s">
        <v>16</v>
      </c>
      <c r="G1908" s="2" t="s">
        <v>165</v>
      </c>
      <c r="H1908" s="2"/>
      <c r="I1908" s="2"/>
      <c r="J1908" s="2" t="s">
        <v>42</v>
      </c>
      <c r="K1908" s="2"/>
      <c r="L1908" s="2" t="s">
        <v>686</v>
      </c>
    </row>
    <row r="1909" customFormat="false" ht="15.65" hidden="false" customHeight="true" outlineLevel="0" collapsed="false">
      <c r="A1909" s="5" t="str">
        <f aca="false">HYPERLINK("https://www.fabsurplus.com/sdi_catalog/salesItemDetails.do?id=110223")</f>
        <v>https://www.fabsurplus.com/sdi_catalog/salesItemDetails.do?id=110223</v>
      </c>
      <c r="B1909" s="5" t="s">
        <v>5157</v>
      </c>
      <c r="C1909" s="5" t="s">
        <v>4849</v>
      </c>
      <c r="D1909" s="5" t="s">
        <v>5155</v>
      </c>
      <c r="E1909" s="5" t="s">
        <v>170</v>
      </c>
      <c r="F1909" s="5" t="s">
        <v>16</v>
      </c>
      <c r="G1909" s="5" t="s">
        <v>165</v>
      </c>
      <c r="H1909" s="5"/>
      <c r="I1909" s="5"/>
      <c r="J1909" s="5" t="s">
        <v>42</v>
      </c>
      <c r="K1909" s="5"/>
      <c r="L1909" s="5" t="s">
        <v>686</v>
      </c>
    </row>
    <row r="1910" customFormat="false" ht="15.65" hidden="false" customHeight="true" outlineLevel="0" collapsed="false">
      <c r="A1910" s="2" t="str">
        <f aca="false">HYPERLINK("https://www.fabsurplus.com/sdi_catalog/salesItemDetails.do?id=110224")</f>
        <v>https://www.fabsurplus.com/sdi_catalog/salesItemDetails.do?id=110224</v>
      </c>
      <c r="B1910" s="2" t="s">
        <v>5158</v>
      </c>
      <c r="C1910" s="2" t="s">
        <v>4849</v>
      </c>
      <c r="D1910" s="2" t="s">
        <v>5155</v>
      </c>
      <c r="E1910" s="2" t="s">
        <v>170</v>
      </c>
      <c r="F1910" s="2" t="s">
        <v>16</v>
      </c>
      <c r="G1910" s="2" t="s">
        <v>165</v>
      </c>
      <c r="H1910" s="2"/>
      <c r="I1910" s="2"/>
      <c r="J1910" s="2" t="s">
        <v>42</v>
      </c>
      <c r="K1910" s="2"/>
      <c r="L1910" s="2" t="s">
        <v>686</v>
      </c>
    </row>
    <row r="1911" customFormat="false" ht="15.65" hidden="false" customHeight="true" outlineLevel="0" collapsed="false">
      <c r="A1911" s="5" t="str">
        <f aca="false">HYPERLINK("https://www.fabsurplus.com/sdi_catalog/salesItemDetails.do?id=110225")</f>
        <v>https://www.fabsurplus.com/sdi_catalog/salesItemDetails.do?id=110225</v>
      </c>
      <c r="B1911" s="5" t="s">
        <v>5159</v>
      </c>
      <c r="C1911" s="5" t="s">
        <v>4849</v>
      </c>
      <c r="D1911" s="5" t="s">
        <v>5155</v>
      </c>
      <c r="E1911" s="5" t="s">
        <v>170</v>
      </c>
      <c r="F1911" s="5" t="s">
        <v>16</v>
      </c>
      <c r="G1911" s="5" t="s">
        <v>165</v>
      </c>
      <c r="H1911" s="5"/>
      <c r="I1911" s="5"/>
      <c r="J1911" s="5" t="s">
        <v>42</v>
      </c>
      <c r="K1911" s="5"/>
      <c r="L1911" s="5" t="s">
        <v>686</v>
      </c>
    </row>
    <row r="1912" customFormat="false" ht="15.65" hidden="false" customHeight="true" outlineLevel="0" collapsed="false">
      <c r="A1912" s="2" t="str">
        <f aca="false">HYPERLINK("https://www.fabsurplus.com/sdi_catalog/salesItemDetails.do?id=110226")</f>
        <v>https://www.fabsurplus.com/sdi_catalog/salesItemDetails.do?id=110226</v>
      </c>
      <c r="B1912" s="2" t="s">
        <v>5160</v>
      </c>
      <c r="C1912" s="2" t="s">
        <v>4849</v>
      </c>
      <c r="D1912" s="2" t="s">
        <v>5155</v>
      </c>
      <c r="E1912" s="2" t="s">
        <v>170</v>
      </c>
      <c r="F1912" s="2" t="s">
        <v>16</v>
      </c>
      <c r="G1912" s="2" t="s">
        <v>165</v>
      </c>
      <c r="H1912" s="2"/>
      <c r="I1912" s="2"/>
      <c r="J1912" s="2" t="s">
        <v>42</v>
      </c>
      <c r="K1912" s="2"/>
      <c r="L1912" s="2" t="s">
        <v>686</v>
      </c>
    </row>
    <row r="1913" customFormat="false" ht="15.65" hidden="false" customHeight="true" outlineLevel="0" collapsed="false">
      <c r="A1913" s="5" t="str">
        <f aca="false">HYPERLINK("https://www.fabsurplus.com/sdi_catalog/salesItemDetails.do?id=110227")</f>
        <v>https://www.fabsurplus.com/sdi_catalog/salesItemDetails.do?id=110227</v>
      </c>
      <c r="B1913" s="5" t="s">
        <v>5161</v>
      </c>
      <c r="C1913" s="5" t="s">
        <v>4849</v>
      </c>
      <c r="D1913" s="5" t="s">
        <v>5162</v>
      </c>
      <c r="E1913" s="5" t="s">
        <v>170</v>
      </c>
      <c r="F1913" s="5" t="s">
        <v>16</v>
      </c>
      <c r="G1913" s="5" t="s">
        <v>165</v>
      </c>
      <c r="H1913" s="5"/>
      <c r="I1913" s="5"/>
      <c r="J1913" s="5" t="s">
        <v>42</v>
      </c>
      <c r="K1913" s="5"/>
      <c r="L1913" s="5" t="s">
        <v>5163</v>
      </c>
    </row>
    <row r="1914" customFormat="false" ht="15.65" hidden="false" customHeight="true" outlineLevel="0" collapsed="false">
      <c r="A1914" s="2" t="str">
        <f aca="false">HYPERLINK("https://www.fabsurplus.com/sdi_catalog/salesItemDetails.do?id=110228")</f>
        <v>https://www.fabsurplus.com/sdi_catalog/salesItemDetails.do?id=110228</v>
      </c>
      <c r="B1914" s="2" t="s">
        <v>5164</v>
      </c>
      <c r="C1914" s="2" t="s">
        <v>4849</v>
      </c>
      <c r="D1914" s="2" t="s">
        <v>5162</v>
      </c>
      <c r="E1914" s="2" t="s">
        <v>170</v>
      </c>
      <c r="F1914" s="2" t="s">
        <v>16</v>
      </c>
      <c r="G1914" s="2" t="s">
        <v>165</v>
      </c>
      <c r="H1914" s="2"/>
      <c r="I1914" s="2"/>
      <c r="J1914" s="2" t="s">
        <v>42</v>
      </c>
      <c r="K1914" s="2"/>
      <c r="L1914" s="2" t="s">
        <v>5165</v>
      </c>
    </row>
    <row r="1915" customFormat="false" ht="15.65" hidden="false" customHeight="true" outlineLevel="0" collapsed="false">
      <c r="A1915" s="5" t="str">
        <f aca="false">HYPERLINK("https://www.fabsurplus.com/sdi_catalog/salesItemDetails.do?id=110229")</f>
        <v>https://www.fabsurplus.com/sdi_catalog/salesItemDetails.do?id=110229</v>
      </c>
      <c r="B1915" s="5" t="s">
        <v>5166</v>
      </c>
      <c r="C1915" s="5" t="s">
        <v>4849</v>
      </c>
      <c r="D1915" s="5" t="s">
        <v>5162</v>
      </c>
      <c r="E1915" s="5" t="s">
        <v>170</v>
      </c>
      <c r="F1915" s="5" t="s">
        <v>16</v>
      </c>
      <c r="G1915" s="5" t="s">
        <v>165</v>
      </c>
      <c r="H1915" s="5"/>
      <c r="I1915" s="5"/>
      <c r="J1915" s="5" t="s">
        <v>42</v>
      </c>
      <c r="K1915" s="5"/>
      <c r="L1915" s="5" t="s">
        <v>5165</v>
      </c>
    </row>
    <row r="1916" customFormat="false" ht="15.65" hidden="false" customHeight="true" outlineLevel="0" collapsed="false">
      <c r="A1916" s="2" t="str">
        <f aca="false">HYPERLINK("https://www.fabsurplus.com/sdi_catalog/salesItemDetails.do?id=110230")</f>
        <v>https://www.fabsurplus.com/sdi_catalog/salesItemDetails.do?id=110230</v>
      </c>
      <c r="B1916" s="2" t="s">
        <v>5167</v>
      </c>
      <c r="C1916" s="2" t="s">
        <v>4849</v>
      </c>
      <c r="D1916" s="2" t="s">
        <v>5162</v>
      </c>
      <c r="E1916" s="2" t="s">
        <v>170</v>
      </c>
      <c r="F1916" s="2" t="s">
        <v>16</v>
      </c>
      <c r="G1916" s="2" t="s">
        <v>165</v>
      </c>
      <c r="H1916" s="2"/>
      <c r="I1916" s="2"/>
      <c r="J1916" s="2" t="s">
        <v>42</v>
      </c>
      <c r="K1916" s="2"/>
      <c r="L1916" s="2" t="s">
        <v>5165</v>
      </c>
    </row>
    <row r="1917" customFormat="false" ht="15.65" hidden="false" customHeight="true" outlineLevel="0" collapsed="false">
      <c r="A1917" s="5" t="str">
        <f aca="false">HYPERLINK("https://www.fabsurplus.com/sdi_catalog/salesItemDetails.do?id=110231")</f>
        <v>https://www.fabsurplus.com/sdi_catalog/salesItemDetails.do?id=110231</v>
      </c>
      <c r="B1917" s="5" t="s">
        <v>5168</v>
      </c>
      <c r="C1917" s="5" t="s">
        <v>4849</v>
      </c>
      <c r="D1917" s="5" t="s">
        <v>5162</v>
      </c>
      <c r="E1917" s="5" t="s">
        <v>170</v>
      </c>
      <c r="F1917" s="5" t="s">
        <v>16</v>
      </c>
      <c r="G1917" s="5" t="s">
        <v>165</v>
      </c>
      <c r="H1917" s="5"/>
      <c r="I1917" s="5"/>
      <c r="J1917" s="5" t="s">
        <v>42</v>
      </c>
      <c r="K1917" s="5"/>
      <c r="L1917" s="5" t="s">
        <v>5165</v>
      </c>
    </row>
    <row r="1918" customFormat="false" ht="15.65" hidden="false" customHeight="true" outlineLevel="0" collapsed="false">
      <c r="A1918" s="2" t="str">
        <f aca="false">HYPERLINK("https://www.fabsurplus.com/sdi_catalog/salesItemDetails.do?id=110232")</f>
        <v>https://www.fabsurplus.com/sdi_catalog/salesItemDetails.do?id=110232</v>
      </c>
      <c r="B1918" s="2" t="s">
        <v>5169</v>
      </c>
      <c r="C1918" s="2" t="s">
        <v>4849</v>
      </c>
      <c r="D1918" s="2" t="s">
        <v>5162</v>
      </c>
      <c r="E1918" s="2" t="s">
        <v>170</v>
      </c>
      <c r="F1918" s="2" t="s">
        <v>16</v>
      </c>
      <c r="G1918" s="2" t="s">
        <v>165</v>
      </c>
      <c r="H1918" s="2"/>
      <c r="I1918" s="2"/>
      <c r="J1918" s="2" t="s">
        <v>42</v>
      </c>
      <c r="K1918" s="2"/>
      <c r="L1918" s="2" t="s">
        <v>5170</v>
      </c>
    </row>
    <row r="1919" customFormat="false" ht="15.65" hidden="false" customHeight="true" outlineLevel="0" collapsed="false">
      <c r="A1919" s="5" t="str">
        <f aca="false">HYPERLINK("https://www.fabsurplus.com/sdi_catalog/salesItemDetails.do?id=110233")</f>
        <v>https://www.fabsurplus.com/sdi_catalog/salesItemDetails.do?id=110233</v>
      </c>
      <c r="B1919" s="5" t="s">
        <v>5171</v>
      </c>
      <c r="C1919" s="5" t="s">
        <v>4849</v>
      </c>
      <c r="D1919" s="5" t="s">
        <v>5162</v>
      </c>
      <c r="E1919" s="5" t="s">
        <v>170</v>
      </c>
      <c r="F1919" s="5" t="s">
        <v>16</v>
      </c>
      <c r="G1919" s="5" t="s">
        <v>165</v>
      </c>
      <c r="H1919" s="5"/>
      <c r="I1919" s="5"/>
      <c r="J1919" s="5" t="s">
        <v>42</v>
      </c>
      <c r="K1919" s="5"/>
      <c r="L1919" s="5" t="s">
        <v>5172</v>
      </c>
    </row>
    <row r="1920" customFormat="false" ht="15.65" hidden="false" customHeight="true" outlineLevel="0" collapsed="false">
      <c r="A1920" s="2" t="str">
        <f aca="false">HYPERLINK("https://www.fabsurplus.com/sdi_catalog/salesItemDetails.do?id=110234")</f>
        <v>https://www.fabsurplus.com/sdi_catalog/salesItemDetails.do?id=110234</v>
      </c>
      <c r="B1920" s="2" t="s">
        <v>5173</v>
      </c>
      <c r="C1920" s="2" t="s">
        <v>4849</v>
      </c>
      <c r="D1920" s="2" t="s">
        <v>5174</v>
      </c>
      <c r="E1920" s="2" t="s">
        <v>170</v>
      </c>
      <c r="F1920" s="2" t="s">
        <v>16</v>
      </c>
      <c r="G1920" s="2" t="s">
        <v>165</v>
      </c>
      <c r="H1920" s="2"/>
      <c r="I1920" s="2"/>
      <c r="J1920" s="2" t="s">
        <v>42</v>
      </c>
      <c r="K1920" s="2"/>
      <c r="L1920" s="2" t="s">
        <v>5175</v>
      </c>
    </row>
    <row r="1921" customFormat="false" ht="15.65" hidden="false" customHeight="true" outlineLevel="0" collapsed="false">
      <c r="A1921" s="5" t="str">
        <f aca="false">HYPERLINK("https://www.fabsurplus.com/sdi_catalog/salesItemDetails.do?id=110235")</f>
        <v>https://www.fabsurplus.com/sdi_catalog/salesItemDetails.do?id=110235</v>
      </c>
      <c r="B1921" s="5" t="s">
        <v>5176</v>
      </c>
      <c r="C1921" s="5" t="s">
        <v>4849</v>
      </c>
      <c r="D1921" s="5" t="s">
        <v>5174</v>
      </c>
      <c r="E1921" s="5" t="s">
        <v>170</v>
      </c>
      <c r="F1921" s="5" t="s">
        <v>16</v>
      </c>
      <c r="G1921" s="5" t="s">
        <v>165</v>
      </c>
      <c r="H1921" s="5"/>
      <c r="I1921" s="5"/>
      <c r="J1921" s="5" t="s">
        <v>42</v>
      </c>
      <c r="K1921" s="5"/>
      <c r="L1921" s="5" t="s">
        <v>5177</v>
      </c>
    </row>
    <row r="1922" customFormat="false" ht="15.65" hidden="false" customHeight="true" outlineLevel="0" collapsed="false">
      <c r="A1922" s="2" t="str">
        <f aca="false">HYPERLINK("https://www.fabsurplus.com/sdi_catalog/salesItemDetails.do?id=110236")</f>
        <v>https://www.fabsurplus.com/sdi_catalog/salesItemDetails.do?id=110236</v>
      </c>
      <c r="B1922" s="2" t="s">
        <v>5178</v>
      </c>
      <c r="C1922" s="2" t="s">
        <v>4849</v>
      </c>
      <c r="D1922" s="2" t="s">
        <v>5174</v>
      </c>
      <c r="E1922" s="2" t="s">
        <v>170</v>
      </c>
      <c r="F1922" s="2" t="s">
        <v>16</v>
      </c>
      <c r="G1922" s="2" t="s">
        <v>165</v>
      </c>
      <c r="H1922" s="2"/>
      <c r="I1922" s="2"/>
      <c r="J1922" s="2" t="s">
        <v>42</v>
      </c>
      <c r="K1922" s="2"/>
      <c r="L1922" s="2" t="s">
        <v>5177</v>
      </c>
    </row>
    <row r="1923" customFormat="false" ht="15.65" hidden="false" customHeight="true" outlineLevel="0" collapsed="false">
      <c r="A1923" s="5" t="str">
        <f aca="false">HYPERLINK("https://www.fabsurplus.com/sdi_catalog/salesItemDetails.do?id=110237")</f>
        <v>https://www.fabsurplus.com/sdi_catalog/salesItemDetails.do?id=110237</v>
      </c>
      <c r="B1923" s="5" t="s">
        <v>5179</v>
      </c>
      <c r="C1923" s="5" t="s">
        <v>4849</v>
      </c>
      <c r="D1923" s="5" t="s">
        <v>5174</v>
      </c>
      <c r="E1923" s="5" t="s">
        <v>170</v>
      </c>
      <c r="F1923" s="5" t="s">
        <v>16</v>
      </c>
      <c r="G1923" s="5" t="s">
        <v>165</v>
      </c>
      <c r="H1923" s="5"/>
      <c r="I1923" s="5"/>
      <c r="J1923" s="5" t="s">
        <v>42</v>
      </c>
      <c r="K1923" s="5"/>
      <c r="L1923" s="5" t="s">
        <v>5177</v>
      </c>
    </row>
    <row r="1924" customFormat="false" ht="15.65" hidden="false" customHeight="true" outlineLevel="0" collapsed="false">
      <c r="A1924" s="2" t="str">
        <f aca="false">HYPERLINK("https://www.fabsurplus.com/sdi_catalog/salesItemDetails.do?id=110238")</f>
        <v>https://www.fabsurplus.com/sdi_catalog/salesItemDetails.do?id=110238</v>
      </c>
      <c r="B1924" s="2" t="s">
        <v>5180</v>
      </c>
      <c r="C1924" s="2" t="s">
        <v>4849</v>
      </c>
      <c r="D1924" s="2" t="s">
        <v>5174</v>
      </c>
      <c r="E1924" s="2" t="s">
        <v>170</v>
      </c>
      <c r="F1924" s="2" t="s">
        <v>16</v>
      </c>
      <c r="G1924" s="2" t="s">
        <v>165</v>
      </c>
      <c r="H1924" s="2"/>
      <c r="I1924" s="2"/>
      <c r="J1924" s="2" t="s">
        <v>42</v>
      </c>
      <c r="K1924" s="2"/>
      <c r="L1924" s="2" t="s">
        <v>5177</v>
      </c>
    </row>
    <row r="1925" customFormat="false" ht="15.65" hidden="false" customHeight="true" outlineLevel="0" collapsed="false">
      <c r="A1925" s="5" t="str">
        <f aca="false">HYPERLINK("https://www.fabsurplus.com/sdi_catalog/salesItemDetails.do?id=110239")</f>
        <v>https://www.fabsurplus.com/sdi_catalog/salesItemDetails.do?id=110239</v>
      </c>
      <c r="B1925" s="5" t="s">
        <v>5181</v>
      </c>
      <c r="C1925" s="5" t="s">
        <v>4849</v>
      </c>
      <c r="D1925" s="5" t="s">
        <v>5174</v>
      </c>
      <c r="E1925" s="5" t="s">
        <v>170</v>
      </c>
      <c r="F1925" s="5" t="s">
        <v>16</v>
      </c>
      <c r="G1925" s="5" t="s">
        <v>165</v>
      </c>
      <c r="H1925" s="5"/>
      <c r="I1925" s="5"/>
      <c r="J1925" s="5" t="s">
        <v>42</v>
      </c>
      <c r="K1925" s="5"/>
      <c r="L1925" s="5" t="s">
        <v>5177</v>
      </c>
    </row>
    <row r="1926" customFormat="false" ht="15.65" hidden="false" customHeight="true" outlineLevel="0" collapsed="false">
      <c r="A1926" s="2" t="str">
        <f aca="false">HYPERLINK("https://www.fabsurplus.com/sdi_catalog/salesItemDetails.do?id=110240")</f>
        <v>https://www.fabsurplus.com/sdi_catalog/salesItemDetails.do?id=110240</v>
      </c>
      <c r="B1926" s="2" t="s">
        <v>5182</v>
      </c>
      <c r="C1926" s="2" t="s">
        <v>4849</v>
      </c>
      <c r="D1926" s="2" t="s">
        <v>5174</v>
      </c>
      <c r="E1926" s="2" t="s">
        <v>170</v>
      </c>
      <c r="F1926" s="2" t="s">
        <v>16</v>
      </c>
      <c r="G1926" s="2" t="s">
        <v>165</v>
      </c>
      <c r="H1926" s="2"/>
      <c r="I1926" s="2"/>
      <c r="J1926" s="2" t="s">
        <v>42</v>
      </c>
      <c r="K1926" s="2"/>
      <c r="L1926" s="2" t="s">
        <v>5177</v>
      </c>
    </row>
    <row r="1927" customFormat="false" ht="15.65" hidden="false" customHeight="true" outlineLevel="0" collapsed="false">
      <c r="A1927" s="5" t="str">
        <f aca="false">HYPERLINK("https://www.fabsurplus.com/sdi_catalog/salesItemDetails.do?id=110241")</f>
        <v>https://www.fabsurplus.com/sdi_catalog/salesItemDetails.do?id=110241</v>
      </c>
      <c r="B1927" s="5" t="s">
        <v>5183</v>
      </c>
      <c r="C1927" s="5" t="s">
        <v>4849</v>
      </c>
      <c r="D1927" s="5" t="s">
        <v>5174</v>
      </c>
      <c r="E1927" s="5" t="s">
        <v>170</v>
      </c>
      <c r="F1927" s="5" t="s">
        <v>16</v>
      </c>
      <c r="G1927" s="5" t="s">
        <v>165</v>
      </c>
      <c r="H1927" s="5"/>
      <c r="I1927" s="5"/>
      <c r="J1927" s="5" t="s">
        <v>42</v>
      </c>
      <c r="K1927" s="5"/>
      <c r="L1927" s="5" t="s">
        <v>5177</v>
      </c>
    </row>
    <row r="1928" customFormat="false" ht="15.65" hidden="false" customHeight="true" outlineLevel="0" collapsed="false">
      <c r="A1928" s="2" t="str">
        <f aca="false">HYPERLINK("https://www.fabsurplus.com/sdi_catalog/salesItemDetails.do?id=110242")</f>
        <v>https://www.fabsurplus.com/sdi_catalog/salesItemDetails.do?id=110242</v>
      </c>
      <c r="B1928" s="2" t="s">
        <v>5184</v>
      </c>
      <c r="C1928" s="2" t="s">
        <v>4849</v>
      </c>
      <c r="D1928" s="2" t="s">
        <v>5174</v>
      </c>
      <c r="E1928" s="2" t="s">
        <v>170</v>
      </c>
      <c r="F1928" s="2" t="s">
        <v>16</v>
      </c>
      <c r="G1928" s="2" t="s">
        <v>165</v>
      </c>
      <c r="H1928" s="2"/>
      <c r="I1928" s="2"/>
      <c r="J1928" s="2" t="s">
        <v>42</v>
      </c>
      <c r="K1928" s="2"/>
      <c r="L1928" s="2" t="s">
        <v>5177</v>
      </c>
    </row>
    <row r="1929" customFormat="false" ht="15.65" hidden="false" customHeight="true" outlineLevel="0" collapsed="false">
      <c r="A1929" s="5" t="str">
        <f aca="false">HYPERLINK("https://www.fabsurplus.com/sdi_catalog/salesItemDetails.do?id=110243")</f>
        <v>https://www.fabsurplus.com/sdi_catalog/salesItemDetails.do?id=110243</v>
      </c>
      <c r="B1929" s="5" t="s">
        <v>5185</v>
      </c>
      <c r="C1929" s="5" t="s">
        <v>4849</v>
      </c>
      <c r="D1929" s="5" t="s">
        <v>5174</v>
      </c>
      <c r="E1929" s="5" t="s">
        <v>170</v>
      </c>
      <c r="F1929" s="5" t="s">
        <v>16</v>
      </c>
      <c r="G1929" s="5" t="s">
        <v>165</v>
      </c>
      <c r="H1929" s="5"/>
      <c r="I1929" s="5"/>
      <c r="J1929" s="5" t="s">
        <v>42</v>
      </c>
      <c r="K1929" s="5"/>
      <c r="L1929" s="5" t="s">
        <v>5186</v>
      </c>
    </row>
    <row r="1930" customFormat="false" ht="15.65" hidden="false" customHeight="true" outlineLevel="0" collapsed="false">
      <c r="A1930" s="2" t="str">
        <f aca="false">HYPERLINK("https://www.fabsurplus.com/sdi_catalog/salesItemDetails.do?id=110244")</f>
        <v>https://www.fabsurplus.com/sdi_catalog/salesItemDetails.do?id=110244</v>
      </c>
      <c r="B1930" s="2" t="s">
        <v>5187</v>
      </c>
      <c r="C1930" s="2" t="s">
        <v>4849</v>
      </c>
      <c r="D1930" s="2" t="s">
        <v>5174</v>
      </c>
      <c r="E1930" s="2" t="s">
        <v>170</v>
      </c>
      <c r="F1930" s="2" t="s">
        <v>16</v>
      </c>
      <c r="G1930" s="2" t="s">
        <v>165</v>
      </c>
      <c r="H1930" s="2"/>
      <c r="I1930" s="2"/>
      <c r="J1930" s="2" t="s">
        <v>42</v>
      </c>
      <c r="K1930" s="2"/>
      <c r="L1930" s="2" t="s">
        <v>5186</v>
      </c>
    </row>
    <row r="1931" customFormat="false" ht="15.65" hidden="false" customHeight="true" outlineLevel="0" collapsed="false">
      <c r="A1931" s="5" t="str">
        <f aca="false">HYPERLINK("https://www.fabsurplus.com/sdi_catalog/salesItemDetails.do?id=110245")</f>
        <v>https://www.fabsurplus.com/sdi_catalog/salesItemDetails.do?id=110245</v>
      </c>
      <c r="B1931" s="5" t="s">
        <v>5188</v>
      </c>
      <c r="C1931" s="5" t="s">
        <v>4849</v>
      </c>
      <c r="D1931" s="5" t="s">
        <v>5174</v>
      </c>
      <c r="E1931" s="5" t="s">
        <v>170</v>
      </c>
      <c r="F1931" s="5" t="s">
        <v>16</v>
      </c>
      <c r="G1931" s="5" t="s">
        <v>165</v>
      </c>
      <c r="H1931" s="5"/>
      <c r="I1931" s="5"/>
      <c r="J1931" s="5" t="s">
        <v>42</v>
      </c>
      <c r="K1931" s="5"/>
      <c r="L1931" s="5" t="s">
        <v>5186</v>
      </c>
    </row>
    <row r="1932" customFormat="false" ht="15.65" hidden="false" customHeight="true" outlineLevel="0" collapsed="false">
      <c r="A1932" s="2" t="str">
        <f aca="false">HYPERLINK("https://www.fabsurplus.com/sdi_catalog/salesItemDetails.do?id=110246")</f>
        <v>https://www.fabsurplus.com/sdi_catalog/salesItemDetails.do?id=110246</v>
      </c>
      <c r="B1932" s="2" t="s">
        <v>5189</v>
      </c>
      <c r="C1932" s="2" t="s">
        <v>4849</v>
      </c>
      <c r="D1932" s="2" t="s">
        <v>5174</v>
      </c>
      <c r="E1932" s="2" t="s">
        <v>170</v>
      </c>
      <c r="F1932" s="2" t="s">
        <v>16</v>
      </c>
      <c r="G1932" s="2" t="s">
        <v>165</v>
      </c>
      <c r="H1932" s="2"/>
      <c r="I1932" s="2"/>
      <c r="J1932" s="2" t="s">
        <v>42</v>
      </c>
      <c r="K1932" s="2"/>
      <c r="L1932" s="2" t="s">
        <v>5186</v>
      </c>
    </row>
    <row r="1933" customFormat="false" ht="15.65" hidden="false" customHeight="true" outlineLevel="0" collapsed="false">
      <c r="A1933" s="5" t="str">
        <f aca="false">HYPERLINK("https://www.fabsurplus.com/sdi_catalog/salesItemDetails.do?id=110247")</f>
        <v>https://www.fabsurplus.com/sdi_catalog/salesItemDetails.do?id=110247</v>
      </c>
      <c r="B1933" s="5" t="s">
        <v>5190</v>
      </c>
      <c r="C1933" s="5" t="s">
        <v>4849</v>
      </c>
      <c r="D1933" s="5" t="s">
        <v>5174</v>
      </c>
      <c r="E1933" s="5" t="s">
        <v>170</v>
      </c>
      <c r="F1933" s="5" t="s">
        <v>16</v>
      </c>
      <c r="G1933" s="5" t="s">
        <v>165</v>
      </c>
      <c r="H1933" s="5"/>
      <c r="I1933" s="5"/>
      <c r="J1933" s="5" t="s">
        <v>42</v>
      </c>
      <c r="K1933" s="5"/>
      <c r="L1933" s="5" t="s">
        <v>5186</v>
      </c>
    </row>
    <row r="1934" customFormat="false" ht="15.65" hidden="false" customHeight="true" outlineLevel="0" collapsed="false">
      <c r="A1934" s="2" t="str">
        <f aca="false">HYPERLINK("https://www.fabsurplus.com/sdi_catalog/salesItemDetails.do?id=110248")</f>
        <v>https://www.fabsurplus.com/sdi_catalog/salesItemDetails.do?id=110248</v>
      </c>
      <c r="B1934" s="2" t="s">
        <v>5191</v>
      </c>
      <c r="C1934" s="2" t="s">
        <v>4849</v>
      </c>
      <c r="D1934" s="2" t="s">
        <v>5174</v>
      </c>
      <c r="E1934" s="2" t="s">
        <v>170</v>
      </c>
      <c r="F1934" s="2" t="s">
        <v>16</v>
      </c>
      <c r="G1934" s="2" t="s">
        <v>165</v>
      </c>
      <c r="H1934" s="2"/>
      <c r="I1934" s="2"/>
      <c r="J1934" s="2" t="s">
        <v>42</v>
      </c>
      <c r="K1934" s="2"/>
      <c r="L1934" s="2" t="s">
        <v>5186</v>
      </c>
    </row>
    <row r="1935" customFormat="false" ht="15.65" hidden="false" customHeight="true" outlineLevel="0" collapsed="false">
      <c r="A1935" s="5" t="str">
        <f aca="false">HYPERLINK("https://www.fabsurplus.com/sdi_catalog/salesItemDetails.do?id=83625")</f>
        <v>https://www.fabsurplus.com/sdi_catalog/salesItemDetails.do?id=83625</v>
      </c>
      <c r="B1935" s="5" t="s">
        <v>5192</v>
      </c>
      <c r="C1935" s="5" t="s">
        <v>4849</v>
      </c>
      <c r="D1935" s="5" t="s">
        <v>5193</v>
      </c>
      <c r="E1935" s="5" t="s">
        <v>5194</v>
      </c>
      <c r="F1935" s="5" t="s">
        <v>16</v>
      </c>
      <c r="G1935" s="5"/>
      <c r="H1935" s="5" t="s">
        <v>32</v>
      </c>
      <c r="I1935" s="6" t="n">
        <v>34393.9583333333</v>
      </c>
      <c r="J1935" s="5" t="s">
        <v>19</v>
      </c>
      <c r="K1935" s="5" t="s">
        <v>20</v>
      </c>
      <c r="L1935" s="7" t="s">
        <v>5195</v>
      </c>
    </row>
    <row r="1936" customFormat="false" ht="15.65" hidden="false" customHeight="true" outlineLevel="0" collapsed="false">
      <c r="A1936" s="2" t="str">
        <f aca="false">HYPERLINK("https://www.fabsurplus.com/sdi_catalog/salesItemDetails.do?id=110249")</f>
        <v>https://www.fabsurplus.com/sdi_catalog/salesItemDetails.do?id=110249</v>
      </c>
      <c r="B1936" s="2" t="s">
        <v>5196</v>
      </c>
      <c r="C1936" s="2" t="s">
        <v>4849</v>
      </c>
      <c r="D1936" s="2" t="s">
        <v>5174</v>
      </c>
      <c r="E1936" s="2" t="s">
        <v>170</v>
      </c>
      <c r="F1936" s="2" t="s">
        <v>16</v>
      </c>
      <c r="G1936" s="2" t="s">
        <v>165</v>
      </c>
      <c r="H1936" s="2"/>
      <c r="I1936" s="2"/>
      <c r="J1936" s="2" t="s">
        <v>42</v>
      </c>
      <c r="K1936" s="2"/>
      <c r="L1936" s="2" t="s">
        <v>5186</v>
      </c>
    </row>
    <row r="1937" customFormat="false" ht="15.65" hidden="false" customHeight="true" outlineLevel="0" collapsed="false">
      <c r="A1937" s="5" t="str">
        <f aca="false">HYPERLINK("https://www.fabsurplus.com/sdi_catalog/salesItemDetails.do?id=110250")</f>
        <v>https://www.fabsurplus.com/sdi_catalog/salesItemDetails.do?id=110250</v>
      </c>
      <c r="B1937" s="5" t="s">
        <v>5197</v>
      </c>
      <c r="C1937" s="5" t="s">
        <v>4849</v>
      </c>
      <c r="D1937" s="5" t="s">
        <v>5198</v>
      </c>
      <c r="E1937" s="5" t="s">
        <v>170</v>
      </c>
      <c r="F1937" s="5" t="s">
        <v>16</v>
      </c>
      <c r="G1937" s="5" t="s">
        <v>165</v>
      </c>
      <c r="H1937" s="5"/>
      <c r="I1937" s="5"/>
      <c r="J1937" s="5" t="s">
        <v>42</v>
      </c>
      <c r="K1937" s="5"/>
      <c r="L1937" s="5" t="s">
        <v>5199</v>
      </c>
    </row>
    <row r="1938" customFormat="false" ht="15.65" hidden="false" customHeight="true" outlineLevel="0" collapsed="false">
      <c r="A1938" s="2" t="str">
        <f aca="false">HYPERLINK("https://www.fabsurplus.com/sdi_catalog/salesItemDetails.do?id=110251")</f>
        <v>https://www.fabsurplus.com/sdi_catalog/salesItemDetails.do?id=110251</v>
      </c>
      <c r="B1938" s="2" t="s">
        <v>5200</v>
      </c>
      <c r="C1938" s="2" t="s">
        <v>4849</v>
      </c>
      <c r="D1938" s="2" t="s">
        <v>5198</v>
      </c>
      <c r="E1938" s="2" t="s">
        <v>170</v>
      </c>
      <c r="F1938" s="2" t="s">
        <v>16</v>
      </c>
      <c r="G1938" s="2" t="s">
        <v>165</v>
      </c>
      <c r="H1938" s="2"/>
      <c r="I1938" s="2"/>
      <c r="J1938" s="2" t="s">
        <v>42</v>
      </c>
      <c r="K1938" s="2"/>
      <c r="L1938" s="2" t="s">
        <v>5199</v>
      </c>
    </row>
    <row r="1939" customFormat="false" ht="15.65" hidden="false" customHeight="true" outlineLevel="0" collapsed="false">
      <c r="A1939" s="5" t="str">
        <f aca="false">HYPERLINK("https://www.fabsurplus.com/sdi_catalog/salesItemDetails.do?id=110252")</f>
        <v>https://www.fabsurplus.com/sdi_catalog/salesItemDetails.do?id=110252</v>
      </c>
      <c r="B1939" s="5" t="s">
        <v>5201</v>
      </c>
      <c r="C1939" s="5" t="s">
        <v>4849</v>
      </c>
      <c r="D1939" s="5" t="s">
        <v>5198</v>
      </c>
      <c r="E1939" s="5" t="s">
        <v>170</v>
      </c>
      <c r="F1939" s="5" t="s">
        <v>16</v>
      </c>
      <c r="G1939" s="5" t="s">
        <v>165</v>
      </c>
      <c r="H1939" s="5"/>
      <c r="I1939" s="5"/>
      <c r="J1939" s="5" t="s">
        <v>42</v>
      </c>
      <c r="K1939" s="5"/>
      <c r="L1939" s="5" t="s">
        <v>5199</v>
      </c>
    </row>
    <row r="1940" customFormat="false" ht="15.65" hidden="false" customHeight="true" outlineLevel="0" collapsed="false">
      <c r="A1940" s="2" t="str">
        <f aca="false">HYPERLINK("https://www.fabsurplus.com/sdi_catalog/salesItemDetails.do?id=110253")</f>
        <v>https://www.fabsurplus.com/sdi_catalog/salesItemDetails.do?id=110253</v>
      </c>
      <c r="B1940" s="2" t="s">
        <v>5202</v>
      </c>
      <c r="C1940" s="2" t="s">
        <v>4849</v>
      </c>
      <c r="D1940" s="2" t="s">
        <v>5198</v>
      </c>
      <c r="E1940" s="2" t="s">
        <v>170</v>
      </c>
      <c r="F1940" s="2" t="s">
        <v>16</v>
      </c>
      <c r="G1940" s="2" t="s">
        <v>165</v>
      </c>
      <c r="H1940" s="2"/>
      <c r="I1940" s="2"/>
      <c r="J1940" s="2" t="s">
        <v>42</v>
      </c>
      <c r="K1940" s="2"/>
      <c r="L1940" s="2" t="s">
        <v>5199</v>
      </c>
    </row>
    <row r="1941" customFormat="false" ht="15.65" hidden="false" customHeight="true" outlineLevel="0" collapsed="false">
      <c r="A1941" s="5" t="str">
        <f aca="false">HYPERLINK("https://www.fabsurplus.com/sdi_catalog/salesItemDetails.do?id=110254")</f>
        <v>https://www.fabsurplus.com/sdi_catalog/salesItemDetails.do?id=110254</v>
      </c>
      <c r="B1941" s="5" t="s">
        <v>5203</v>
      </c>
      <c r="C1941" s="5" t="s">
        <v>4849</v>
      </c>
      <c r="D1941" s="5" t="s">
        <v>5198</v>
      </c>
      <c r="E1941" s="5" t="s">
        <v>170</v>
      </c>
      <c r="F1941" s="5" t="s">
        <v>16</v>
      </c>
      <c r="G1941" s="5" t="s">
        <v>165</v>
      </c>
      <c r="H1941" s="5"/>
      <c r="I1941" s="5"/>
      <c r="J1941" s="5" t="s">
        <v>42</v>
      </c>
      <c r="K1941" s="5"/>
      <c r="L1941" s="5" t="s">
        <v>5199</v>
      </c>
    </row>
    <row r="1942" customFormat="false" ht="15.65" hidden="false" customHeight="true" outlineLevel="0" collapsed="false">
      <c r="A1942" s="2" t="str">
        <f aca="false">HYPERLINK("https://www.fabsurplus.com/sdi_catalog/salesItemDetails.do?id=110255")</f>
        <v>https://www.fabsurplus.com/sdi_catalog/salesItemDetails.do?id=110255</v>
      </c>
      <c r="B1942" s="2" t="s">
        <v>5204</v>
      </c>
      <c r="C1942" s="2" t="s">
        <v>4849</v>
      </c>
      <c r="D1942" s="2" t="s">
        <v>5198</v>
      </c>
      <c r="E1942" s="2" t="s">
        <v>170</v>
      </c>
      <c r="F1942" s="2" t="s">
        <v>16</v>
      </c>
      <c r="G1942" s="2" t="s">
        <v>165</v>
      </c>
      <c r="H1942" s="2"/>
      <c r="I1942" s="2"/>
      <c r="J1942" s="2" t="s">
        <v>42</v>
      </c>
      <c r="K1942" s="2"/>
      <c r="L1942" s="2" t="s">
        <v>5199</v>
      </c>
    </row>
    <row r="1943" customFormat="false" ht="15.65" hidden="false" customHeight="true" outlineLevel="0" collapsed="false">
      <c r="A1943" s="5" t="str">
        <f aca="false">HYPERLINK("https://www.fabsurplus.com/sdi_catalog/salesItemDetails.do?id=110256")</f>
        <v>https://www.fabsurplus.com/sdi_catalog/salesItemDetails.do?id=110256</v>
      </c>
      <c r="B1943" s="5" t="s">
        <v>5205</v>
      </c>
      <c r="C1943" s="5" t="s">
        <v>4849</v>
      </c>
      <c r="D1943" s="5" t="s">
        <v>5206</v>
      </c>
      <c r="E1943" s="5" t="s">
        <v>170</v>
      </c>
      <c r="F1943" s="5" t="s">
        <v>16</v>
      </c>
      <c r="G1943" s="5" t="s">
        <v>165</v>
      </c>
      <c r="H1943" s="5"/>
      <c r="I1943" s="5"/>
      <c r="J1943" s="5" t="s">
        <v>42</v>
      </c>
      <c r="K1943" s="5"/>
      <c r="L1943" s="5" t="s">
        <v>5207</v>
      </c>
    </row>
    <row r="1944" customFormat="false" ht="15.65" hidden="false" customHeight="true" outlineLevel="0" collapsed="false">
      <c r="A1944" s="2" t="str">
        <f aca="false">HYPERLINK("https://www.fabsurplus.com/sdi_catalog/salesItemDetails.do?id=110257")</f>
        <v>https://www.fabsurplus.com/sdi_catalog/salesItemDetails.do?id=110257</v>
      </c>
      <c r="B1944" s="2" t="s">
        <v>5208</v>
      </c>
      <c r="C1944" s="2" t="s">
        <v>4849</v>
      </c>
      <c r="D1944" s="2" t="s">
        <v>5206</v>
      </c>
      <c r="E1944" s="2" t="s">
        <v>170</v>
      </c>
      <c r="F1944" s="2" t="s">
        <v>16</v>
      </c>
      <c r="G1944" s="2" t="s">
        <v>165</v>
      </c>
      <c r="H1944" s="2"/>
      <c r="I1944" s="2"/>
      <c r="J1944" s="2" t="s">
        <v>42</v>
      </c>
      <c r="K1944" s="2"/>
      <c r="L1944" s="2" t="s">
        <v>5209</v>
      </c>
    </row>
    <row r="1945" customFormat="false" ht="15.65" hidden="false" customHeight="true" outlineLevel="0" collapsed="false">
      <c r="A1945" s="5" t="str">
        <f aca="false">HYPERLINK("https://www.fabsurplus.com/sdi_catalog/salesItemDetails.do?id=110258")</f>
        <v>https://www.fabsurplus.com/sdi_catalog/salesItemDetails.do?id=110258</v>
      </c>
      <c r="B1945" s="5" t="s">
        <v>5210</v>
      </c>
      <c r="C1945" s="5" t="s">
        <v>4849</v>
      </c>
      <c r="D1945" s="5" t="s">
        <v>5211</v>
      </c>
      <c r="E1945" s="5" t="s">
        <v>170</v>
      </c>
      <c r="F1945" s="5" t="s">
        <v>16</v>
      </c>
      <c r="G1945" s="5" t="s">
        <v>165</v>
      </c>
      <c r="H1945" s="5"/>
      <c r="I1945" s="5"/>
      <c r="J1945" s="5" t="s">
        <v>42</v>
      </c>
      <c r="K1945" s="5"/>
      <c r="L1945" s="5" t="s">
        <v>5212</v>
      </c>
    </row>
    <row r="1946" customFormat="false" ht="15.65" hidden="false" customHeight="true" outlineLevel="0" collapsed="false">
      <c r="A1946" s="2" t="str">
        <f aca="false">HYPERLINK("https://www.fabsurplus.com/sdi_catalog/salesItemDetails.do?id=110259")</f>
        <v>https://www.fabsurplus.com/sdi_catalog/salesItemDetails.do?id=110259</v>
      </c>
      <c r="B1946" s="2" t="s">
        <v>5213</v>
      </c>
      <c r="C1946" s="2" t="s">
        <v>4849</v>
      </c>
      <c r="D1946" s="2" t="s">
        <v>5214</v>
      </c>
      <c r="E1946" s="2" t="s">
        <v>170</v>
      </c>
      <c r="F1946" s="2" t="s">
        <v>16</v>
      </c>
      <c r="G1946" s="2" t="s">
        <v>165</v>
      </c>
      <c r="H1946" s="2"/>
      <c r="I1946" s="2"/>
      <c r="J1946" s="2" t="s">
        <v>42</v>
      </c>
      <c r="K1946" s="2"/>
      <c r="L1946" s="2" t="s">
        <v>5172</v>
      </c>
    </row>
    <row r="1947" customFormat="false" ht="15.65" hidden="false" customHeight="true" outlineLevel="0" collapsed="false">
      <c r="A1947" s="5" t="str">
        <f aca="false">HYPERLINK("https://www.fabsurplus.com/sdi_catalog/salesItemDetails.do?id=110260")</f>
        <v>https://www.fabsurplus.com/sdi_catalog/salesItemDetails.do?id=110260</v>
      </c>
      <c r="B1947" s="5" t="s">
        <v>5215</v>
      </c>
      <c r="C1947" s="5" t="s">
        <v>4849</v>
      </c>
      <c r="D1947" s="5" t="s">
        <v>5216</v>
      </c>
      <c r="E1947" s="5" t="s">
        <v>170</v>
      </c>
      <c r="F1947" s="5" t="s">
        <v>16</v>
      </c>
      <c r="G1947" s="5" t="s">
        <v>165</v>
      </c>
      <c r="H1947" s="5"/>
      <c r="I1947" s="5"/>
      <c r="J1947" s="5" t="s">
        <v>42</v>
      </c>
      <c r="K1947" s="5"/>
      <c r="L1947" s="5" t="s">
        <v>5217</v>
      </c>
    </row>
    <row r="1948" customFormat="false" ht="15.65" hidden="false" customHeight="true" outlineLevel="0" collapsed="false">
      <c r="A1948" s="2" t="str">
        <f aca="false">HYPERLINK("https://www.fabsurplus.com/sdi_catalog/salesItemDetails.do?id=110261")</f>
        <v>https://www.fabsurplus.com/sdi_catalog/salesItemDetails.do?id=110261</v>
      </c>
      <c r="B1948" s="2" t="s">
        <v>5218</v>
      </c>
      <c r="C1948" s="2" t="s">
        <v>4849</v>
      </c>
      <c r="D1948" s="2" t="s">
        <v>5216</v>
      </c>
      <c r="E1948" s="2" t="s">
        <v>170</v>
      </c>
      <c r="F1948" s="2" t="s">
        <v>16</v>
      </c>
      <c r="G1948" s="2" t="s">
        <v>165</v>
      </c>
      <c r="H1948" s="2"/>
      <c r="I1948" s="2"/>
      <c r="J1948" s="2" t="s">
        <v>42</v>
      </c>
      <c r="K1948" s="2"/>
      <c r="L1948" s="2" t="s">
        <v>5217</v>
      </c>
    </row>
    <row r="1949" customFormat="false" ht="15.65" hidden="false" customHeight="true" outlineLevel="0" collapsed="false">
      <c r="A1949" s="5" t="str">
        <f aca="false">HYPERLINK("https://www.fabsurplus.com/sdi_catalog/salesItemDetails.do?id=110262")</f>
        <v>https://www.fabsurplus.com/sdi_catalog/salesItemDetails.do?id=110262</v>
      </c>
      <c r="B1949" s="5" t="s">
        <v>5219</v>
      </c>
      <c r="C1949" s="5" t="s">
        <v>4849</v>
      </c>
      <c r="D1949" s="5" t="s">
        <v>5216</v>
      </c>
      <c r="E1949" s="5" t="s">
        <v>170</v>
      </c>
      <c r="F1949" s="5" t="s">
        <v>16</v>
      </c>
      <c r="G1949" s="5" t="s">
        <v>165</v>
      </c>
      <c r="H1949" s="5"/>
      <c r="I1949" s="5"/>
      <c r="J1949" s="5" t="s">
        <v>42</v>
      </c>
      <c r="K1949" s="5"/>
      <c r="L1949" s="5" t="s">
        <v>5220</v>
      </c>
    </row>
    <row r="1950" customFormat="false" ht="15.65" hidden="false" customHeight="true" outlineLevel="0" collapsed="false">
      <c r="A1950" s="2" t="str">
        <f aca="false">HYPERLINK("https://www.fabsurplus.com/sdi_catalog/salesItemDetails.do?id=110263")</f>
        <v>https://www.fabsurplus.com/sdi_catalog/salesItemDetails.do?id=110263</v>
      </c>
      <c r="B1950" s="2" t="s">
        <v>5221</v>
      </c>
      <c r="C1950" s="2" t="s">
        <v>4849</v>
      </c>
      <c r="D1950" s="2" t="s">
        <v>5216</v>
      </c>
      <c r="E1950" s="2" t="s">
        <v>170</v>
      </c>
      <c r="F1950" s="2" t="s">
        <v>16</v>
      </c>
      <c r="G1950" s="2" t="s">
        <v>165</v>
      </c>
      <c r="H1950" s="2"/>
      <c r="I1950" s="2"/>
      <c r="J1950" s="2" t="s">
        <v>42</v>
      </c>
      <c r="K1950" s="2"/>
      <c r="L1950" s="2" t="s">
        <v>5220</v>
      </c>
    </row>
    <row r="1951" customFormat="false" ht="15.65" hidden="false" customHeight="true" outlineLevel="0" collapsed="false">
      <c r="A1951" s="5" t="str">
        <f aca="false">HYPERLINK("https://www.fabsurplus.com/sdi_catalog/salesItemDetails.do?id=110264")</f>
        <v>https://www.fabsurplus.com/sdi_catalog/salesItemDetails.do?id=110264</v>
      </c>
      <c r="B1951" s="5" t="s">
        <v>5222</v>
      </c>
      <c r="C1951" s="5" t="s">
        <v>4849</v>
      </c>
      <c r="D1951" s="5" t="s">
        <v>5216</v>
      </c>
      <c r="E1951" s="5" t="s">
        <v>170</v>
      </c>
      <c r="F1951" s="5" t="s">
        <v>16</v>
      </c>
      <c r="G1951" s="5" t="s">
        <v>165</v>
      </c>
      <c r="H1951" s="5"/>
      <c r="I1951" s="5"/>
      <c r="J1951" s="5" t="s">
        <v>42</v>
      </c>
      <c r="K1951" s="5"/>
      <c r="L1951" s="5" t="s">
        <v>5223</v>
      </c>
    </row>
    <row r="1952" customFormat="false" ht="15.65" hidden="false" customHeight="true" outlineLevel="0" collapsed="false">
      <c r="A1952" s="2" t="str">
        <f aca="false">HYPERLINK("https://www.fabsurplus.com/sdi_catalog/salesItemDetails.do?id=110265")</f>
        <v>https://www.fabsurplus.com/sdi_catalog/salesItemDetails.do?id=110265</v>
      </c>
      <c r="B1952" s="2" t="s">
        <v>5224</v>
      </c>
      <c r="C1952" s="2" t="s">
        <v>4849</v>
      </c>
      <c r="D1952" s="2" t="s">
        <v>5216</v>
      </c>
      <c r="E1952" s="2" t="s">
        <v>170</v>
      </c>
      <c r="F1952" s="2" t="s">
        <v>16</v>
      </c>
      <c r="G1952" s="2" t="s">
        <v>165</v>
      </c>
      <c r="H1952" s="2"/>
      <c r="I1952" s="2"/>
      <c r="J1952" s="2" t="s">
        <v>42</v>
      </c>
      <c r="K1952" s="2"/>
      <c r="L1952" s="2" t="s">
        <v>5223</v>
      </c>
    </row>
    <row r="1953" customFormat="false" ht="15.65" hidden="false" customHeight="true" outlineLevel="0" collapsed="false">
      <c r="A1953" s="5" t="str">
        <f aca="false">HYPERLINK("https://www.fabsurplus.com/sdi_catalog/salesItemDetails.do?id=110266")</f>
        <v>https://www.fabsurplus.com/sdi_catalog/salesItemDetails.do?id=110266</v>
      </c>
      <c r="B1953" s="5" t="s">
        <v>5225</v>
      </c>
      <c r="C1953" s="5" t="s">
        <v>4849</v>
      </c>
      <c r="D1953" s="5" t="s">
        <v>5120</v>
      </c>
      <c r="E1953" s="5" t="s">
        <v>164</v>
      </c>
      <c r="F1953" s="5" t="s">
        <v>16</v>
      </c>
      <c r="G1953" s="5" t="s">
        <v>165</v>
      </c>
      <c r="H1953" s="5"/>
      <c r="I1953" s="5"/>
      <c r="J1953" s="5" t="s">
        <v>42</v>
      </c>
      <c r="K1953" s="5"/>
      <c r="L1953" s="7" t="s">
        <v>5226</v>
      </c>
    </row>
    <row r="1954" customFormat="false" ht="15.65" hidden="false" customHeight="true" outlineLevel="0" collapsed="false">
      <c r="A1954" s="2" t="str">
        <f aca="false">HYPERLINK("https://www.fabsurplus.com/sdi_catalog/salesItemDetails.do?id=110267")</f>
        <v>https://www.fabsurplus.com/sdi_catalog/salesItemDetails.do?id=110267</v>
      </c>
      <c r="B1954" s="2" t="s">
        <v>5227</v>
      </c>
      <c r="C1954" s="2" t="s">
        <v>4849</v>
      </c>
      <c r="D1954" s="2" t="s">
        <v>5120</v>
      </c>
      <c r="E1954" s="2" t="s">
        <v>164</v>
      </c>
      <c r="F1954" s="2" t="s">
        <v>16</v>
      </c>
      <c r="G1954" s="2" t="s">
        <v>165</v>
      </c>
      <c r="H1954" s="2"/>
      <c r="I1954" s="2"/>
      <c r="J1954" s="2" t="s">
        <v>42</v>
      </c>
      <c r="K1954" s="2"/>
      <c r="L1954" s="2" t="s">
        <v>5228</v>
      </c>
    </row>
    <row r="1955" customFormat="false" ht="15.65" hidden="false" customHeight="true" outlineLevel="0" collapsed="false">
      <c r="A1955" s="5" t="str">
        <f aca="false">HYPERLINK("https://www.fabsurplus.com/sdi_catalog/salesItemDetails.do?id=110268")</f>
        <v>https://www.fabsurplus.com/sdi_catalog/salesItemDetails.do?id=110268</v>
      </c>
      <c r="B1955" s="5" t="s">
        <v>5229</v>
      </c>
      <c r="C1955" s="5" t="s">
        <v>4849</v>
      </c>
      <c r="D1955" s="5" t="s">
        <v>5120</v>
      </c>
      <c r="E1955" s="5" t="s">
        <v>164</v>
      </c>
      <c r="F1955" s="5" t="s">
        <v>16</v>
      </c>
      <c r="G1955" s="5" t="s">
        <v>165</v>
      </c>
      <c r="H1955" s="5"/>
      <c r="I1955" s="5"/>
      <c r="J1955" s="5" t="s">
        <v>42</v>
      </c>
      <c r="K1955" s="5"/>
      <c r="L1955" s="5" t="s">
        <v>5228</v>
      </c>
    </row>
    <row r="1956" customFormat="false" ht="15.65" hidden="false" customHeight="true" outlineLevel="0" collapsed="false">
      <c r="A1956" s="2" t="str">
        <f aca="false">HYPERLINK("https://www.fabsurplus.com/sdi_catalog/salesItemDetails.do?id=110269")</f>
        <v>https://www.fabsurplus.com/sdi_catalog/salesItemDetails.do?id=110269</v>
      </c>
      <c r="B1956" s="2" t="s">
        <v>5230</v>
      </c>
      <c r="C1956" s="2" t="s">
        <v>4849</v>
      </c>
      <c r="D1956" s="2" t="s">
        <v>5120</v>
      </c>
      <c r="E1956" s="2" t="s">
        <v>164</v>
      </c>
      <c r="F1956" s="2" t="s">
        <v>16</v>
      </c>
      <c r="G1956" s="2" t="s">
        <v>165</v>
      </c>
      <c r="H1956" s="2"/>
      <c r="I1956" s="2"/>
      <c r="J1956" s="2" t="s">
        <v>42</v>
      </c>
      <c r="K1956" s="2"/>
      <c r="L1956" s="2" t="s">
        <v>5228</v>
      </c>
    </row>
    <row r="1957" customFormat="false" ht="15.65" hidden="false" customHeight="true" outlineLevel="0" collapsed="false">
      <c r="A1957" s="5" t="str">
        <f aca="false">HYPERLINK("https://www.fabsurplus.com/sdi_catalog/salesItemDetails.do?id=110270")</f>
        <v>https://www.fabsurplus.com/sdi_catalog/salesItemDetails.do?id=110270</v>
      </c>
      <c r="B1957" s="5" t="s">
        <v>5231</v>
      </c>
      <c r="C1957" s="5" t="s">
        <v>4849</v>
      </c>
      <c r="D1957" s="5" t="s">
        <v>5120</v>
      </c>
      <c r="E1957" s="5" t="s">
        <v>164</v>
      </c>
      <c r="F1957" s="5" t="s">
        <v>16</v>
      </c>
      <c r="G1957" s="5" t="s">
        <v>165</v>
      </c>
      <c r="H1957" s="5"/>
      <c r="I1957" s="5"/>
      <c r="J1957" s="5" t="s">
        <v>42</v>
      </c>
      <c r="K1957" s="5"/>
      <c r="L1957" s="5" t="s">
        <v>5228</v>
      </c>
    </row>
    <row r="1958" customFormat="false" ht="15.65" hidden="false" customHeight="true" outlineLevel="0" collapsed="false">
      <c r="A1958" s="2" t="str">
        <f aca="false">HYPERLINK("https://www.fabsurplus.com/sdi_catalog/salesItemDetails.do?id=106175")</f>
        <v>https://www.fabsurplus.com/sdi_catalog/salesItemDetails.do?id=106175</v>
      </c>
      <c r="B1958" s="2" t="s">
        <v>5232</v>
      </c>
      <c r="C1958" s="2" t="s">
        <v>4849</v>
      </c>
      <c r="D1958" s="2" t="s">
        <v>5233</v>
      </c>
      <c r="E1958" s="2" t="s">
        <v>103</v>
      </c>
      <c r="F1958" s="2" t="s">
        <v>16</v>
      </c>
      <c r="G1958" s="2" t="s">
        <v>165</v>
      </c>
      <c r="H1958" s="2" t="s">
        <v>32</v>
      </c>
      <c r="I1958" s="2"/>
      <c r="J1958" s="2" t="s">
        <v>19</v>
      </c>
      <c r="K1958" s="2" t="s">
        <v>20</v>
      </c>
      <c r="L1958" s="4" t="s">
        <v>5234</v>
      </c>
    </row>
    <row r="1959" customFormat="false" ht="15.65" hidden="false" customHeight="true" outlineLevel="0" collapsed="false">
      <c r="A1959" s="5" t="str">
        <f aca="false">HYPERLINK("https://www.fabsurplus.com/sdi_catalog/salesItemDetails.do?id=110271")</f>
        <v>https://www.fabsurplus.com/sdi_catalog/salesItemDetails.do?id=110271</v>
      </c>
      <c r="B1959" s="5" t="s">
        <v>5235</v>
      </c>
      <c r="C1959" s="5" t="s">
        <v>4849</v>
      </c>
      <c r="D1959" s="5" t="s">
        <v>5120</v>
      </c>
      <c r="E1959" s="5" t="s">
        <v>164</v>
      </c>
      <c r="F1959" s="5" t="s">
        <v>16</v>
      </c>
      <c r="G1959" s="5" t="s">
        <v>165</v>
      </c>
      <c r="H1959" s="5"/>
      <c r="I1959" s="5"/>
      <c r="J1959" s="5" t="s">
        <v>42</v>
      </c>
      <c r="K1959" s="5"/>
      <c r="L1959" s="5" t="s">
        <v>5228</v>
      </c>
    </row>
    <row r="1960" customFormat="false" ht="15.65" hidden="false" customHeight="true" outlineLevel="0" collapsed="false">
      <c r="A1960" s="2" t="str">
        <f aca="false">HYPERLINK("https://www.fabsurplus.com/sdi_catalog/salesItemDetails.do?id=110272")</f>
        <v>https://www.fabsurplus.com/sdi_catalog/salesItemDetails.do?id=110272</v>
      </c>
      <c r="B1960" s="2" t="s">
        <v>5236</v>
      </c>
      <c r="C1960" s="2" t="s">
        <v>4849</v>
      </c>
      <c r="D1960" s="2" t="s">
        <v>5120</v>
      </c>
      <c r="E1960" s="2" t="s">
        <v>164</v>
      </c>
      <c r="F1960" s="2" t="s">
        <v>16</v>
      </c>
      <c r="G1960" s="2" t="s">
        <v>165</v>
      </c>
      <c r="H1960" s="2"/>
      <c r="I1960" s="2"/>
      <c r="J1960" s="2" t="s">
        <v>42</v>
      </c>
      <c r="K1960" s="2"/>
      <c r="L1960" s="2" t="s">
        <v>5228</v>
      </c>
    </row>
    <row r="1961" customFormat="false" ht="15.65" hidden="false" customHeight="true" outlineLevel="0" collapsed="false">
      <c r="A1961" s="5" t="str">
        <f aca="false">HYPERLINK("https://www.fabsurplus.com/sdi_catalog/salesItemDetails.do?id=110273")</f>
        <v>https://www.fabsurplus.com/sdi_catalog/salesItemDetails.do?id=110273</v>
      </c>
      <c r="B1961" s="5" t="s">
        <v>5237</v>
      </c>
      <c r="C1961" s="5" t="s">
        <v>4849</v>
      </c>
      <c r="D1961" s="5" t="s">
        <v>5120</v>
      </c>
      <c r="E1961" s="5" t="s">
        <v>164</v>
      </c>
      <c r="F1961" s="5" t="s">
        <v>16</v>
      </c>
      <c r="G1961" s="5" t="s">
        <v>165</v>
      </c>
      <c r="H1961" s="5"/>
      <c r="I1961" s="5"/>
      <c r="J1961" s="5" t="s">
        <v>42</v>
      </c>
      <c r="K1961" s="5"/>
      <c r="L1961" s="5" t="s">
        <v>5228</v>
      </c>
    </row>
    <row r="1962" customFormat="false" ht="15.65" hidden="false" customHeight="true" outlineLevel="0" collapsed="false">
      <c r="A1962" s="2" t="str">
        <f aca="false">HYPERLINK("https://www.fabsurplus.com/sdi_catalog/salesItemDetails.do?id=110274")</f>
        <v>https://www.fabsurplus.com/sdi_catalog/salesItemDetails.do?id=110274</v>
      </c>
      <c r="B1962" s="2" t="s">
        <v>5238</v>
      </c>
      <c r="C1962" s="2" t="s">
        <v>4849</v>
      </c>
      <c r="D1962" s="2" t="s">
        <v>5120</v>
      </c>
      <c r="E1962" s="2" t="s">
        <v>164</v>
      </c>
      <c r="F1962" s="2" t="s">
        <v>16</v>
      </c>
      <c r="G1962" s="2" t="s">
        <v>165</v>
      </c>
      <c r="H1962" s="2"/>
      <c r="I1962" s="2"/>
      <c r="J1962" s="2" t="s">
        <v>42</v>
      </c>
      <c r="K1962" s="2"/>
      <c r="L1962" s="2" t="s">
        <v>5228</v>
      </c>
    </row>
    <row r="1963" customFormat="false" ht="15.65" hidden="false" customHeight="true" outlineLevel="0" collapsed="false">
      <c r="A1963" s="5" t="str">
        <f aca="false">HYPERLINK("https://www.fabsurplus.com/sdi_catalog/salesItemDetails.do?id=110275")</f>
        <v>https://www.fabsurplus.com/sdi_catalog/salesItemDetails.do?id=110275</v>
      </c>
      <c r="B1963" s="5" t="s">
        <v>5239</v>
      </c>
      <c r="C1963" s="5" t="s">
        <v>4849</v>
      </c>
      <c r="D1963" s="5" t="s">
        <v>5120</v>
      </c>
      <c r="E1963" s="5" t="s">
        <v>164</v>
      </c>
      <c r="F1963" s="5" t="s">
        <v>16</v>
      </c>
      <c r="G1963" s="5" t="s">
        <v>165</v>
      </c>
      <c r="H1963" s="5"/>
      <c r="I1963" s="5"/>
      <c r="J1963" s="5" t="s">
        <v>42</v>
      </c>
      <c r="K1963" s="5"/>
      <c r="L1963" s="5" t="s">
        <v>5240</v>
      </c>
    </row>
    <row r="1964" customFormat="false" ht="15.65" hidden="false" customHeight="true" outlineLevel="0" collapsed="false">
      <c r="A1964" s="2" t="str">
        <f aca="false">HYPERLINK("https://www.fabsurplus.com/sdi_catalog/salesItemDetails.do?id=110276")</f>
        <v>https://www.fabsurplus.com/sdi_catalog/salesItemDetails.do?id=110276</v>
      </c>
      <c r="B1964" s="2" t="s">
        <v>5241</v>
      </c>
      <c r="C1964" s="2" t="s">
        <v>4849</v>
      </c>
      <c r="D1964" s="2" t="s">
        <v>5120</v>
      </c>
      <c r="E1964" s="2" t="s">
        <v>164</v>
      </c>
      <c r="F1964" s="2" t="s">
        <v>16</v>
      </c>
      <c r="G1964" s="2" t="s">
        <v>165</v>
      </c>
      <c r="H1964" s="2"/>
      <c r="I1964" s="2"/>
      <c r="J1964" s="2" t="s">
        <v>42</v>
      </c>
      <c r="K1964" s="2"/>
      <c r="L1964" s="2" t="s">
        <v>5240</v>
      </c>
    </row>
    <row r="1965" customFormat="false" ht="15.65" hidden="false" customHeight="true" outlineLevel="0" collapsed="false">
      <c r="A1965" s="5" t="str">
        <f aca="false">HYPERLINK("https://www.fabsurplus.com/sdi_catalog/salesItemDetails.do?id=110277")</f>
        <v>https://www.fabsurplus.com/sdi_catalog/salesItemDetails.do?id=110277</v>
      </c>
      <c r="B1965" s="5" t="s">
        <v>5242</v>
      </c>
      <c r="C1965" s="5" t="s">
        <v>4849</v>
      </c>
      <c r="D1965" s="5" t="s">
        <v>5120</v>
      </c>
      <c r="E1965" s="5" t="s">
        <v>164</v>
      </c>
      <c r="F1965" s="5" t="s">
        <v>16</v>
      </c>
      <c r="G1965" s="5" t="s">
        <v>165</v>
      </c>
      <c r="H1965" s="5"/>
      <c r="I1965" s="5"/>
      <c r="J1965" s="5" t="s">
        <v>42</v>
      </c>
      <c r="K1965" s="5"/>
      <c r="L1965" s="5" t="s">
        <v>5240</v>
      </c>
    </row>
    <row r="1966" customFormat="false" ht="15.65" hidden="false" customHeight="true" outlineLevel="0" collapsed="false">
      <c r="A1966" s="2" t="str">
        <f aca="false">HYPERLINK("https://www.fabsurplus.com/sdi_catalog/salesItemDetails.do?id=110278")</f>
        <v>https://www.fabsurplus.com/sdi_catalog/salesItemDetails.do?id=110278</v>
      </c>
      <c r="B1966" s="2" t="s">
        <v>5243</v>
      </c>
      <c r="C1966" s="2" t="s">
        <v>4849</v>
      </c>
      <c r="D1966" s="2" t="s">
        <v>5120</v>
      </c>
      <c r="E1966" s="2" t="s">
        <v>164</v>
      </c>
      <c r="F1966" s="2" t="s">
        <v>16</v>
      </c>
      <c r="G1966" s="2" t="s">
        <v>165</v>
      </c>
      <c r="H1966" s="2"/>
      <c r="I1966" s="2"/>
      <c r="J1966" s="2" t="s">
        <v>42</v>
      </c>
      <c r="K1966" s="2"/>
      <c r="L1966" s="2" t="s">
        <v>5240</v>
      </c>
    </row>
    <row r="1967" customFormat="false" ht="15.65" hidden="false" customHeight="true" outlineLevel="0" collapsed="false">
      <c r="A1967" s="5" t="str">
        <f aca="false">HYPERLINK("https://www.fabsurplus.com/sdi_catalog/salesItemDetails.do?id=110279")</f>
        <v>https://www.fabsurplus.com/sdi_catalog/salesItemDetails.do?id=110279</v>
      </c>
      <c r="B1967" s="5" t="s">
        <v>5244</v>
      </c>
      <c r="C1967" s="5" t="s">
        <v>4849</v>
      </c>
      <c r="D1967" s="5" t="s">
        <v>5120</v>
      </c>
      <c r="E1967" s="5" t="s">
        <v>164</v>
      </c>
      <c r="F1967" s="5" t="s">
        <v>16</v>
      </c>
      <c r="G1967" s="5" t="s">
        <v>165</v>
      </c>
      <c r="H1967" s="5"/>
      <c r="I1967" s="5"/>
      <c r="J1967" s="5" t="s">
        <v>42</v>
      </c>
      <c r="K1967" s="5"/>
      <c r="L1967" s="5" t="s">
        <v>5240</v>
      </c>
    </row>
    <row r="1968" customFormat="false" ht="15.65" hidden="false" customHeight="true" outlineLevel="0" collapsed="false">
      <c r="A1968" s="2" t="str">
        <f aca="false">HYPERLINK("https://www.fabsurplus.com/sdi_catalog/salesItemDetails.do?id=110280")</f>
        <v>https://www.fabsurplus.com/sdi_catalog/salesItemDetails.do?id=110280</v>
      </c>
      <c r="B1968" s="2" t="s">
        <v>5245</v>
      </c>
      <c r="C1968" s="2" t="s">
        <v>4849</v>
      </c>
      <c r="D1968" s="2" t="s">
        <v>5246</v>
      </c>
      <c r="E1968" s="2" t="s">
        <v>763</v>
      </c>
      <c r="F1968" s="2" t="s">
        <v>16</v>
      </c>
      <c r="G1968" s="2" t="s">
        <v>165</v>
      </c>
      <c r="H1968" s="2"/>
      <c r="I1968" s="2"/>
      <c r="J1968" s="2" t="s">
        <v>42</v>
      </c>
      <c r="K1968" s="2"/>
      <c r="L1968" s="2" t="s">
        <v>686</v>
      </c>
    </row>
    <row r="1969" customFormat="false" ht="15.65" hidden="false" customHeight="true" outlineLevel="0" collapsed="false">
      <c r="A1969" s="5" t="str">
        <f aca="false">HYPERLINK("https://www.fabsurplus.com/sdi_catalog/salesItemDetails.do?id=110281")</f>
        <v>https://www.fabsurplus.com/sdi_catalog/salesItemDetails.do?id=110281</v>
      </c>
      <c r="B1969" s="5" t="s">
        <v>5247</v>
      </c>
      <c r="C1969" s="5" t="s">
        <v>4849</v>
      </c>
      <c r="D1969" s="5" t="s">
        <v>5248</v>
      </c>
      <c r="E1969" s="5" t="s">
        <v>164</v>
      </c>
      <c r="F1969" s="5" t="s">
        <v>16</v>
      </c>
      <c r="G1969" s="5" t="s">
        <v>165</v>
      </c>
      <c r="H1969" s="5"/>
      <c r="I1969" s="5"/>
      <c r="J1969" s="5" t="s">
        <v>42</v>
      </c>
      <c r="K1969" s="5"/>
      <c r="L1969" s="5" t="s">
        <v>5249</v>
      </c>
    </row>
    <row r="1970" customFormat="false" ht="15.65" hidden="false" customHeight="true" outlineLevel="0" collapsed="false">
      <c r="A1970" s="2" t="str">
        <f aca="false">HYPERLINK("https://www.fabsurplus.com/sdi_catalog/salesItemDetails.do?id=107466")</f>
        <v>https://www.fabsurplus.com/sdi_catalog/salesItemDetails.do?id=107466</v>
      </c>
      <c r="B1970" s="2" t="s">
        <v>5250</v>
      </c>
      <c r="C1970" s="2" t="s">
        <v>4849</v>
      </c>
      <c r="D1970" s="2" t="s">
        <v>4875</v>
      </c>
      <c r="E1970" s="2" t="s">
        <v>279</v>
      </c>
      <c r="F1970" s="2" t="s">
        <v>16</v>
      </c>
      <c r="G1970" s="2" t="s">
        <v>104</v>
      </c>
      <c r="H1970" s="2" t="s">
        <v>275</v>
      </c>
      <c r="I1970" s="2"/>
      <c r="J1970" s="2" t="s">
        <v>19</v>
      </c>
      <c r="K1970" s="2" t="s">
        <v>20</v>
      </c>
      <c r="L1970" s="4" t="s">
        <v>5251</v>
      </c>
    </row>
    <row r="1971" customFormat="false" ht="15.65" hidden="false" customHeight="true" outlineLevel="0" collapsed="false">
      <c r="A1971" s="5" t="str">
        <f aca="false">HYPERLINK("https://www.fabsurplus.com/sdi_catalog/salesItemDetails.do?id=110282")</f>
        <v>https://www.fabsurplus.com/sdi_catalog/salesItemDetails.do?id=110282</v>
      </c>
      <c r="B1971" s="5" t="s">
        <v>5252</v>
      </c>
      <c r="C1971" s="5" t="s">
        <v>4849</v>
      </c>
      <c r="D1971" s="5" t="s">
        <v>5129</v>
      </c>
      <c r="E1971" s="5" t="s">
        <v>164</v>
      </c>
      <c r="F1971" s="5" t="s">
        <v>16</v>
      </c>
      <c r="G1971" s="5" t="s">
        <v>165</v>
      </c>
      <c r="H1971" s="5"/>
      <c r="I1971" s="5"/>
      <c r="J1971" s="5" t="s">
        <v>42</v>
      </c>
      <c r="K1971" s="5"/>
      <c r="L1971" s="5" t="s">
        <v>5253</v>
      </c>
    </row>
    <row r="1972" customFormat="false" ht="15.65" hidden="false" customHeight="true" outlineLevel="0" collapsed="false">
      <c r="A1972" s="2" t="str">
        <f aca="false">HYPERLINK("https://www.fabsurplus.com/sdi_catalog/salesItemDetails.do?id=110283")</f>
        <v>https://www.fabsurplus.com/sdi_catalog/salesItemDetails.do?id=110283</v>
      </c>
      <c r="B1972" s="2" t="s">
        <v>5254</v>
      </c>
      <c r="C1972" s="2" t="s">
        <v>4849</v>
      </c>
      <c r="D1972" s="2" t="s">
        <v>5129</v>
      </c>
      <c r="E1972" s="2" t="s">
        <v>164</v>
      </c>
      <c r="F1972" s="2" t="s">
        <v>16</v>
      </c>
      <c r="G1972" s="2" t="s">
        <v>165</v>
      </c>
      <c r="H1972" s="2"/>
      <c r="I1972" s="2"/>
      <c r="J1972" s="2" t="s">
        <v>42</v>
      </c>
      <c r="K1972" s="2"/>
      <c r="L1972" s="2" t="s">
        <v>5253</v>
      </c>
    </row>
    <row r="1973" customFormat="false" ht="15.65" hidden="false" customHeight="true" outlineLevel="0" collapsed="false">
      <c r="A1973" s="5" t="str">
        <f aca="false">HYPERLINK("https://www.fabsurplus.com/sdi_catalog/salesItemDetails.do?id=110284")</f>
        <v>https://www.fabsurplus.com/sdi_catalog/salesItemDetails.do?id=110284</v>
      </c>
      <c r="B1973" s="5" t="s">
        <v>5255</v>
      </c>
      <c r="C1973" s="5" t="s">
        <v>4849</v>
      </c>
      <c r="D1973" s="5" t="s">
        <v>5129</v>
      </c>
      <c r="E1973" s="5" t="s">
        <v>164</v>
      </c>
      <c r="F1973" s="5" t="s">
        <v>16</v>
      </c>
      <c r="G1973" s="5" t="s">
        <v>165</v>
      </c>
      <c r="H1973" s="5"/>
      <c r="I1973" s="5"/>
      <c r="J1973" s="5" t="s">
        <v>42</v>
      </c>
      <c r="K1973" s="5"/>
      <c r="L1973" s="5" t="s">
        <v>5253</v>
      </c>
    </row>
    <row r="1974" customFormat="false" ht="15.65" hidden="false" customHeight="true" outlineLevel="0" collapsed="false">
      <c r="A1974" s="2" t="str">
        <f aca="false">HYPERLINK("https://www.fabsurplus.com/sdi_catalog/salesItemDetails.do?id=110285")</f>
        <v>https://www.fabsurplus.com/sdi_catalog/salesItemDetails.do?id=110285</v>
      </c>
      <c r="B1974" s="2" t="s">
        <v>5256</v>
      </c>
      <c r="C1974" s="2" t="s">
        <v>4849</v>
      </c>
      <c r="D1974" s="2" t="s">
        <v>5129</v>
      </c>
      <c r="E1974" s="2" t="s">
        <v>164</v>
      </c>
      <c r="F1974" s="2" t="s">
        <v>16</v>
      </c>
      <c r="G1974" s="2" t="s">
        <v>165</v>
      </c>
      <c r="H1974" s="2"/>
      <c r="I1974" s="2"/>
      <c r="J1974" s="2" t="s">
        <v>42</v>
      </c>
      <c r="K1974" s="2"/>
      <c r="L1974" s="2" t="s">
        <v>5253</v>
      </c>
    </row>
    <row r="1975" customFormat="false" ht="15.65" hidden="false" customHeight="true" outlineLevel="0" collapsed="false">
      <c r="A1975" s="5" t="str">
        <f aca="false">HYPERLINK("https://www.fabsurplus.com/sdi_catalog/salesItemDetails.do?id=110286")</f>
        <v>https://www.fabsurplus.com/sdi_catalog/salesItemDetails.do?id=110286</v>
      </c>
      <c r="B1975" s="5" t="s">
        <v>5257</v>
      </c>
      <c r="C1975" s="5" t="s">
        <v>4849</v>
      </c>
      <c r="D1975" s="5" t="s">
        <v>5129</v>
      </c>
      <c r="E1975" s="5" t="s">
        <v>164</v>
      </c>
      <c r="F1975" s="5" t="s">
        <v>16</v>
      </c>
      <c r="G1975" s="5" t="s">
        <v>165</v>
      </c>
      <c r="H1975" s="5"/>
      <c r="I1975" s="5"/>
      <c r="J1975" s="5" t="s">
        <v>42</v>
      </c>
      <c r="K1975" s="5"/>
      <c r="L1975" s="5" t="s">
        <v>5253</v>
      </c>
    </row>
    <row r="1976" customFormat="false" ht="15.65" hidden="false" customHeight="true" outlineLevel="0" collapsed="false">
      <c r="A1976" s="2" t="str">
        <f aca="false">HYPERLINK("https://www.fabsurplus.com/sdi_catalog/salesItemDetails.do?id=110287")</f>
        <v>https://www.fabsurplus.com/sdi_catalog/salesItemDetails.do?id=110287</v>
      </c>
      <c r="B1976" s="2" t="s">
        <v>5258</v>
      </c>
      <c r="C1976" s="2" t="s">
        <v>4849</v>
      </c>
      <c r="D1976" s="2" t="s">
        <v>5129</v>
      </c>
      <c r="E1976" s="2" t="s">
        <v>164</v>
      </c>
      <c r="F1976" s="2" t="s">
        <v>16</v>
      </c>
      <c r="G1976" s="2" t="s">
        <v>165</v>
      </c>
      <c r="H1976" s="2"/>
      <c r="I1976" s="2"/>
      <c r="J1976" s="2" t="s">
        <v>42</v>
      </c>
      <c r="K1976" s="2"/>
      <c r="L1976" s="2" t="s">
        <v>5253</v>
      </c>
    </row>
    <row r="1977" customFormat="false" ht="15.65" hidden="false" customHeight="true" outlineLevel="0" collapsed="false">
      <c r="A1977" s="5" t="str">
        <f aca="false">HYPERLINK("https://www.fabsurplus.com/sdi_catalog/salesItemDetails.do?id=110288")</f>
        <v>https://www.fabsurplus.com/sdi_catalog/salesItemDetails.do?id=110288</v>
      </c>
      <c r="B1977" s="5" t="s">
        <v>5259</v>
      </c>
      <c r="C1977" s="5" t="s">
        <v>4849</v>
      </c>
      <c r="D1977" s="5" t="s">
        <v>5260</v>
      </c>
      <c r="E1977" s="5" t="s">
        <v>164</v>
      </c>
      <c r="F1977" s="5" t="s">
        <v>16</v>
      </c>
      <c r="G1977" s="5" t="s">
        <v>165</v>
      </c>
      <c r="H1977" s="5"/>
      <c r="I1977" s="5"/>
      <c r="J1977" s="5" t="s">
        <v>42</v>
      </c>
      <c r="K1977" s="5"/>
      <c r="L1977" s="5" t="s">
        <v>5261</v>
      </c>
    </row>
    <row r="1978" customFormat="false" ht="15.65" hidden="false" customHeight="true" outlineLevel="0" collapsed="false">
      <c r="A1978" s="2" t="str">
        <f aca="false">HYPERLINK("https://www.fabsurplus.com/sdi_catalog/salesItemDetails.do?id=110289")</f>
        <v>https://www.fabsurplus.com/sdi_catalog/salesItemDetails.do?id=110289</v>
      </c>
      <c r="B1978" s="2" t="s">
        <v>5262</v>
      </c>
      <c r="C1978" s="2" t="s">
        <v>4849</v>
      </c>
      <c r="D1978" s="2" t="s">
        <v>5260</v>
      </c>
      <c r="E1978" s="2" t="s">
        <v>164</v>
      </c>
      <c r="F1978" s="2" t="s">
        <v>16</v>
      </c>
      <c r="G1978" s="2" t="s">
        <v>165</v>
      </c>
      <c r="H1978" s="2"/>
      <c r="I1978" s="2"/>
      <c r="J1978" s="2" t="s">
        <v>42</v>
      </c>
      <c r="K1978" s="2"/>
      <c r="L1978" s="2" t="s">
        <v>5261</v>
      </c>
    </row>
    <row r="1979" customFormat="false" ht="15.65" hidden="false" customHeight="true" outlineLevel="0" collapsed="false">
      <c r="A1979" s="5" t="str">
        <f aca="false">HYPERLINK("https://www.fabsurplus.com/sdi_catalog/salesItemDetails.do?id=110290")</f>
        <v>https://www.fabsurplus.com/sdi_catalog/salesItemDetails.do?id=110290</v>
      </c>
      <c r="B1979" s="5" t="s">
        <v>5263</v>
      </c>
      <c r="C1979" s="5" t="s">
        <v>4849</v>
      </c>
      <c r="D1979" s="5" t="s">
        <v>5260</v>
      </c>
      <c r="E1979" s="5" t="s">
        <v>164</v>
      </c>
      <c r="F1979" s="5" t="s">
        <v>16</v>
      </c>
      <c r="G1979" s="5" t="s">
        <v>165</v>
      </c>
      <c r="H1979" s="5"/>
      <c r="I1979" s="5"/>
      <c r="J1979" s="5" t="s">
        <v>42</v>
      </c>
      <c r="K1979" s="5"/>
      <c r="L1979" s="5" t="s">
        <v>5261</v>
      </c>
    </row>
    <row r="1980" customFormat="false" ht="15.65" hidden="false" customHeight="true" outlineLevel="0" collapsed="false">
      <c r="A1980" s="2" t="str">
        <f aca="false">HYPERLINK("https://www.fabsurplus.com/sdi_catalog/salesItemDetails.do?id=110291")</f>
        <v>https://www.fabsurplus.com/sdi_catalog/salesItemDetails.do?id=110291</v>
      </c>
      <c r="B1980" s="2" t="s">
        <v>5264</v>
      </c>
      <c r="C1980" s="2" t="s">
        <v>4849</v>
      </c>
      <c r="D1980" s="2" t="s">
        <v>5260</v>
      </c>
      <c r="E1980" s="2" t="s">
        <v>164</v>
      </c>
      <c r="F1980" s="2" t="s">
        <v>16</v>
      </c>
      <c r="G1980" s="2" t="s">
        <v>165</v>
      </c>
      <c r="H1980" s="2"/>
      <c r="I1980" s="2"/>
      <c r="J1980" s="2" t="s">
        <v>42</v>
      </c>
      <c r="K1980" s="2"/>
      <c r="L1980" s="2" t="s">
        <v>5261</v>
      </c>
    </row>
    <row r="1981" customFormat="false" ht="15.65" hidden="false" customHeight="true" outlineLevel="0" collapsed="false">
      <c r="A1981" s="5" t="str">
        <f aca="false">HYPERLINK("https://www.fabsurplus.com/sdi_catalog/salesItemDetails.do?id=110292")</f>
        <v>https://www.fabsurplus.com/sdi_catalog/salesItemDetails.do?id=110292</v>
      </c>
      <c r="B1981" s="5" t="s">
        <v>5265</v>
      </c>
      <c r="C1981" s="5" t="s">
        <v>4849</v>
      </c>
      <c r="D1981" s="5" t="s">
        <v>5260</v>
      </c>
      <c r="E1981" s="5" t="s">
        <v>164</v>
      </c>
      <c r="F1981" s="5" t="s">
        <v>16</v>
      </c>
      <c r="G1981" s="5" t="s">
        <v>165</v>
      </c>
      <c r="H1981" s="5"/>
      <c r="I1981" s="5"/>
      <c r="J1981" s="5" t="s">
        <v>42</v>
      </c>
      <c r="K1981" s="5"/>
      <c r="L1981" s="5" t="s">
        <v>5261</v>
      </c>
    </row>
    <row r="1982" customFormat="false" ht="15.65" hidden="false" customHeight="true" outlineLevel="0" collapsed="false">
      <c r="A1982" s="2" t="str">
        <f aca="false">HYPERLINK("https://www.fabsurplus.com/sdi_catalog/salesItemDetails.do?id=110293")</f>
        <v>https://www.fabsurplus.com/sdi_catalog/salesItemDetails.do?id=110293</v>
      </c>
      <c r="B1982" s="2" t="s">
        <v>5266</v>
      </c>
      <c r="C1982" s="2" t="s">
        <v>4849</v>
      </c>
      <c r="D1982" s="2" t="s">
        <v>5260</v>
      </c>
      <c r="E1982" s="2" t="s">
        <v>164</v>
      </c>
      <c r="F1982" s="2" t="s">
        <v>16</v>
      </c>
      <c r="G1982" s="2" t="s">
        <v>165</v>
      </c>
      <c r="H1982" s="2"/>
      <c r="I1982" s="2"/>
      <c r="J1982" s="2" t="s">
        <v>42</v>
      </c>
      <c r="K1982" s="2"/>
      <c r="L1982" s="2" t="s">
        <v>5261</v>
      </c>
    </row>
    <row r="1983" customFormat="false" ht="15.65" hidden="false" customHeight="true" outlineLevel="0" collapsed="false">
      <c r="A1983" s="5" t="str">
        <f aca="false">HYPERLINK("https://www.fabsurplus.com/sdi_catalog/salesItemDetails.do?id=110294")</f>
        <v>https://www.fabsurplus.com/sdi_catalog/salesItemDetails.do?id=110294</v>
      </c>
      <c r="B1983" s="5" t="s">
        <v>5267</v>
      </c>
      <c r="C1983" s="5" t="s">
        <v>4849</v>
      </c>
      <c r="D1983" s="5" t="s">
        <v>5260</v>
      </c>
      <c r="E1983" s="5" t="s">
        <v>164</v>
      </c>
      <c r="F1983" s="5" t="s">
        <v>16</v>
      </c>
      <c r="G1983" s="5" t="s">
        <v>165</v>
      </c>
      <c r="H1983" s="5"/>
      <c r="I1983" s="5"/>
      <c r="J1983" s="5" t="s">
        <v>42</v>
      </c>
      <c r="K1983" s="5"/>
      <c r="L1983" s="5" t="s">
        <v>5261</v>
      </c>
    </row>
    <row r="1984" customFormat="false" ht="15.65" hidden="false" customHeight="true" outlineLevel="0" collapsed="false">
      <c r="A1984" s="2" t="str">
        <f aca="false">HYPERLINK("https://www.fabsurplus.com/sdi_catalog/salesItemDetails.do?id=110295")</f>
        <v>https://www.fabsurplus.com/sdi_catalog/salesItemDetails.do?id=110295</v>
      </c>
      <c r="B1984" s="2" t="s">
        <v>5268</v>
      </c>
      <c r="C1984" s="2" t="s">
        <v>4849</v>
      </c>
      <c r="D1984" s="2" t="s">
        <v>5260</v>
      </c>
      <c r="E1984" s="2" t="s">
        <v>164</v>
      </c>
      <c r="F1984" s="2" t="s">
        <v>16</v>
      </c>
      <c r="G1984" s="2" t="s">
        <v>165</v>
      </c>
      <c r="H1984" s="2"/>
      <c r="I1984" s="2"/>
      <c r="J1984" s="2" t="s">
        <v>42</v>
      </c>
      <c r="K1984" s="2"/>
      <c r="L1984" s="2" t="s">
        <v>5269</v>
      </c>
    </row>
    <row r="1985" customFormat="false" ht="15.65" hidden="false" customHeight="true" outlineLevel="0" collapsed="false">
      <c r="A1985" s="5" t="str">
        <f aca="false">HYPERLINK("https://www.fabsurplus.com/sdi_catalog/salesItemDetails.do?id=110296")</f>
        <v>https://www.fabsurplus.com/sdi_catalog/salesItemDetails.do?id=110296</v>
      </c>
      <c r="B1985" s="5" t="s">
        <v>5270</v>
      </c>
      <c r="C1985" s="5" t="s">
        <v>4849</v>
      </c>
      <c r="D1985" s="5" t="s">
        <v>5271</v>
      </c>
      <c r="E1985" s="5" t="s">
        <v>170</v>
      </c>
      <c r="F1985" s="5" t="s">
        <v>16</v>
      </c>
      <c r="G1985" s="5" t="s">
        <v>165</v>
      </c>
      <c r="H1985" s="5"/>
      <c r="I1985" s="5"/>
      <c r="J1985" s="5" t="s">
        <v>42</v>
      </c>
      <c r="K1985" s="5"/>
      <c r="L1985" s="5" t="s">
        <v>5272</v>
      </c>
    </row>
    <row r="1986" customFormat="false" ht="15.65" hidden="false" customHeight="true" outlineLevel="0" collapsed="false">
      <c r="A1986" s="2" t="str">
        <f aca="false">HYPERLINK("https://www.fabsurplus.com/sdi_catalog/salesItemDetails.do?id=110297")</f>
        <v>https://www.fabsurplus.com/sdi_catalog/salesItemDetails.do?id=110297</v>
      </c>
      <c r="B1986" s="2" t="s">
        <v>5273</v>
      </c>
      <c r="C1986" s="2" t="s">
        <v>4849</v>
      </c>
      <c r="D1986" s="2" t="s">
        <v>5274</v>
      </c>
      <c r="E1986" s="2" t="s">
        <v>164</v>
      </c>
      <c r="F1986" s="2" t="s">
        <v>16</v>
      </c>
      <c r="G1986" s="2" t="s">
        <v>165</v>
      </c>
      <c r="H1986" s="2"/>
      <c r="I1986" s="2"/>
      <c r="J1986" s="2" t="s">
        <v>42</v>
      </c>
      <c r="K1986" s="2"/>
      <c r="L1986" s="2" t="s">
        <v>686</v>
      </c>
    </row>
    <row r="1987" customFormat="false" ht="15.65" hidden="false" customHeight="true" outlineLevel="0" collapsed="false">
      <c r="A1987" s="5" t="str">
        <f aca="false">HYPERLINK("https://www.fabsurplus.com/sdi_catalog/salesItemDetails.do?id=110298")</f>
        <v>https://www.fabsurplus.com/sdi_catalog/salesItemDetails.do?id=110298</v>
      </c>
      <c r="B1987" s="5" t="s">
        <v>5275</v>
      </c>
      <c r="C1987" s="5" t="s">
        <v>4849</v>
      </c>
      <c r="D1987" s="5" t="s">
        <v>5276</v>
      </c>
      <c r="E1987" s="5" t="s">
        <v>164</v>
      </c>
      <c r="F1987" s="5" t="s">
        <v>16</v>
      </c>
      <c r="G1987" s="5" t="s">
        <v>165</v>
      </c>
      <c r="H1987" s="5"/>
      <c r="I1987" s="5"/>
      <c r="J1987" s="5" t="s">
        <v>42</v>
      </c>
      <c r="K1987" s="5"/>
      <c r="L1987" s="5" t="s">
        <v>5277</v>
      </c>
    </row>
    <row r="1988" customFormat="false" ht="15.65" hidden="false" customHeight="true" outlineLevel="0" collapsed="false">
      <c r="A1988" s="2" t="str">
        <f aca="false">HYPERLINK("https://www.fabsurplus.com/sdi_catalog/salesItemDetails.do?id=110299")</f>
        <v>https://www.fabsurplus.com/sdi_catalog/salesItemDetails.do?id=110299</v>
      </c>
      <c r="B1988" s="2" t="s">
        <v>5278</v>
      </c>
      <c r="C1988" s="2" t="s">
        <v>4849</v>
      </c>
      <c r="D1988" s="2" t="s">
        <v>5276</v>
      </c>
      <c r="E1988" s="2" t="s">
        <v>164</v>
      </c>
      <c r="F1988" s="2" t="s">
        <v>16</v>
      </c>
      <c r="G1988" s="2" t="s">
        <v>165</v>
      </c>
      <c r="H1988" s="2"/>
      <c r="I1988" s="2"/>
      <c r="J1988" s="2" t="s">
        <v>42</v>
      </c>
      <c r="K1988" s="2"/>
      <c r="L1988" s="2" t="s">
        <v>5277</v>
      </c>
    </row>
    <row r="1989" customFormat="false" ht="15.65" hidden="false" customHeight="true" outlineLevel="0" collapsed="false">
      <c r="A1989" s="5" t="str">
        <f aca="false">HYPERLINK("https://www.fabsurplus.com/sdi_catalog/salesItemDetails.do?id=110300")</f>
        <v>https://www.fabsurplus.com/sdi_catalog/salesItemDetails.do?id=110300</v>
      </c>
      <c r="B1989" s="5" t="s">
        <v>5279</v>
      </c>
      <c r="C1989" s="5" t="s">
        <v>4849</v>
      </c>
      <c r="D1989" s="5" t="s">
        <v>5276</v>
      </c>
      <c r="E1989" s="5" t="s">
        <v>164</v>
      </c>
      <c r="F1989" s="5" t="s">
        <v>16</v>
      </c>
      <c r="G1989" s="5" t="s">
        <v>165</v>
      </c>
      <c r="H1989" s="5"/>
      <c r="I1989" s="5"/>
      <c r="J1989" s="5" t="s">
        <v>42</v>
      </c>
      <c r="K1989" s="5"/>
      <c r="L1989" s="5" t="s">
        <v>5277</v>
      </c>
    </row>
    <row r="1990" customFormat="false" ht="15.65" hidden="false" customHeight="true" outlineLevel="0" collapsed="false">
      <c r="A1990" s="2" t="str">
        <f aca="false">HYPERLINK("https://www.fabsurplus.com/sdi_catalog/salesItemDetails.do?id=110301")</f>
        <v>https://www.fabsurplus.com/sdi_catalog/salesItemDetails.do?id=110301</v>
      </c>
      <c r="B1990" s="2" t="s">
        <v>5280</v>
      </c>
      <c r="C1990" s="2" t="s">
        <v>4849</v>
      </c>
      <c r="D1990" s="2" t="s">
        <v>5276</v>
      </c>
      <c r="E1990" s="2" t="s">
        <v>164</v>
      </c>
      <c r="F1990" s="2" t="s">
        <v>16</v>
      </c>
      <c r="G1990" s="2" t="s">
        <v>165</v>
      </c>
      <c r="H1990" s="2"/>
      <c r="I1990" s="2"/>
      <c r="J1990" s="2" t="s">
        <v>42</v>
      </c>
      <c r="K1990" s="2"/>
      <c r="L1990" s="2" t="s">
        <v>5281</v>
      </c>
    </row>
    <row r="1991" customFormat="false" ht="15.65" hidden="false" customHeight="true" outlineLevel="0" collapsed="false">
      <c r="A1991" s="5" t="str">
        <f aca="false">HYPERLINK("https://www.fabsurplus.com/sdi_catalog/salesItemDetails.do?id=110302")</f>
        <v>https://www.fabsurplus.com/sdi_catalog/salesItemDetails.do?id=110302</v>
      </c>
      <c r="B1991" s="5" t="s">
        <v>5282</v>
      </c>
      <c r="C1991" s="5" t="s">
        <v>4849</v>
      </c>
      <c r="D1991" s="5" t="s">
        <v>5276</v>
      </c>
      <c r="E1991" s="5" t="s">
        <v>164</v>
      </c>
      <c r="F1991" s="5" t="s">
        <v>16</v>
      </c>
      <c r="G1991" s="5" t="s">
        <v>165</v>
      </c>
      <c r="H1991" s="5"/>
      <c r="I1991" s="5"/>
      <c r="J1991" s="5" t="s">
        <v>42</v>
      </c>
      <c r="K1991" s="5"/>
      <c r="L1991" s="5" t="s">
        <v>5281</v>
      </c>
    </row>
    <row r="1992" customFormat="false" ht="15.65" hidden="false" customHeight="true" outlineLevel="0" collapsed="false">
      <c r="A1992" s="2" t="str">
        <f aca="false">HYPERLINK("https://www.fabsurplus.com/sdi_catalog/salesItemDetails.do?id=110303")</f>
        <v>https://www.fabsurplus.com/sdi_catalog/salesItemDetails.do?id=110303</v>
      </c>
      <c r="B1992" s="2" t="s">
        <v>5283</v>
      </c>
      <c r="C1992" s="2" t="s">
        <v>4849</v>
      </c>
      <c r="D1992" s="2" t="s">
        <v>5276</v>
      </c>
      <c r="E1992" s="2" t="s">
        <v>164</v>
      </c>
      <c r="F1992" s="2" t="s">
        <v>16</v>
      </c>
      <c r="G1992" s="2" t="s">
        <v>165</v>
      </c>
      <c r="H1992" s="2"/>
      <c r="I1992" s="2"/>
      <c r="J1992" s="2" t="s">
        <v>42</v>
      </c>
      <c r="K1992" s="2"/>
      <c r="L1992" s="2" t="s">
        <v>5284</v>
      </c>
    </row>
    <row r="1993" customFormat="false" ht="15.65" hidden="false" customHeight="true" outlineLevel="0" collapsed="false">
      <c r="A1993" s="5" t="str">
        <f aca="false">HYPERLINK("https://www.fabsurplus.com/sdi_catalog/salesItemDetails.do?id=110304")</f>
        <v>https://www.fabsurplus.com/sdi_catalog/salesItemDetails.do?id=110304</v>
      </c>
      <c r="B1993" s="5" t="s">
        <v>5285</v>
      </c>
      <c r="C1993" s="5" t="s">
        <v>4849</v>
      </c>
      <c r="D1993" s="5" t="s">
        <v>5276</v>
      </c>
      <c r="E1993" s="5" t="s">
        <v>164</v>
      </c>
      <c r="F1993" s="5" t="s">
        <v>16</v>
      </c>
      <c r="G1993" s="5" t="s">
        <v>165</v>
      </c>
      <c r="H1993" s="5"/>
      <c r="I1993" s="5"/>
      <c r="J1993" s="5" t="s">
        <v>42</v>
      </c>
      <c r="K1993" s="5"/>
      <c r="L1993" s="5" t="s">
        <v>5284</v>
      </c>
    </row>
    <row r="1994" customFormat="false" ht="15.65" hidden="false" customHeight="true" outlineLevel="0" collapsed="false">
      <c r="A1994" s="2" t="str">
        <f aca="false">HYPERLINK("https://www.fabsurplus.com/sdi_catalog/salesItemDetails.do?id=110305")</f>
        <v>https://www.fabsurplus.com/sdi_catalog/salesItemDetails.do?id=110305</v>
      </c>
      <c r="B1994" s="2" t="s">
        <v>5286</v>
      </c>
      <c r="C1994" s="2" t="s">
        <v>4849</v>
      </c>
      <c r="D1994" s="2" t="s">
        <v>5276</v>
      </c>
      <c r="E1994" s="2" t="s">
        <v>164</v>
      </c>
      <c r="F1994" s="2" t="s">
        <v>16</v>
      </c>
      <c r="G1994" s="2" t="s">
        <v>165</v>
      </c>
      <c r="H1994" s="2"/>
      <c r="I1994" s="2"/>
      <c r="J1994" s="2" t="s">
        <v>42</v>
      </c>
      <c r="K1994" s="2"/>
      <c r="L1994" s="2" t="s">
        <v>5284</v>
      </c>
    </row>
    <row r="1995" customFormat="false" ht="15.65" hidden="false" customHeight="true" outlineLevel="0" collapsed="false">
      <c r="A1995" s="5" t="str">
        <f aca="false">HYPERLINK("https://www.fabsurplus.com/sdi_catalog/salesItemDetails.do?id=110306")</f>
        <v>https://www.fabsurplus.com/sdi_catalog/salesItemDetails.do?id=110306</v>
      </c>
      <c r="B1995" s="5" t="s">
        <v>5287</v>
      </c>
      <c r="C1995" s="5" t="s">
        <v>4849</v>
      </c>
      <c r="D1995" s="5" t="s">
        <v>5276</v>
      </c>
      <c r="E1995" s="5" t="s">
        <v>164</v>
      </c>
      <c r="F1995" s="5" t="s">
        <v>16</v>
      </c>
      <c r="G1995" s="5" t="s">
        <v>165</v>
      </c>
      <c r="H1995" s="5"/>
      <c r="I1995" s="5"/>
      <c r="J1995" s="5" t="s">
        <v>42</v>
      </c>
      <c r="K1995" s="5"/>
      <c r="L1995" s="5" t="s">
        <v>5284</v>
      </c>
    </row>
    <row r="1996" customFormat="false" ht="15.65" hidden="false" customHeight="true" outlineLevel="0" collapsed="false">
      <c r="A1996" s="2" t="str">
        <f aca="false">HYPERLINK("https://www.fabsurplus.com/sdi_catalog/salesItemDetails.do?id=110307")</f>
        <v>https://www.fabsurplus.com/sdi_catalog/salesItemDetails.do?id=110307</v>
      </c>
      <c r="B1996" s="2" t="s">
        <v>5288</v>
      </c>
      <c r="C1996" s="2" t="s">
        <v>4849</v>
      </c>
      <c r="D1996" s="2" t="s">
        <v>5289</v>
      </c>
      <c r="E1996" s="2" t="s">
        <v>164</v>
      </c>
      <c r="F1996" s="2" t="s">
        <v>16</v>
      </c>
      <c r="G1996" s="2" t="s">
        <v>165</v>
      </c>
      <c r="H1996" s="2"/>
      <c r="I1996" s="2"/>
      <c r="J1996" s="2" t="s">
        <v>42</v>
      </c>
      <c r="K1996" s="2"/>
      <c r="L1996" s="2" t="s">
        <v>5290</v>
      </c>
    </row>
    <row r="1997" customFormat="false" ht="15.65" hidden="false" customHeight="true" outlineLevel="0" collapsed="false">
      <c r="A1997" s="5" t="str">
        <f aca="false">HYPERLINK("https://www.fabsurplus.com/sdi_catalog/salesItemDetails.do?id=110308")</f>
        <v>https://www.fabsurplus.com/sdi_catalog/salesItemDetails.do?id=110308</v>
      </c>
      <c r="B1997" s="5" t="s">
        <v>5291</v>
      </c>
      <c r="C1997" s="5" t="s">
        <v>4849</v>
      </c>
      <c r="D1997" s="5" t="s">
        <v>5289</v>
      </c>
      <c r="E1997" s="5" t="s">
        <v>164</v>
      </c>
      <c r="F1997" s="5" t="s">
        <v>16</v>
      </c>
      <c r="G1997" s="5" t="s">
        <v>165</v>
      </c>
      <c r="H1997" s="5"/>
      <c r="I1997" s="5"/>
      <c r="J1997" s="5" t="s">
        <v>42</v>
      </c>
      <c r="K1997" s="5"/>
      <c r="L1997" s="5" t="s">
        <v>5290</v>
      </c>
    </row>
    <row r="1998" customFormat="false" ht="15.65" hidden="false" customHeight="true" outlineLevel="0" collapsed="false">
      <c r="A1998" s="2" t="str">
        <f aca="false">HYPERLINK("https://www.fabsurplus.com/sdi_catalog/salesItemDetails.do?id=110309")</f>
        <v>https://www.fabsurplus.com/sdi_catalog/salesItemDetails.do?id=110309</v>
      </c>
      <c r="B1998" s="2" t="s">
        <v>5292</v>
      </c>
      <c r="C1998" s="2" t="s">
        <v>4849</v>
      </c>
      <c r="D1998" s="2" t="s">
        <v>5289</v>
      </c>
      <c r="E1998" s="2" t="s">
        <v>164</v>
      </c>
      <c r="F1998" s="2" t="s">
        <v>16</v>
      </c>
      <c r="G1998" s="2" t="s">
        <v>165</v>
      </c>
      <c r="H1998" s="2"/>
      <c r="I1998" s="2"/>
      <c r="J1998" s="2" t="s">
        <v>42</v>
      </c>
      <c r="K1998" s="2"/>
      <c r="L1998" s="2" t="s">
        <v>5290</v>
      </c>
    </row>
    <row r="1999" customFormat="false" ht="15.65" hidden="false" customHeight="true" outlineLevel="0" collapsed="false">
      <c r="A1999" s="5" t="str">
        <f aca="false">HYPERLINK("https://www.fabsurplus.com/sdi_catalog/salesItemDetails.do?id=80368")</f>
        <v>https://www.fabsurplus.com/sdi_catalog/salesItemDetails.do?id=80368</v>
      </c>
      <c r="B1999" s="5" t="s">
        <v>5293</v>
      </c>
      <c r="C1999" s="5" t="s">
        <v>4849</v>
      </c>
      <c r="D1999" s="5" t="s">
        <v>5294</v>
      </c>
      <c r="E1999" s="5" t="s">
        <v>103</v>
      </c>
      <c r="F1999" s="5" t="s">
        <v>16</v>
      </c>
      <c r="G1999" s="5" t="s">
        <v>165</v>
      </c>
      <c r="H1999" s="5" t="s">
        <v>18</v>
      </c>
      <c r="I1999" s="6" t="n">
        <v>34850.9166666667</v>
      </c>
      <c r="J1999" s="5" t="s">
        <v>19</v>
      </c>
      <c r="K1999" s="5" t="s">
        <v>20</v>
      </c>
      <c r="L1999" s="7" t="s">
        <v>5295</v>
      </c>
    </row>
    <row r="2000" customFormat="false" ht="15.65" hidden="false" customHeight="true" outlineLevel="0" collapsed="false">
      <c r="A2000" s="2" t="str">
        <f aca="false">HYPERLINK("https://www.fabsurplus.com/sdi_catalog/salesItemDetails.do?id=110075")</f>
        <v>https://www.fabsurplus.com/sdi_catalog/salesItemDetails.do?id=110075</v>
      </c>
      <c r="B2000" s="2" t="s">
        <v>5296</v>
      </c>
      <c r="C2000" s="2" t="s">
        <v>4849</v>
      </c>
      <c r="D2000" s="2" t="s">
        <v>5297</v>
      </c>
      <c r="E2000" s="2" t="s">
        <v>170</v>
      </c>
      <c r="F2000" s="2" t="s">
        <v>16</v>
      </c>
      <c r="G2000" s="2" t="s">
        <v>165</v>
      </c>
      <c r="H2000" s="2"/>
      <c r="I2000" s="2"/>
      <c r="J2000" s="2" t="s">
        <v>42</v>
      </c>
      <c r="K2000" s="2"/>
      <c r="L2000" s="2" t="s">
        <v>5298</v>
      </c>
    </row>
    <row r="2001" customFormat="false" ht="15.65" hidden="false" customHeight="true" outlineLevel="0" collapsed="false">
      <c r="A2001" s="5" t="str">
        <f aca="false">HYPERLINK("https://www.fabsurplus.com/sdi_catalog/salesItemDetails.do?id=110076")</f>
        <v>https://www.fabsurplus.com/sdi_catalog/salesItemDetails.do?id=110076</v>
      </c>
      <c r="B2001" s="5" t="s">
        <v>5299</v>
      </c>
      <c r="C2001" s="5" t="s">
        <v>4849</v>
      </c>
      <c r="D2001" s="5" t="s">
        <v>5297</v>
      </c>
      <c r="E2001" s="5" t="s">
        <v>170</v>
      </c>
      <c r="F2001" s="5" t="s">
        <v>16</v>
      </c>
      <c r="G2001" s="5" t="s">
        <v>165</v>
      </c>
      <c r="H2001" s="5"/>
      <c r="I2001" s="5"/>
      <c r="J2001" s="5" t="s">
        <v>42</v>
      </c>
      <c r="K2001" s="5"/>
      <c r="L2001" s="5" t="s">
        <v>5298</v>
      </c>
    </row>
    <row r="2002" customFormat="false" ht="15.65" hidden="false" customHeight="true" outlineLevel="0" collapsed="false">
      <c r="A2002" s="2" t="str">
        <f aca="false">HYPERLINK("https://www.fabsurplus.com/sdi_catalog/salesItemDetails.do?id=110077")</f>
        <v>https://www.fabsurplus.com/sdi_catalog/salesItemDetails.do?id=110077</v>
      </c>
      <c r="B2002" s="2" t="s">
        <v>5300</v>
      </c>
      <c r="C2002" s="2" t="s">
        <v>4849</v>
      </c>
      <c r="D2002" s="2" t="s">
        <v>5297</v>
      </c>
      <c r="E2002" s="2" t="s">
        <v>170</v>
      </c>
      <c r="F2002" s="2" t="s">
        <v>16</v>
      </c>
      <c r="G2002" s="2" t="s">
        <v>165</v>
      </c>
      <c r="H2002" s="2"/>
      <c r="I2002" s="2"/>
      <c r="J2002" s="2" t="s">
        <v>42</v>
      </c>
      <c r="K2002" s="2"/>
      <c r="L2002" s="2" t="s">
        <v>5301</v>
      </c>
    </row>
    <row r="2003" customFormat="false" ht="15.65" hidden="false" customHeight="true" outlineLevel="0" collapsed="false">
      <c r="A2003" s="5" t="str">
        <f aca="false">HYPERLINK("https://www.fabsurplus.com/sdi_catalog/salesItemDetails.do?id=110078")</f>
        <v>https://www.fabsurplus.com/sdi_catalog/salesItemDetails.do?id=110078</v>
      </c>
      <c r="B2003" s="5" t="s">
        <v>5302</v>
      </c>
      <c r="C2003" s="5" t="s">
        <v>4849</v>
      </c>
      <c r="D2003" s="5" t="s">
        <v>4850</v>
      </c>
      <c r="E2003" s="5" t="s">
        <v>170</v>
      </c>
      <c r="F2003" s="5" t="s">
        <v>16</v>
      </c>
      <c r="G2003" s="5" t="s">
        <v>165</v>
      </c>
      <c r="H2003" s="5"/>
      <c r="I2003" s="5"/>
      <c r="J2003" s="5" t="s">
        <v>42</v>
      </c>
      <c r="K2003" s="5"/>
      <c r="L2003" s="5" t="s">
        <v>5303</v>
      </c>
    </row>
    <row r="2004" customFormat="false" ht="15.65" hidden="false" customHeight="true" outlineLevel="0" collapsed="false">
      <c r="A2004" s="2" t="str">
        <f aca="false">HYPERLINK("https://www.fabsurplus.com/sdi_catalog/salesItemDetails.do?id=110079")</f>
        <v>https://www.fabsurplus.com/sdi_catalog/salesItemDetails.do?id=110079</v>
      </c>
      <c r="B2004" s="2" t="s">
        <v>5304</v>
      </c>
      <c r="C2004" s="2" t="s">
        <v>4849</v>
      </c>
      <c r="D2004" s="2" t="s">
        <v>4850</v>
      </c>
      <c r="E2004" s="2" t="s">
        <v>170</v>
      </c>
      <c r="F2004" s="2" t="s">
        <v>16</v>
      </c>
      <c r="G2004" s="2" t="s">
        <v>165</v>
      </c>
      <c r="H2004" s="2"/>
      <c r="I2004" s="2"/>
      <c r="J2004" s="2" t="s">
        <v>42</v>
      </c>
      <c r="K2004" s="2"/>
      <c r="L2004" s="2" t="s">
        <v>5305</v>
      </c>
    </row>
    <row r="2005" customFormat="false" ht="15.65" hidden="false" customHeight="true" outlineLevel="0" collapsed="false">
      <c r="A2005" s="5" t="str">
        <f aca="false">HYPERLINK("https://www.fabsurplus.com/sdi_catalog/salesItemDetails.do?id=77091")</f>
        <v>https://www.fabsurplus.com/sdi_catalog/salesItemDetails.do?id=77091</v>
      </c>
      <c r="B2005" s="5" t="s">
        <v>5306</v>
      </c>
      <c r="C2005" s="5" t="s">
        <v>5307</v>
      </c>
      <c r="D2005" s="5" t="s">
        <v>5308</v>
      </c>
      <c r="E2005" s="5" t="s">
        <v>5309</v>
      </c>
      <c r="F2005" s="5" t="s">
        <v>16</v>
      </c>
      <c r="G2005" s="5" t="s">
        <v>104</v>
      </c>
      <c r="H2005" s="5" t="s">
        <v>32</v>
      </c>
      <c r="I2005" s="5"/>
      <c r="J2005" s="5" t="s">
        <v>19</v>
      </c>
      <c r="K2005" s="5" t="s">
        <v>20</v>
      </c>
      <c r="L2005" s="5"/>
    </row>
    <row r="2006" customFormat="false" ht="15.65" hidden="false" customHeight="true" outlineLevel="0" collapsed="false">
      <c r="A2006" s="2" t="str">
        <f aca="false">HYPERLINK("https://www.fabsurplus.com/sdi_catalog/salesItemDetails.do?id=83513")</f>
        <v>https://www.fabsurplus.com/sdi_catalog/salesItemDetails.do?id=83513</v>
      </c>
      <c r="B2006" s="2" t="s">
        <v>5310</v>
      </c>
      <c r="C2006" s="2" t="s">
        <v>5311</v>
      </c>
      <c r="D2006" s="2" t="s">
        <v>5312</v>
      </c>
      <c r="E2006" s="2" t="s">
        <v>5313</v>
      </c>
      <c r="F2006" s="2" t="s">
        <v>16</v>
      </c>
      <c r="G2006" s="2" t="s">
        <v>2803</v>
      </c>
      <c r="H2006" s="2" t="s">
        <v>18</v>
      </c>
      <c r="I2006" s="3" t="n">
        <v>40360</v>
      </c>
      <c r="J2006" s="2" t="s">
        <v>19</v>
      </c>
      <c r="K2006" s="2" t="s">
        <v>20</v>
      </c>
      <c r="L2006" s="4" t="s">
        <v>5314</v>
      </c>
    </row>
    <row r="2007" customFormat="false" ht="15.65" hidden="false" customHeight="true" outlineLevel="0" collapsed="false">
      <c r="A2007" s="5" t="str">
        <f aca="false">HYPERLINK("https://www.fabsurplus.com/sdi_catalog/salesItemDetails.do?id=108955")</f>
        <v>https://www.fabsurplus.com/sdi_catalog/salesItemDetails.do?id=108955</v>
      </c>
      <c r="B2007" s="5" t="s">
        <v>5315</v>
      </c>
      <c r="C2007" s="5" t="s">
        <v>5316</v>
      </c>
      <c r="D2007" s="5" t="s">
        <v>4844</v>
      </c>
      <c r="E2007" s="5" t="s">
        <v>5317</v>
      </c>
      <c r="F2007" s="5" t="s">
        <v>78</v>
      </c>
      <c r="G2007" s="5"/>
      <c r="H2007" s="5"/>
      <c r="I2007" s="5"/>
      <c r="J2007" s="5"/>
      <c r="K2007" s="5"/>
      <c r="L2007" s="7" t="s">
        <v>5318</v>
      </c>
    </row>
    <row r="2008" customFormat="false" ht="15.65" hidden="false" customHeight="true" outlineLevel="0" collapsed="false">
      <c r="A2008" s="2" t="str">
        <f aca="false">HYPERLINK("https://www.fabsurplus.com/sdi_catalog/salesItemDetails.do?id=108957")</f>
        <v>https://www.fabsurplus.com/sdi_catalog/salesItemDetails.do?id=108957</v>
      </c>
      <c r="B2008" s="2" t="s">
        <v>5319</v>
      </c>
      <c r="C2008" s="2" t="s">
        <v>5316</v>
      </c>
      <c r="D2008" s="2" t="s">
        <v>5320</v>
      </c>
      <c r="E2008" s="2" t="s">
        <v>5321</v>
      </c>
      <c r="F2008" s="2" t="s">
        <v>5322</v>
      </c>
      <c r="G2008" s="2"/>
      <c r="H2008" s="2"/>
      <c r="I2008" s="2"/>
      <c r="J2008" s="2"/>
      <c r="K2008" s="2"/>
      <c r="L2008" s="4" t="s">
        <v>5323</v>
      </c>
    </row>
    <row r="2009" customFormat="false" ht="15.65" hidden="false" customHeight="true" outlineLevel="0" collapsed="false">
      <c r="A2009" s="5" t="str">
        <f aca="false">HYPERLINK("https://www.fabsurplus.com/sdi_catalog/salesItemDetails.do?id=108958")</f>
        <v>https://www.fabsurplus.com/sdi_catalog/salesItemDetails.do?id=108958</v>
      </c>
      <c r="B2009" s="5" t="s">
        <v>5324</v>
      </c>
      <c r="C2009" s="5" t="s">
        <v>5316</v>
      </c>
      <c r="D2009" s="5" t="s">
        <v>5325</v>
      </c>
      <c r="E2009" s="5" t="s">
        <v>5326</v>
      </c>
      <c r="F2009" s="5" t="s">
        <v>5327</v>
      </c>
      <c r="G2009" s="5"/>
      <c r="H2009" s="5"/>
      <c r="I2009" s="5"/>
      <c r="J2009" s="5"/>
      <c r="K2009" s="5"/>
      <c r="L2009" s="7" t="s">
        <v>5328</v>
      </c>
    </row>
    <row r="2010" customFormat="false" ht="15.65" hidden="false" customHeight="true" outlineLevel="0" collapsed="false">
      <c r="A2010" s="2" t="str">
        <f aca="false">HYPERLINK("https://www.fabsurplus.com/sdi_catalog/salesItemDetails.do?id=108959")</f>
        <v>https://www.fabsurplus.com/sdi_catalog/salesItemDetails.do?id=108959</v>
      </c>
      <c r="B2010" s="2" t="s">
        <v>5329</v>
      </c>
      <c r="C2010" s="2" t="s">
        <v>5316</v>
      </c>
      <c r="D2010" s="2" t="s">
        <v>5330</v>
      </c>
      <c r="E2010" s="2" t="s">
        <v>5331</v>
      </c>
      <c r="F2010" s="2" t="s">
        <v>5332</v>
      </c>
      <c r="G2010" s="2"/>
      <c r="H2010" s="2"/>
      <c r="I2010" s="2"/>
      <c r="J2010" s="2"/>
      <c r="K2010" s="2"/>
      <c r="L2010" s="4" t="s">
        <v>5333</v>
      </c>
    </row>
    <row r="2011" customFormat="false" ht="15.65" hidden="false" customHeight="true" outlineLevel="0" collapsed="false">
      <c r="A2011" s="5" t="str">
        <f aca="false">HYPERLINK("https://www.fabsurplus.com/sdi_catalog/salesItemDetails.do?id=106467")</f>
        <v>https://www.fabsurplus.com/sdi_catalog/salesItemDetails.do?id=106467</v>
      </c>
      <c r="B2011" s="5" t="s">
        <v>5334</v>
      </c>
      <c r="C2011" s="5" t="s">
        <v>5335</v>
      </c>
      <c r="D2011" s="5" t="s">
        <v>5336</v>
      </c>
      <c r="E2011" s="5" t="s">
        <v>5337</v>
      </c>
      <c r="F2011" s="5" t="s">
        <v>16</v>
      </c>
      <c r="G2011" s="5" t="s">
        <v>2858</v>
      </c>
      <c r="H2011" s="5" t="s">
        <v>18</v>
      </c>
      <c r="I2011" s="6" t="n">
        <v>37408</v>
      </c>
      <c r="J2011" s="5" t="s">
        <v>19</v>
      </c>
      <c r="K2011" s="5" t="s">
        <v>20</v>
      </c>
      <c r="L2011" s="5" t="s">
        <v>2863</v>
      </c>
    </row>
    <row r="2012" customFormat="false" ht="15.65" hidden="false" customHeight="true" outlineLevel="0" collapsed="false">
      <c r="A2012" s="2" t="str">
        <f aca="false">HYPERLINK("https://www.fabsurplus.com/sdi_catalog/salesItemDetails.do?id=108064")</f>
        <v>https://www.fabsurplus.com/sdi_catalog/salesItemDetails.do?id=108064</v>
      </c>
      <c r="B2012" s="2" t="s">
        <v>5338</v>
      </c>
      <c r="C2012" s="2" t="s">
        <v>5339</v>
      </c>
      <c r="D2012" s="2" t="s">
        <v>5340</v>
      </c>
      <c r="E2012" s="2" t="s">
        <v>5341</v>
      </c>
      <c r="F2012" s="2" t="s">
        <v>16</v>
      </c>
      <c r="G2012" s="2"/>
      <c r="H2012" s="2"/>
      <c r="I2012" s="2"/>
      <c r="J2012" s="2" t="s">
        <v>19</v>
      </c>
      <c r="K2012" s="2"/>
      <c r="L2012" s="2" t="s">
        <v>5342</v>
      </c>
    </row>
    <row r="2013" customFormat="false" ht="15.65" hidden="false" customHeight="true" outlineLevel="0" collapsed="false">
      <c r="A2013" s="5" t="str">
        <f aca="false">HYPERLINK("https://www.fabsurplus.com/sdi_catalog/salesItemDetails.do?id=108641")</f>
        <v>https://www.fabsurplus.com/sdi_catalog/salesItemDetails.do?id=108641</v>
      </c>
      <c r="B2013" s="5" t="s">
        <v>5343</v>
      </c>
      <c r="C2013" s="5" t="s">
        <v>5344</v>
      </c>
      <c r="D2013" s="5" t="s">
        <v>5345</v>
      </c>
      <c r="E2013" s="5" t="s">
        <v>5346</v>
      </c>
      <c r="F2013" s="5" t="s">
        <v>16</v>
      </c>
      <c r="G2013" s="5" t="s">
        <v>2858</v>
      </c>
      <c r="H2013" s="5" t="s">
        <v>32</v>
      </c>
      <c r="I2013" s="6" t="n">
        <v>38869</v>
      </c>
      <c r="J2013" s="5" t="s">
        <v>19</v>
      </c>
      <c r="K2013" s="5" t="s">
        <v>20</v>
      </c>
      <c r="L2013" s="5" t="s">
        <v>3043</v>
      </c>
    </row>
    <row r="2014" customFormat="false" ht="15.65" hidden="false" customHeight="true" outlineLevel="0" collapsed="false">
      <c r="A2014" s="2" t="str">
        <f aca="false">HYPERLINK("https://www.fabsurplus.com/sdi_catalog/salesItemDetails.do?id=98462")</f>
        <v>https://www.fabsurplus.com/sdi_catalog/salesItemDetails.do?id=98462</v>
      </c>
      <c r="B2014" s="2" t="s">
        <v>5347</v>
      </c>
      <c r="C2014" s="2" t="s">
        <v>5344</v>
      </c>
      <c r="D2014" s="2" t="s">
        <v>5348</v>
      </c>
      <c r="E2014" s="2" t="s">
        <v>5349</v>
      </c>
      <c r="F2014" s="2" t="s">
        <v>16</v>
      </c>
      <c r="G2014" s="2" t="s">
        <v>5350</v>
      </c>
      <c r="H2014" s="2" t="s">
        <v>18</v>
      </c>
      <c r="I2014" s="3" t="n">
        <v>38533.9166666667</v>
      </c>
      <c r="J2014" s="2" t="s">
        <v>19</v>
      </c>
      <c r="K2014" s="2" t="s">
        <v>20</v>
      </c>
      <c r="L2014" s="4" t="s">
        <v>5351</v>
      </c>
    </row>
    <row r="2015" customFormat="false" ht="15.65" hidden="false" customHeight="true" outlineLevel="0" collapsed="false">
      <c r="A2015" s="5" t="str">
        <f aca="false">HYPERLINK("https://www.fabsurplus.com/sdi_catalog/salesItemDetails.do?id=106469")</f>
        <v>https://www.fabsurplus.com/sdi_catalog/salesItemDetails.do?id=106469</v>
      </c>
      <c r="B2015" s="5" t="s">
        <v>5352</v>
      </c>
      <c r="C2015" s="5" t="s">
        <v>5339</v>
      </c>
      <c r="D2015" s="5" t="s">
        <v>5353</v>
      </c>
      <c r="E2015" s="5" t="s">
        <v>5337</v>
      </c>
      <c r="F2015" s="5" t="s">
        <v>16</v>
      </c>
      <c r="G2015" s="5" t="s">
        <v>2858</v>
      </c>
      <c r="H2015" s="5" t="s">
        <v>18</v>
      </c>
      <c r="I2015" s="5"/>
      <c r="J2015" s="5" t="s">
        <v>19</v>
      </c>
      <c r="K2015" s="5" t="s">
        <v>20</v>
      </c>
      <c r="L2015" s="5" t="s">
        <v>2863</v>
      </c>
    </row>
    <row r="2016" customFormat="false" ht="15.65" hidden="false" customHeight="true" outlineLevel="0" collapsed="false">
      <c r="A2016" s="2" t="str">
        <f aca="false">HYPERLINK("https://www.fabsurplus.com/sdi_catalog/salesItemDetails.do?id=106470")</f>
        <v>https://www.fabsurplus.com/sdi_catalog/salesItemDetails.do?id=106470</v>
      </c>
      <c r="B2016" s="2" t="s">
        <v>5354</v>
      </c>
      <c r="C2016" s="2" t="s">
        <v>5344</v>
      </c>
      <c r="D2016" s="2" t="s">
        <v>5353</v>
      </c>
      <c r="E2016" s="2" t="s">
        <v>5337</v>
      </c>
      <c r="F2016" s="2" t="s">
        <v>16</v>
      </c>
      <c r="G2016" s="2" t="s">
        <v>38</v>
      </c>
      <c r="H2016" s="2" t="s">
        <v>32</v>
      </c>
      <c r="I2016" s="3" t="n">
        <v>38504</v>
      </c>
      <c r="J2016" s="2" t="s">
        <v>19</v>
      </c>
      <c r="K2016" s="2" t="s">
        <v>20</v>
      </c>
      <c r="L2016" s="2" t="s">
        <v>2863</v>
      </c>
    </row>
    <row r="2017" customFormat="false" ht="15.65" hidden="false" customHeight="true" outlineLevel="0" collapsed="false">
      <c r="A2017" s="5" t="str">
        <f aca="false">HYPERLINK("https://www.fabsurplus.com/sdi_catalog/salesItemDetails.do?id=106655")</f>
        <v>https://www.fabsurplus.com/sdi_catalog/salesItemDetails.do?id=106655</v>
      </c>
      <c r="B2017" s="5" t="s">
        <v>5355</v>
      </c>
      <c r="C2017" s="5" t="s">
        <v>5356</v>
      </c>
      <c r="D2017" s="5" t="s">
        <v>5357</v>
      </c>
      <c r="E2017" s="5" t="s">
        <v>5358</v>
      </c>
      <c r="F2017" s="5" t="s">
        <v>16</v>
      </c>
      <c r="G2017" s="5" t="s">
        <v>38</v>
      </c>
      <c r="H2017" s="5"/>
      <c r="I2017" s="6" t="n">
        <v>38869</v>
      </c>
      <c r="J2017" s="5" t="s">
        <v>19</v>
      </c>
      <c r="K2017" s="5"/>
      <c r="L2017" s="5" t="s">
        <v>518</v>
      </c>
    </row>
    <row r="2018" customFormat="false" ht="15.65" hidden="false" customHeight="true" outlineLevel="0" collapsed="false">
      <c r="A2018" s="2" t="str">
        <f aca="false">HYPERLINK("https://www.fabsurplus.com/sdi_catalog/salesItemDetails.do?id=84090")</f>
        <v>https://www.fabsurplus.com/sdi_catalog/salesItemDetails.do?id=84090</v>
      </c>
      <c r="B2018" s="2" t="s">
        <v>5359</v>
      </c>
      <c r="C2018" s="2" t="s">
        <v>5360</v>
      </c>
      <c r="D2018" s="2" t="s">
        <v>5361</v>
      </c>
      <c r="E2018" s="2" t="s">
        <v>5362</v>
      </c>
      <c r="F2018" s="2" t="s">
        <v>16</v>
      </c>
      <c r="G2018" s="2"/>
      <c r="H2018" s="2" t="s">
        <v>1395</v>
      </c>
      <c r="I2018" s="2"/>
      <c r="J2018" s="2" t="s">
        <v>19</v>
      </c>
      <c r="K2018" s="2" t="s">
        <v>20</v>
      </c>
      <c r="L2018" s="4" t="s">
        <v>5363</v>
      </c>
    </row>
    <row r="2019" customFormat="false" ht="15.65" hidden="false" customHeight="true" outlineLevel="0" collapsed="false">
      <c r="A2019" s="5" t="str">
        <f aca="false">HYPERLINK("https://www.fabsurplus.com/sdi_catalog/salesItemDetails.do?id=84080")</f>
        <v>https://www.fabsurplus.com/sdi_catalog/salesItemDetails.do?id=84080</v>
      </c>
      <c r="B2019" s="5" t="s">
        <v>5364</v>
      </c>
      <c r="C2019" s="5" t="s">
        <v>5365</v>
      </c>
      <c r="D2019" s="5" t="s">
        <v>5366</v>
      </c>
      <c r="E2019" s="5" t="s">
        <v>5367</v>
      </c>
      <c r="F2019" s="5" t="s">
        <v>16</v>
      </c>
      <c r="G2019" s="5"/>
      <c r="H2019" s="5" t="s">
        <v>18</v>
      </c>
      <c r="I2019" s="5"/>
      <c r="J2019" s="5" t="s">
        <v>19</v>
      </c>
      <c r="K2019" s="5" t="s">
        <v>20</v>
      </c>
      <c r="L2019" s="7" t="s">
        <v>5368</v>
      </c>
    </row>
    <row r="2020" customFormat="false" ht="15.65" hidden="false" customHeight="true" outlineLevel="0" collapsed="false">
      <c r="A2020" s="2" t="str">
        <f aca="false">HYPERLINK("https://www.fabsurplus.com/sdi_catalog/salesItemDetails.do?id=82286")</f>
        <v>https://www.fabsurplus.com/sdi_catalog/salesItemDetails.do?id=82286</v>
      </c>
      <c r="B2020" s="2" t="s">
        <v>5369</v>
      </c>
      <c r="C2020" s="2" t="s">
        <v>5370</v>
      </c>
      <c r="D2020" s="2" t="s">
        <v>5371</v>
      </c>
      <c r="E2020" s="2" t="s">
        <v>5372</v>
      </c>
      <c r="F2020" s="2" t="s">
        <v>16</v>
      </c>
      <c r="G2020" s="2" t="s">
        <v>97</v>
      </c>
      <c r="H2020" s="2" t="s">
        <v>32</v>
      </c>
      <c r="I2020" s="3" t="n">
        <v>39356</v>
      </c>
      <c r="J2020" s="2" t="s">
        <v>19</v>
      </c>
      <c r="K2020" s="2" t="s">
        <v>20</v>
      </c>
      <c r="L2020" s="4" t="s">
        <v>5373</v>
      </c>
    </row>
    <row r="2021" customFormat="false" ht="15.65" hidden="false" customHeight="true" outlineLevel="0" collapsed="false">
      <c r="A2021" s="5" t="str">
        <f aca="false">HYPERLINK("https://www.fabsurplus.com/sdi_catalog/salesItemDetails.do?id=108815")</f>
        <v>https://www.fabsurplus.com/sdi_catalog/salesItemDetails.do?id=108815</v>
      </c>
      <c r="B2021" s="5" t="s">
        <v>5374</v>
      </c>
      <c r="C2021" s="5" t="s">
        <v>5375</v>
      </c>
      <c r="D2021" s="5" t="s">
        <v>5376</v>
      </c>
      <c r="E2021" s="5" t="s">
        <v>5377</v>
      </c>
      <c r="F2021" s="5" t="s">
        <v>16</v>
      </c>
      <c r="G2021" s="5" t="s">
        <v>2327</v>
      </c>
      <c r="H2021" s="5"/>
      <c r="I2021" s="5"/>
      <c r="J2021" s="5" t="s">
        <v>42</v>
      </c>
      <c r="K2021" s="5"/>
      <c r="L2021" s="5" t="s">
        <v>131</v>
      </c>
    </row>
    <row r="2022" customFormat="false" ht="15.65" hidden="false" customHeight="true" outlineLevel="0" collapsed="false">
      <c r="A2022" s="2" t="str">
        <f aca="false">HYPERLINK("https://www.fabsurplus.com/sdi_catalog/salesItemDetails.do?id=100704")</f>
        <v>https://www.fabsurplus.com/sdi_catalog/salesItemDetails.do?id=100704</v>
      </c>
      <c r="B2022" s="2" t="s">
        <v>5378</v>
      </c>
      <c r="C2022" s="2" t="s">
        <v>5375</v>
      </c>
      <c r="D2022" s="2" t="s">
        <v>5379</v>
      </c>
      <c r="E2022" s="2" t="s">
        <v>2379</v>
      </c>
      <c r="F2022" s="2" t="s">
        <v>16</v>
      </c>
      <c r="G2022" s="2" t="s">
        <v>1362</v>
      </c>
      <c r="H2022" s="2" t="s">
        <v>453</v>
      </c>
      <c r="I2022" s="2"/>
      <c r="J2022" s="2" t="s">
        <v>19</v>
      </c>
      <c r="K2022" s="2" t="s">
        <v>20</v>
      </c>
      <c r="L2022" s="4" t="s">
        <v>5380</v>
      </c>
    </row>
    <row r="2023" customFormat="false" ht="15.65" hidden="false" customHeight="true" outlineLevel="0" collapsed="false">
      <c r="A2023" s="5" t="str">
        <f aca="false">HYPERLINK("https://www.fabsurplus.com/sdi_catalog/salesItemDetails.do?id=100705")</f>
        <v>https://www.fabsurplus.com/sdi_catalog/salesItemDetails.do?id=100705</v>
      </c>
      <c r="B2023" s="5" t="s">
        <v>5381</v>
      </c>
      <c r="C2023" s="5" t="s">
        <v>5375</v>
      </c>
      <c r="D2023" s="5" t="s">
        <v>5382</v>
      </c>
      <c r="E2023" s="5" t="s">
        <v>2379</v>
      </c>
      <c r="F2023" s="5" t="s">
        <v>16</v>
      </c>
      <c r="G2023" s="5" t="s">
        <v>1362</v>
      </c>
      <c r="H2023" s="5" t="s">
        <v>453</v>
      </c>
      <c r="I2023" s="5"/>
      <c r="J2023" s="5" t="s">
        <v>19</v>
      </c>
      <c r="K2023" s="5" t="s">
        <v>20</v>
      </c>
      <c r="L2023" s="7" t="s">
        <v>5383</v>
      </c>
    </row>
    <row r="2024" customFormat="false" ht="15.65" hidden="false" customHeight="true" outlineLevel="0" collapsed="false">
      <c r="A2024" s="2" t="str">
        <f aca="false">HYPERLINK("https://www.fabsurplus.com/sdi_catalog/salesItemDetails.do?id=108749")</f>
        <v>https://www.fabsurplus.com/sdi_catalog/salesItemDetails.do?id=108749</v>
      </c>
      <c r="B2024" s="2" t="s">
        <v>5384</v>
      </c>
      <c r="C2024" s="2" t="s">
        <v>5375</v>
      </c>
      <c r="D2024" s="2" t="s">
        <v>5385</v>
      </c>
      <c r="E2024" s="2" t="s">
        <v>5386</v>
      </c>
      <c r="F2024" s="2" t="s">
        <v>16</v>
      </c>
      <c r="G2024" s="2"/>
      <c r="H2024" s="2"/>
      <c r="I2024" s="2"/>
      <c r="J2024" s="2" t="s">
        <v>42</v>
      </c>
      <c r="K2024" s="2"/>
      <c r="L2024" s="2"/>
    </row>
    <row r="2025" customFormat="false" ht="15.65" hidden="false" customHeight="true" outlineLevel="0" collapsed="false">
      <c r="A2025" s="5" t="str">
        <f aca="false">HYPERLINK("https://www.fabsurplus.com/sdi_catalog/salesItemDetails.do?id=108750")</f>
        <v>https://www.fabsurplus.com/sdi_catalog/salesItemDetails.do?id=108750</v>
      </c>
      <c r="B2025" s="5" t="s">
        <v>5387</v>
      </c>
      <c r="C2025" s="5" t="s">
        <v>5375</v>
      </c>
      <c r="D2025" s="5" t="s">
        <v>5388</v>
      </c>
      <c r="E2025" s="5" t="s">
        <v>5389</v>
      </c>
      <c r="F2025" s="5" t="s">
        <v>16</v>
      </c>
      <c r="G2025" s="5"/>
      <c r="H2025" s="5"/>
      <c r="I2025" s="5"/>
      <c r="J2025" s="5" t="s">
        <v>42</v>
      </c>
      <c r="K2025" s="5"/>
      <c r="L2025" s="5"/>
    </row>
    <row r="2026" customFormat="false" ht="15.65" hidden="false" customHeight="true" outlineLevel="0" collapsed="false">
      <c r="A2026" s="2" t="str">
        <f aca="false">HYPERLINK("https://www.fabsurplus.com/sdi_catalog/salesItemDetails.do?id=108272")</f>
        <v>https://www.fabsurplus.com/sdi_catalog/salesItemDetails.do?id=108272</v>
      </c>
      <c r="B2026" s="2" t="s">
        <v>5390</v>
      </c>
      <c r="C2026" s="2" t="s">
        <v>5375</v>
      </c>
      <c r="D2026" s="2" t="s">
        <v>5391</v>
      </c>
      <c r="E2026" s="2" t="s">
        <v>4164</v>
      </c>
      <c r="F2026" s="2" t="s">
        <v>16</v>
      </c>
      <c r="G2026" s="2" t="s">
        <v>2327</v>
      </c>
      <c r="H2026" s="2"/>
      <c r="I2026" s="3" t="n">
        <v>39234</v>
      </c>
      <c r="J2026" s="2" t="s">
        <v>19</v>
      </c>
      <c r="K2026" s="2"/>
      <c r="L2026" s="2" t="s">
        <v>2375</v>
      </c>
    </row>
    <row r="2027" customFormat="false" ht="15.65" hidden="false" customHeight="true" outlineLevel="0" collapsed="false">
      <c r="A2027" s="5" t="str">
        <f aca="false">HYPERLINK("https://www.fabsurplus.com/sdi_catalog/salesItemDetails.do?id=83739")</f>
        <v>https://www.fabsurplus.com/sdi_catalog/salesItemDetails.do?id=83739</v>
      </c>
      <c r="B2027" s="5" t="s">
        <v>5392</v>
      </c>
      <c r="C2027" s="5" t="s">
        <v>5393</v>
      </c>
      <c r="D2027" s="5" t="s">
        <v>5394</v>
      </c>
      <c r="E2027" s="5" t="s">
        <v>5395</v>
      </c>
      <c r="F2027" s="5" t="s">
        <v>3320</v>
      </c>
      <c r="G2027" s="5" t="s">
        <v>165</v>
      </c>
      <c r="H2027" s="5" t="s">
        <v>18</v>
      </c>
      <c r="I2027" s="5"/>
      <c r="J2027" s="5" t="s">
        <v>19</v>
      </c>
      <c r="K2027" s="5" t="s">
        <v>20</v>
      </c>
      <c r="L2027" s="7" t="s">
        <v>5396</v>
      </c>
    </row>
    <row r="2028" customFormat="false" ht="15.65" hidden="false" customHeight="true" outlineLevel="0" collapsed="false">
      <c r="A2028" s="2" t="str">
        <f aca="false">HYPERLINK("https://www.fabsurplus.com/sdi_catalog/salesItemDetails.do?id=94494")</f>
        <v>https://www.fabsurplus.com/sdi_catalog/salesItemDetails.do?id=94494</v>
      </c>
      <c r="B2028" s="2" t="s">
        <v>5397</v>
      </c>
      <c r="C2028" s="2" t="s">
        <v>5393</v>
      </c>
      <c r="D2028" s="2" t="s">
        <v>5398</v>
      </c>
      <c r="E2028" s="2" t="s">
        <v>5399</v>
      </c>
      <c r="F2028" s="2" t="s">
        <v>561</v>
      </c>
      <c r="G2028" s="2" t="s">
        <v>2905</v>
      </c>
      <c r="H2028" s="2" t="s">
        <v>32</v>
      </c>
      <c r="I2028" s="3" t="n">
        <v>37773</v>
      </c>
      <c r="J2028" s="2" t="s">
        <v>19</v>
      </c>
      <c r="K2028" s="2" t="s">
        <v>20</v>
      </c>
      <c r="L2028" s="4" t="s">
        <v>5400</v>
      </c>
    </row>
    <row r="2029" customFormat="false" ht="15.65" hidden="false" customHeight="true" outlineLevel="0" collapsed="false">
      <c r="A2029" s="5" t="str">
        <f aca="false">HYPERLINK("https://www.fabsurplus.com/sdi_catalog/salesItemDetails.do?id=83796")</f>
        <v>https://www.fabsurplus.com/sdi_catalog/salesItemDetails.do?id=83796</v>
      </c>
      <c r="B2029" s="5" t="s">
        <v>5401</v>
      </c>
      <c r="C2029" s="5" t="s">
        <v>5393</v>
      </c>
      <c r="D2029" s="5" t="s">
        <v>5402</v>
      </c>
      <c r="E2029" s="5" t="s">
        <v>5403</v>
      </c>
      <c r="F2029" s="5" t="s">
        <v>16</v>
      </c>
      <c r="G2029" s="5" t="s">
        <v>104</v>
      </c>
      <c r="H2029" s="5" t="s">
        <v>18</v>
      </c>
      <c r="I2029" s="5"/>
      <c r="J2029" s="5" t="s">
        <v>19</v>
      </c>
      <c r="K2029" s="5" t="s">
        <v>20</v>
      </c>
      <c r="L2029" s="7" t="s">
        <v>5404</v>
      </c>
    </row>
    <row r="2030" customFormat="false" ht="15.65" hidden="false" customHeight="true" outlineLevel="0" collapsed="false">
      <c r="A2030" s="2" t="str">
        <f aca="false">HYPERLINK("https://www.fabsurplus.com/sdi_catalog/salesItemDetails.do?id=83797")</f>
        <v>https://www.fabsurplus.com/sdi_catalog/salesItemDetails.do?id=83797</v>
      </c>
      <c r="B2030" s="2" t="s">
        <v>5405</v>
      </c>
      <c r="C2030" s="2" t="s">
        <v>5393</v>
      </c>
      <c r="D2030" s="2" t="s">
        <v>5406</v>
      </c>
      <c r="E2030" s="2" t="s">
        <v>5407</v>
      </c>
      <c r="F2030" s="2" t="s">
        <v>16</v>
      </c>
      <c r="G2030" s="2" t="s">
        <v>104</v>
      </c>
      <c r="H2030" s="2" t="s">
        <v>18</v>
      </c>
      <c r="I2030" s="2"/>
      <c r="J2030" s="2" t="s">
        <v>19</v>
      </c>
      <c r="K2030" s="2" t="s">
        <v>20</v>
      </c>
      <c r="L2030" s="4" t="s">
        <v>5408</v>
      </c>
    </row>
    <row r="2031" customFormat="false" ht="15.65" hidden="false" customHeight="true" outlineLevel="0" collapsed="false">
      <c r="A2031" s="5" t="str">
        <f aca="false">HYPERLINK("https://www.fabsurplus.com/sdi_catalog/salesItemDetails.do?id=83798")</f>
        <v>https://www.fabsurplus.com/sdi_catalog/salesItemDetails.do?id=83798</v>
      </c>
      <c r="B2031" s="5" t="s">
        <v>5409</v>
      </c>
      <c r="C2031" s="5" t="s">
        <v>5393</v>
      </c>
      <c r="D2031" s="5" t="s">
        <v>5410</v>
      </c>
      <c r="E2031" s="5" t="s">
        <v>5411</v>
      </c>
      <c r="F2031" s="5" t="s">
        <v>16</v>
      </c>
      <c r="G2031" s="5" t="s">
        <v>104</v>
      </c>
      <c r="H2031" s="5" t="s">
        <v>18</v>
      </c>
      <c r="I2031" s="5"/>
      <c r="J2031" s="5" t="s">
        <v>19</v>
      </c>
      <c r="K2031" s="5" t="s">
        <v>20</v>
      </c>
      <c r="L2031" s="7" t="s">
        <v>5412</v>
      </c>
    </row>
    <row r="2032" customFormat="false" ht="15.65" hidden="false" customHeight="true" outlineLevel="0" collapsed="false">
      <c r="A2032" s="2" t="str">
        <f aca="false">HYPERLINK("https://www.fabsurplus.com/sdi_catalog/salesItemDetails.do?id=83799")</f>
        <v>https://www.fabsurplus.com/sdi_catalog/salesItemDetails.do?id=83799</v>
      </c>
      <c r="B2032" s="2" t="s">
        <v>5413</v>
      </c>
      <c r="C2032" s="2" t="s">
        <v>5393</v>
      </c>
      <c r="D2032" s="2" t="s">
        <v>5414</v>
      </c>
      <c r="E2032" s="2" t="s">
        <v>5415</v>
      </c>
      <c r="F2032" s="2" t="s">
        <v>16</v>
      </c>
      <c r="G2032" s="2" t="s">
        <v>104</v>
      </c>
      <c r="H2032" s="2" t="s">
        <v>18</v>
      </c>
      <c r="I2032" s="2"/>
      <c r="J2032" s="2" t="s">
        <v>19</v>
      </c>
      <c r="K2032" s="2" t="s">
        <v>20</v>
      </c>
      <c r="L2032" s="4" t="s">
        <v>5416</v>
      </c>
    </row>
    <row r="2033" customFormat="false" ht="15.65" hidden="false" customHeight="true" outlineLevel="0" collapsed="false">
      <c r="A2033" s="5" t="str">
        <f aca="false">HYPERLINK("https://www.fabsurplus.com/sdi_catalog/salesItemDetails.do?id=83801")</f>
        <v>https://www.fabsurplus.com/sdi_catalog/salesItemDetails.do?id=83801</v>
      </c>
      <c r="B2033" s="5" t="s">
        <v>5417</v>
      </c>
      <c r="C2033" s="5" t="s">
        <v>5393</v>
      </c>
      <c r="D2033" s="5" t="s">
        <v>5418</v>
      </c>
      <c r="E2033" s="5" t="s">
        <v>5419</v>
      </c>
      <c r="F2033" s="5" t="s">
        <v>16</v>
      </c>
      <c r="G2033" s="5" t="s">
        <v>104</v>
      </c>
      <c r="H2033" s="5" t="s">
        <v>18</v>
      </c>
      <c r="I2033" s="5"/>
      <c r="J2033" s="5" t="s">
        <v>19</v>
      </c>
      <c r="K2033" s="5" t="s">
        <v>20</v>
      </c>
      <c r="L2033" s="7" t="s">
        <v>5420</v>
      </c>
    </row>
    <row r="2034" customFormat="false" ht="15.65" hidden="false" customHeight="true" outlineLevel="0" collapsed="false">
      <c r="A2034" s="2" t="str">
        <f aca="false">HYPERLINK("https://www.fabsurplus.com/sdi_catalog/salesItemDetails.do?id=83802")</f>
        <v>https://www.fabsurplus.com/sdi_catalog/salesItemDetails.do?id=83802</v>
      </c>
      <c r="B2034" s="2" t="s">
        <v>5421</v>
      </c>
      <c r="C2034" s="2" t="s">
        <v>5393</v>
      </c>
      <c r="D2034" s="2" t="s">
        <v>5422</v>
      </c>
      <c r="E2034" s="2" t="s">
        <v>5423</v>
      </c>
      <c r="F2034" s="2" t="s">
        <v>16</v>
      </c>
      <c r="G2034" s="2" t="s">
        <v>104</v>
      </c>
      <c r="H2034" s="2" t="s">
        <v>18</v>
      </c>
      <c r="I2034" s="2"/>
      <c r="J2034" s="2" t="s">
        <v>19</v>
      </c>
      <c r="K2034" s="2" t="s">
        <v>20</v>
      </c>
      <c r="L2034" s="4" t="s">
        <v>5424</v>
      </c>
    </row>
    <row r="2035" customFormat="false" ht="15.65" hidden="false" customHeight="true" outlineLevel="0" collapsed="false">
      <c r="A2035" s="5" t="str">
        <f aca="false">HYPERLINK("https://www.fabsurplus.com/sdi_catalog/salesItemDetails.do?id=83803")</f>
        <v>https://www.fabsurplus.com/sdi_catalog/salesItemDetails.do?id=83803</v>
      </c>
      <c r="B2035" s="5" t="s">
        <v>5425</v>
      </c>
      <c r="C2035" s="5" t="s">
        <v>5393</v>
      </c>
      <c r="D2035" s="5" t="s">
        <v>5426</v>
      </c>
      <c r="E2035" s="5" t="s">
        <v>5427</v>
      </c>
      <c r="F2035" s="5" t="s">
        <v>16</v>
      </c>
      <c r="G2035" s="5" t="s">
        <v>104</v>
      </c>
      <c r="H2035" s="5" t="s">
        <v>18</v>
      </c>
      <c r="I2035" s="5"/>
      <c r="J2035" s="5" t="s">
        <v>19</v>
      </c>
      <c r="K2035" s="5" t="s">
        <v>20</v>
      </c>
      <c r="L2035" s="7" t="s">
        <v>5428</v>
      </c>
    </row>
    <row r="2036" customFormat="false" ht="15.65" hidden="false" customHeight="true" outlineLevel="0" collapsed="false">
      <c r="A2036" s="2" t="str">
        <f aca="false">HYPERLINK("https://www.fabsurplus.com/sdi_catalog/salesItemDetails.do?id=83804")</f>
        <v>https://www.fabsurplus.com/sdi_catalog/salesItemDetails.do?id=83804</v>
      </c>
      <c r="B2036" s="2" t="s">
        <v>5429</v>
      </c>
      <c r="C2036" s="2" t="s">
        <v>5393</v>
      </c>
      <c r="D2036" s="2" t="s">
        <v>5430</v>
      </c>
      <c r="E2036" s="2" t="s">
        <v>5431</v>
      </c>
      <c r="F2036" s="2" t="s">
        <v>16</v>
      </c>
      <c r="G2036" s="2"/>
      <c r="H2036" s="2" t="s">
        <v>18</v>
      </c>
      <c r="I2036" s="2"/>
      <c r="J2036" s="2" t="s">
        <v>19</v>
      </c>
      <c r="K2036" s="2" t="s">
        <v>20</v>
      </c>
      <c r="L2036" s="4" t="s">
        <v>5432</v>
      </c>
    </row>
    <row r="2037" customFormat="false" ht="15.65" hidden="false" customHeight="true" outlineLevel="0" collapsed="false">
      <c r="A2037" s="5" t="str">
        <f aca="false">HYPERLINK("https://www.fabsurplus.com/sdi_catalog/salesItemDetails.do?id=83813")</f>
        <v>https://www.fabsurplus.com/sdi_catalog/salesItemDetails.do?id=83813</v>
      </c>
      <c r="B2037" s="5" t="s">
        <v>5433</v>
      </c>
      <c r="C2037" s="5" t="s">
        <v>5393</v>
      </c>
      <c r="D2037" s="5" t="s">
        <v>5434</v>
      </c>
      <c r="E2037" s="5" t="s">
        <v>5435</v>
      </c>
      <c r="F2037" s="5" t="s">
        <v>151</v>
      </c>
      <c r="G2037" s="5" t="s">
        <v>104</v>
      </c>
      <c r="H2037" s="5" t="s">
        <v>18</v>
      </c>
      <c r="I2037" s="5"/>
      <c r="J2037" s="5" t="s">
        <v>19</v>
      </c>
      <c r="K2037" s="5" t="s">
        <v>20</v>
      </c>
      <c r="L2037" s="7" t="s">
        <v>5436</v>
      </c>
    </row>
    <row r="2038" customFormat="false" ht="15.65" hidden="false" customHeight="true" outlineLevel="0" collapsed="false">
      <c r="A2038" s="2" t="str">
        <f aca="false">HYPERLINK("https://www.fabsurplus.com/sdi_catalog/salesItemDetails.do?id=83814")</f>
        <v>https://www.fabsurplus.com/sdi_catalog/salesItemDetails.do?id=83814</v>
      </c>
      <c r="B2038" s="2" t="s">
        <v>5437</v>
      </c>
      <c r="C2038" s="2" t="s">
        <v>5393</v>
      </c>
      <c r="D2038" s="2" t="s">
        <v>5438</v>
      </c>
      <c r="E2038" s="2" t="s">
        <v>5439</v>
      </c>
      <c r="F2038" s="2" t="s">
        <v>16</v>
      </c>
      <c r="G2038" s="2" t="s">
        <v>104</v>
      </c>
      <c r="H2038" s="2" t="s">
        <v>18</v>
      </c>
      <c r="I2038" s="2"/>
      <c r="J2038" s="2" t="s">
        <v>19</v>
      </c>
      <c r="K2038" s="2" t="s">
        <v>20</v>
      </c>
      <c r="L2038" s="4" t="s">
        <v>5440</v>
      </c>
    </row>
    <row r="2039" customFormat="false" ht="15.65" hidden="false" customHeight="true" outlineLevel="0" collapsed="false">
      <c r="A2039" s="5" t="str">
        <f aca="false">HYPERLINK("https://www.fabsurplus.com/sdi_catalog/salesItemDetails.do?id=83815")</f>
        <v>https://www.fabsurplus.com/sdi_catalog/salesItemDetails.do?id=83815</v>
      </c>
      <c r="B2039" s="5" t="s">
        <v>5441</v>
      </c>
      <c r="C2039" s="5" t="s">
        <v>5393</v>
      </c>
      <c r="D2039" s="5" t="s">
        <v>5442</v>
      </c>
      <c r="E2039" s="5" t="s">
        <v>5443</v>
      </c>
      <c r="F2039" s="5" t="s">
        <v>16</v>
      </c>
      <c r="G2039" s="5" t="s">
        <v>104</v>
      </c>
      <c r="H2039" s="5" t="s">
        <v>18</v>
      </c>
      <c r="I2039" s="5"/>
      <c r="J2039" s="5" t="s">
        <v>19</v>
      </c>
      <c r="K2039" s="5" t="s">
        <v>20</v>
      </c>
      <c r="L2039" s="7" t="s">
        <v>5444</v>
      </c>
    </row>
    <row r="2040" customFormat="false" ht="15.65" hidden="false" customHeight="true" outlineLevel="0" collapsed="false">
      <c r="A2040" s="2" t="str">
        <f aca="false">HYPERLINK("https://www.fabsurplus.com/sdi_catalog/salesItemDetails.do?id=83816")</f>
        <v>https://www.fabsurplus.com/sdi_catalog/salesItemDetails.do?id=83816</v>
      </c>
      <c r="B2040" s="2" t="s">
        <v>5445</v>
      </c>
      <c r="C2040" s="2" t="s">
        <v>5393</v>
      </c>
      <c r="D2040" s="2" t="s">
        <v>5446</v>
      </c>
      <c r="E2040" s="2" t="s">
        <v>5447</v>
      </c>
      <c r="F2040" s="2" t="s">
        <v>16</v>
      </c>
      <c r="G2040" s="2"/>
      <c r="H2040" s="2" t="s">
        <v>18</v>
      </c>
      <c r="I2040" s="2"/>
      <c r="J2040" s="2" t="s">
        <v>19</v>
      </c>
      <c r="K2040" s="2" t="s">
        <v>20</v>
      </c>
      <c r="L2040" s="4" t="s">
        <v>5448</v>
      </c>
    </row>
    <row r="2041" customFormat="false" ht="15.65" hidden="false" customHeight="true" outlineLevel="0" collapsed="false">
      <c r="A2041" s="5" t="str">
        <f aca="false">HYPERLINK("https://www.fabsurplus.com/sdi_catalog/salesItemDetails.do?id=83817")</f>
        <v>https://www.fabsurplus.com/sdi_catalog/salesItemDetails.do?id=83817</v>
      </c>
      <c r="B2041" s="5" t="s">
        <v>5449</v>
      </c>
      <c r="C2041" s="5" t="s">
        <v>5393</v>
      </c>
      <c r="D2041" s="5" t="s">
        <v>5450</v>
      </c>
      <c r="E2041" s="5" t="s">
        <v>5427</v>
      </c>
      <c r="F2041" s="5" t="s">
        <v>16</v>
      </c>
      <c r="G2041" s="5" t="s">
        <v>104</v>
      </c>
      <c r="H2041" s="5" t="s">
        <v>18</v>
      </c>
      <c r="I2041" s="5"/>
      <c r="J2041" s="5" t="s">
        <v>19</v>
      </c>
      <c r="K2041" s="5" t="s">
        <v>20</v>
      </c>
      <c r="L2041" s="7" t="s">
        <v>5451</v>
      </c>
    </row>
    <row r="2042" customFormat="false" ht="15.65" hidden="false" customHeight="true" outlineLevel="0" collapsed="false">
      <c r="A2042" s="2" t="str">
        <f aca="false">HYPERLINK("https://www.fabsurplus.com/sdi_catalog/salesItemDetails.do?id=83818")</f>
        <v>https://www.fabsurplus.com/sdi_catalog/salesItemDetails.do?id=83818</v>
      </c>
      <c r="B2042" s="2" t="s">
        <v>5452</v>
      </c>
      <c r="C2042" s="2" t="s">
        <v>5393</v>
      </c>
      <c r="D2042" s="2" t="s">
        <v>5453</v>
      </c>
      <c r="E2042" s="2" t="s">
        <v>5454</v>
      </c>
      <c r="F2042" s="2" t="s">
        <v>16</v>
      </c>
      <c r="G2042" s="2" t="s">
        <v>104</v>
      </c>
      <c r="H2042" s="2" t="s">
        <v>18</v>
      </c>
      <c r="I2042" s="2"/>
      <c r="J2042" s="2" t="s">
        <v>19</v>
      </c>
      <c r="K2042" s="2" t="s">
        <v>20</v>
      </c>
      <c r="L2042" s="4" t="s">
        <v>5455</v>
      </c>
    </row>
    <row r="2043" customFormat="false" ht="15.65" hidden="false" customHeight="true" outlineLevel="0" collapsed="false">
      <c r="A2043" s="5" t="str">
        <f aca="false">HYPERLINK("https://www.fabsurplus.com/sdi_catalog/salesItemDetails.do?id=83820")</f>
        <v>https://www.fabsurplus.com/sdi_catalog/salesItemDetails.do?id=83820</v>
      </c>
      <c r="B2043" s="5" t="s">
        <v>5456</v>
      </c>
      <c r="C2043" s="5" t="s">
        <v>5393</v>
      </c>
      <c r="D2043" s="5" t="s">
        <v>5457</v>
      </c>
      <c r="E2043" s="5" t="s">
        <v>5458</v>
      </c>
      <c r="F2043" s="5" t="s">
        <v>16</v>
      </c>
      <c r="G2043" s="5" t="s">
        <v>104</v>
      </c>
      <c r="H2043" s="5" t="s">
        <v>18</v>
      </c>
      <c r="I2043" s="5"/>
      <c r="J2043" s="5" t="s">
        <v>19</v>
      </c>
      <c r="K2043" s="5" t="s">
        <v>20</v>
      </c>
      <c r="L2043" s="7" t="s">
        <v>5459</v>
      </c>
    </row>
    <row r="2044" customFormat="false" ht="15.65" hidden="false" customHeight="true" outlineLevel="0" collapsed="false">
      <c r="A2044" s="2" t="str">
        <f aca="false">HYPERLINK("https://www.fabsurplus.com/sdi_catalog/salesItemDetails.do?id=83822")</f>
        <v>https://www.fabsurplus.com/sdi_catalog/salesItemDetails.do?id=83822</v>
      </c>
      <c r="B2044" s="2" t="s">
        <v>5460</v>
      </c>
      <c r="C2044" s="2" t="s">
        <v>5393</v>
      </c>
      <c r="D2044" s="2" t="s">
        <v>5461</v>
      </c>
      <c r="E2044" s="2" t="s">
        <v>5462</v>
      </c>
      <c r="F2044" s="2" t="s">
        <v>16</v>
      </c>
      <c r="G2044" s="2" t="s">
        <v>165</v>
      </c>
      <c r="H2044" s="2" t="s">
        <v>18</v>
      </c>
      <c r="I2044" s="2"/>
      <c r="J2044" s="2" t="s">
        <v>19</v>
      </c>
      <c r="K2044" s="2" t="s">
        <v>20</v>
      </c>
      <c r="L2044" s="4" t="s">
        <v>5463</v>
      </c>
    </row>
    <row r="2045" customFormat="false" ht="15.65" hidden="false" customHeight="true" outlineLevel="0" collapsed="false">
      <c r="A2045" s="5" t="str">
        <f aca="false">HYPERLINK("https://www.fabsurplus.com/sdi_catalog/salesItemDetails.do?id=93072")</f>
        <v>https://www.fabsurplus.com/sdi_catalog/salesItemDetails.do?id=93072</v>
      </c>
      <c r="B2045" s="5" t="s">
        <v>5464</v>
      </c>
      <c r="C2045" s="5" t="s">
        <v>5393</v>
      </c>
      <c r="D2045" s="5" t="s">
        <v>5398</v>
      </c>
      <c r="E2045" s="5" t="s">
        <v>5465</v>
      </c>
      <c r="F2045" s="5" t="s">
        <v>16</v>
      </c>
      <c r="G2045" s="5" t="s">
        <v>38</v>
      </c>
      <c r="H2045" s="5" t="s">
        <v>32</v>
      </c>
      <c r="I2045" s="6" t="n">
        <v>38473</v>
      </c>
      <c r="J2045" s="5" t="s">
        <v>19</v>
      </c>
      <c r="K2045" s="5" t="s">
        <v>20</v>
      </c>
      <c r="L2045" s="7" t="s">
        <v>5466</v>
      </c>
    </row>
    <row r="2046" customFormat="false" ht="15.65" hidden="false" customHeight="true" outlineLevel="0" collapsed="false">
      <c r="A2046" s="2" t="str">
        <f aca="false">HYPERLINK("https://www.fabsurplus.com/sdi_catalog/salesItemDetails.do?id=83857")</f>
        <v>https://www.fabsurplus.com/sdi_catalog/salesItemDetails.do?id=83857</v>
      </c>
      <c r="B2046" s="2" t="s">
        <v>5467</v>
      </c>
      <c r="C2046" s="2" t="s">
        <v>5393</v>
      </c>
      <c r="D2046" s="2" t="s">
        <v>5468</v>
      </c>
      <c r="E2046" s="2" t="s">
        <v>5469</v>
      </c>
      <c r="F2046" s="2" t="s">
        <v>151</v>
      </c>
      <c r="G2046" s="2" t="s">
        <v>104</v>
      </c>
      <c r="H2046" s="2" t="s">
        <v>18</v>
      </c>
      <c r="I2046" s="2"/>
      <c r="J2046" s="2" t="s">
        <v>19</v>
      </c>
      <c r="K2046" s="2" t="s">
        <v>20</v>
      </c>
      <c r="L2046" s="4" t="s">
        <v>5470</v>
      </c>
    </row>
    <row r="2047" customFormat="false" ht="15.65" hidden="false" customHeight="true" outlineLevel="0" collapsed="false">
      <c r="A2047" s="5" t="str">
        <f aca="false">HYPERLINK("https://www.fabsurplus.com/sdi_catalog/salesItemDetails.do?id=83858")</f>
        <v>https://www.fabsurplus.com/sdi_catalog/salesItemDetails.do?id=83858</v>
      </c>
      <c r="B2047" s="5" t="s">
        <v>5471</v>
      </c>
      <c r="C2047" s="5" t="s">
        <v>5393</v>
      </c>
      <c r="D2047" s="5" t="s">
        <v>5472</v>
      </c>
      <c r="E2047" s="5" t="s">
        <v>5473</v>
      </c>
      <c r="F2047" s="5" t="s">
        <v>151</v>
      </c>
      <c r="G2047" s="5" t="s">
        <v>104</v>
      </c>
      <c r="H2047" s="5" t="s">
        <v>18</v>
      </c>
      <c r="I2047" s="5"/>
      <c r="J2047" s="5" t="s">
        <v>19</v>
      </c>
      <c r="K2047" s="5" t="s">
        <v>20</v>
      </c>
      <c r="L2047" s="7" t="s">
        <v>5474</v>
      </c>
    </row>
    <row r="2048" customFormat="false" ht="15.65" hidden="false" customHeight="true" outlineLevel="0" collapsed="false">
      <c r="A2048" s="2" t="str">
        <f aca="false">HYPERLINK("https://www.fabsurplus.com/sdi_catalog/salesItemDetails.do?id=83859")</f>
        <v>https://www.fabsurplus.com/sdi_catalog/salesItemDetails.do?id=83859</v>
      </c>
      <c r="B2048" s="2" t="s">
        <v>5475</v>
      </c>
      <c r="C2048" s="2" t="s">
        <v>5393</v>
      </c>
      <c r="D2048" s="2" t="s">
        <v>5476</v>
      </c>
      <c r="E2048" s="2" t="s">
        <v>5477</v>
      </c>
      <c r="F2048" s="2" t="s">
        <v>16</v>
      </c>
      <c r="G2048" s="2" t="s">
        <v>104</v>
      </c>
      <c r="H2048" s="2" t="s">
        <v>18</v>
      </c>
      <c r="I2048" s="2"/>
      <c r="J2048" s="2" t="s">
        <v>19</v>
      </c>
      <c r="K2048" s="2" t="s">
        <v>20</v>
      </c>
      <c r="L2048" s="4" t="s">
        <v>5478</v>
      </c>
    </row>
    <row r="2049" customFormat="false" ht="15.65" hidden="false" customHeight="true" outlineLevel="0" collapsed="false">
      <c r="A2049" s="5" t="str">
        <f aca="false">HYPERLINK("https://www.fabsurplus.com/sdi_catalog/salesItemDetails.do?id=83860")</f>
        <v>https://www.fabsurplus.com/sdi_catalog/salesItemDetails.do?id=83860</v>
      </c>
      <c r="B2049" s="5" t="s">
        <v>5479</v>
      </c>
      <c r="C2049" s="5" t="s">
        <v>5393</v>
      </c>
      <c r="D2049" s="5" t="s">
        <v>5480</v>
      </c>
      <c r="E2049" s="5" t="s">
        <v>5481</v>
      </c>
      <c r="F2049" s="5" t="s">
        <v>86</v>
      </c>
      <c r="G2049" s="5" t="s">
        <v>97</v>
      </c>
      <c r="H2049" s="5" t="s">
        <v>18</v>
      </c>
      <c r="I2049" s="5"/>
      <c r="J2049" s="5" t="s">
        <v>19</v>
      </c>
      <c r="K2049" s="5" t="s">
        <v>20</v>
      </c>
      <c r="L2049" s="7" t="s">
        <v>5482</v>
      </c>
    </row>
    <row r="2050" customFormat="false" ht="15.65" hidden="false" customHeight="true" outlineLevel="0" collapsed="false">
      <c r="A2050" s="2" t="str">
        <f aca="false">HYPERLINK("https://www.fabsurplus.com/sdi_catalog/salesItemDetails.do?id=36507")</f>
        <v>https://www.fabsurplus.com/sdi_catalog/salesItemDetails.do?id=36507</v>
      </c>
      <c r="B2050" s="2" t="s">
        <v>5483</v>
      </c>
      <c r="C2050" s="2" t="s">
        <v>5393</v>
      </c>
      <c r="D2050" s="2" t="s">
        <v>5484</v>
      </c>
      <c r="E2050" s="2" t="s">
        <v>5485</v>
      </c>
      <c r="F2050" s="2" t="s">
        <v>16</v>
      </c>
      <c r="G2050" s="2"/>
      <c r="H2050" s="2"/>
      <c r="I2050" s="3" t="n">
        <v>36130</v>
      </c>
      <c r="J2050" s="2" t="s">
        <v>42</v>
      </c>
      <c r="K2050" s="2"/>
      <c r="L2050" s="2"/>
    </row>
    <row r="2051" customFormat="false" ht="15.65" hidden="false" customHeight="true" outlineLevel="0" collapsed="false">
      <c r="A2051" s="5" t="str">
        <f aca="false">HYPERLINK("https://www.fabsurplus.com/sdi_catalog/salesItemDetails.do?id=106656")</f>
        <v>https://www.fabsurplus.com/sdi_catalog/salesItemDetails.do?id=106656</v>
      </c>
      <c r="B2051" s="5" t="s">
        <v>5486</v>
      </c>
      <c r="C2051" s="5" t="s">
        <v>5393</v>
      </c>
      <c r="D2051" s="5" t="s">
        <v>5487</v>
      </c>
      <c r="E2051" s="5" t="s">
        <v>5488</v>
      </c>
      <c r="F2051" s="5" t="s">
        <v>16</v>
      </c>
      <c r="G2051" s="5" t="s">
        <v>5489</v>
      </c>
      <c r="H2051" s="5"/>
      <c r="I2051" s="6" t="n">
        <v>38869</v>
      </c>
      <c r="J2051" s="5" t="s">
        <v>19</v>
      </c>
      <c r="K2051" s="5"/>
      <c r="L2051" s="5" t="s">
        <v>518</v>
      </c>
    </row>
    <row r="2052" customFormat="false" ht="15.65" hidden="false" customHeight="true" outlineLevel="0" collapsed="false">
      <c r="A2052" s="2" t="str">
        <f aca="false">HYPERLINK("https://www.fabsurplus.com/sdi_catalog/salesItemDetails.do?id=106657")</f>
        <v>https://www.fabsurplus.com/sdi_catalog/salesItemDetails.do?id=106657</v>
      </c>
      <c r="B2052" s="2" t="s">
        <v>5490</v>
      </c>
      <c r="C2052" s="2" t="s">
        <v>5393</v>
      </c>
      <c r="D2052" s="2" t="s">
        <v>5487</v>
      </c>
      <c r="E2052" s="2" t="s">
        <v>5488</v>
      </c>
      <c r="F2052" s="2" t="s">
        <v>16</v>
      </c>
      <c r="G2052" s="2" t="s">
        <v>5489</v>
      </c>
      <c r="H2052" s="2"/>
      <c r="I2052" s="3" t="n">
        <v>38869</v>
      </c>
      <c r="J2052" s="2" t="s">
        <v>19</v>
      </c>
      <c r="K2052" s="2"/>
      <c r="L2052" s="2" t="s">
        <v>518</v>
      </c>
    </row>
    <row r="2053" customFormat="false" ht="15.65" hidden="false" customHeight="true" outlineLevel="0" collapsed="false">
      <c r="A2053" s="5" t="str">
        <f aca="false">HYPERLINK("https://www.fabsurplus.com/sdi_catalog/salesItemDetails.do?id=106658")</f>
        <v>https://www.fabsurplus.com/sdi_catalog/salesItemDetails.do?id=106658</v>
      </c>
      <c r="B2053" s="5" t="s">
        <v>5491</v>
      </c>
      <c r="C2053" s="5" t="s">
        <v>5393</v>
      </c>
      <c r="D2053" s="5" t="s">
        <v>5487</v>
      </c>
      <c r="E2053" s="5" t="s">
        <v>5488</v>
      </c>
      <c r="F2053" s="5" t="s">
        <v>16</v>
      </c>
      <c r="G2053" s="5" t="s">
        <v>5489</v>
      </c>
      <c r="H2053" s="5"/>
      <c r="I2053" s="6" t="n">
        <v>38869</v>
      </c>
      <c r="J2053" s="5" t="s">
        <v>19</v>
      </c>
      <c r="K2053" s="5"/>
      <c r="L2053" s="5" t="s">
        <v>518</v>
      </c>
    </row>
    <row r="2054" customFormat="false" ht="15.65" hidden="false" customHeight="true" outlineLevel="0" collapsed="false">
      <c r="A2054" s="2" t="str">
        <f aca="false">HYPERLINK("https://www.fabsurplus.com/sdi_catalog/salesItemDetails.do?id=106659")</f>
        <v>https://www.fabsurplus.com/sdi_catalog/salesItemDetails.do?id=106659</v>
      </c>
      <c r="B2054" s="2" t="s">
        <v>5492</v>
      </c>
      <c r="C2054" s="2" t="s">
        <v>5393</v>
      </c>
      <c r="D2054" s="2" t="s">
        <v>5493</v>
      </c>
      <c r="E2054" s="2" t="s">
        <v>5488</v>
      </c>
      <c r="F2054" s="2" t="s">
        <v>16</v>
      </c>
      <c r="G2054" s="2" t="s">
        <v>5489</v>
      </c>
      <c r="H2054" s="2"/>
      <c r="I2054" s="3" t="n">
        <v>38869</v>
      </c>
      <c r="J2054" s="2" t="s">
        <v>19</v>
      </c>
      <c r="K2054" s="2"/>
      <c r="L2054" s="2" t="s">
        <v>518</v>
      </c>
    </row>
    <row r="2055" customFormat="false" ht="15.65" hidden="false" customHeight="true" outlineLevel="0" collapsed="false">
      <c r="A2055" s="5" t="str">
        <f aca="false">HYPERLINK("https://www.fabsurplus.com/sdi_catalog/salesItemDetails.do?id=106660")</f>
        <v>https://www.fabsurplus.com/sdi_catalog/salesItemDetails.do?id=106660</v>
      </c>
      <c r="B2055" s="5" t="s">
        <v>5494</v>
      </c>
      <c r="C2055" s="5" t="s">
        <v>5393</v>
      </c>
      <c r="D2055" s="5" t="s">
        <v>5493</v>
      </c>
      <c r="E2055" s="5" t="s">
        <v>5488</v>
      </c>
      <c r="F2055" s="5" t="s">
        <v>16</v>
      </c>
      <c r="G2055" s="5" t="s">
        <v>5489</v>
      </c>
      <c r="H2055" s="5"/>
      <c r="I2055" s="6" t="n">
        <v>39234</v>
      </c>
      <c r="J2055" s="5" t="s">
        <v>19</v>
      </c>
      <c r="K2055" s="5"/>
      <c r="L2055" s="5" t="s">
        <v>518</v>
      </c>
    </row>
    <row r="2056" customFormat="false" ht="15.65" hidden="false" customHeight="true" outlineLevel="0" collapsed="false">
      <c r="A2056" s="2" t="str">
        <f aca="false">HYPERLINK("https://www.fabsurplus.com/sdi_catalog/salesItemDetails.do?id=106967")</f>
        <v>https://www.fabsurplus.com/sdi_catalog/salesItemDetails.do?id=106967</v>
      </c>
      <c r="B2056" s="2" t="s">
        <v>5495</v>
      </c>
      <c r="C2056" s="2" t="s">
        <v>5393</v>
      </c>
      <c r="D2056" s="2" t="s">
        <v>5496</v>
      </c>
      <c r="E2056" s="2" t="s">
        <v>5497</v>
      </c>
      <c r="F2056" s="2" t="s">
        <v>16</v>
      </c>
      <c r="G2056" s="2" t="s">
        <v>1491</v>
      </c>
      <c r="H2056" s="2" t="s">
        <v>32</v>
      </c>
      <c r="I2056" s="2"/>
      <c r="J2056" s="2"/>
      <c r="K2056" s="2" t="s">
        <v>20</v>
      </c>
      <c r="L2056" s="4" t="s">
        <v>5498</v>
      </c>
    </row>
    <row r="2057" customFormat="false" ht="15.65" hidden="false" customHeight="true" outlineLevel="0" collapsed="false">
      <c r="A2057" s="5" t="str">
        <f aca="false">HYPERLINK("https://www.fabsurplus.com/sdi_catalog/salesItemDetails.do?id=83936")</f>
        <v>https://www.fabsurplus.com/sdi_catalog/salesItemDetails.do?id=83936</v>
      </c>
      <c r="B2057" s="5" t="s">
        <v>5499</v>
      </c>
      <c r="C2057" s="5" t="s">
        <v>5393</v>
      </c>
      <c r="D2057" s="5" t="s">
        <v>5500</v>
      </c>
      <c r="E2057" s="5" t="s">
        <v>5501</v>
      </c>
      <c r="F2057" s="5" t="s">
        <v>16</v>
      </c>
      <c r="G2057" s="5" t="s">
        <v>104</v>
      </c>
      <c r="H2057" s="5" t="s">
        <v>18</v>
      </c>
      <c r="I2057" s="5"/>
      <c r="J2057" s="5" t="s">
        <v>19</v>
      </c>
      <c r="K2057" s="5" t="s">
        <v>20</v>
      </c>
      <c r="L2057" s="7" t="s">
        <v>5502</v>
      </c>
    </row>
    <row r="2058" customFormat="false" ht="15.65" hidden="false" customHeight="true" outlineLevel="0" collapsed="false">
      <c r="A2058" s="2" t="str">
        <f aca="false">HYPERLINK("https://www.fabsurplus.com/sdi_catalog/salesItemDetails.do?id=91363")</f>
        <v>https://www.fabsurplus.com/sdi_catalog/salesItemDetails.do?id=91363</v>
      </c>
      <c r="B2058" s="2" t="s">
        <v>5503</v>
      </c>
      <c r="C2058" s="2" t="s">
        <v>5393</v>
      </c>
      <c r="D2058" s="2" t="s">
        <v>5398</v>
      </c>
      <c r="E2058" s="2" t="s">
        <v>5465</v>
      </c>
      <c r="F2058" s="2" t="s">
        <v>16</v>
      </c>
      <c r="G2058" s="2" t="s">
        <v>61</v>
      </c>
      <c r="H2058" s="2"/>
      <c r="I2058" s="3" t="n">
        <v>37772.9166666667</v>
      </c>
      <c r="J2058" s="2" t="s">
        <v>19</v>
      </c>
      <c r="K2058" s="2"/>
      <c r="L2058" s="2" t="s">
        <v>142</v>
      </c>
    </row>
    <row r="2059" customFormat="false" ht="15.65" hidden="false" customHeight="true" outlineLevel="0" collapsed="false">
      <c r="A2059" s="5" t="str">
        <f aca="false">HYPERLINK("https://www.fabsurplus.com/sdi_catalog/salesItemDetails.do?id=91364")</f>
        <v>https://www.fabsurplus.com/sdi_catalog/salesItemDetails.do?id=91364</v>
      </c>
      <c r="B2059" s="5" t="s">
        <v>5504</v>
      </c>
      <c r="C2059" s="5" t="s">
        <v>5393</v>
      </c>
      <c r="D2059" s="5" t="s">
        <v>5398</v>
      </c>
      <c r="E2059" s="5" t="s">
        <v>5465</v>
      </c>
      <c r="F2059" s="5" t="s">
        <v>16</v>
      </c>
      <c r="G2059" s="5"/>
      <c r="H2059" s="5"/>
      <c r="I2059" s="5"/>
      <c r="J2059" s="5" t="s">
        <v>19</v>
      </c>
      <c r="K2059" s="5"/>
      <c r="L2059" s="5" t="s">
        <v>142</v>
      </c>
    </row>
    <row r="2060" customFormat="false" ht="15.65" hidden="false" customHeight="true" outlineLevel="0" collapsed="false">
      <c r="A2060" s="2" t="str">
        <f aca="false">HYPERLINK("https://www.fabsurplus.com/sdi_catalog/salesItemDetails.do?id=84210")</f>
        <v>https://www.fabsurplus.com/sdi_catalog/salesItemDetails.do?id=84210</v>
      </c>
      <c r="B2060" s="2" t="s">
        <v>5505</v>
      </c>
      <c r="C2060" s="2" t="s">
        <v>5393</v>
      </c>
      <c r="D2060" s="2" t="s">
        <v>5506</v>
      </c>
      <c r="E2060" s="2" t="s">
        <v>5507</v>
      </c>
      <c r="F2060" s="2" t="s">
        <v>16</v>
      </c>
      <c r="G2060" s="2"/>
      <c r="H2060" s="2" t="s">
        <v>18</v>
      </c>
      <c r="I2060" s="2"/>
      <c r="J2060" s="2" t="s">
        <v>19</v>
      </c>
      <c r="K2060" s="2" t="s">
        <v>20</v>
      </c>
      <c r="L2060" s="4" t="s">
        <v>5508</v>
      </c>
    </row>
    <row r="2061" customFormat="false" ht="15.65" hidden="false" customHeight="true" outlineLevel="0" collapsed="false">
      <c r="A2061" s="5" t="str">
        <f aca="false">HYPERLINK("https://www.fabsurplus.com/sdi_catalog/salesItemDetails.do?id=106899")</f>
        <v>https://www.fabsurplus.com/sdi_catalog/salesItemDetails.do?id=106899</v>
      </c>
      <c r="B2061" s="5" t="s">
        <v>5509</v>
      </c>
      <c r="C2061" s="5" t="s">
        <v>5510</v>
      </c>
      <c r="D2061" s="5" t="s">
        <v>5511</v>
      </c>
      <c r="E2061" s="5" t="s">
        <v>5512</v>
      </c>
      <c r="F2061" s="5" t="s">
        <v>16</v>
      </c>
      <c r="G2061" s="5" t="s">
        <v>97</v>
      </c>
      <c r="H2061" s="5" t="s">
        <v>32</v>
      </c>
      <c r="I2061" s="6" t="n">
        <v>39326</v>
      </c>
      <c r="J2061" s="5" t="s">
        <v>19</v>
      </c>
      <c r="K2061" s="5" t="s">
        <v>2891</v>
      </c>
      <c r="L2061" s="7" t="s">
        <v>5513</v>
      </c>
    </row>
    <row r="2062" customFormat="false" ht="15.65" hidden="false" customHeight="true" outlineLevel="0" collapsed="false">
      <c r="A2062" s="2" t="str">
        <f aca="false">HYPERLINK("https://www.fabsurplus.com/sdi_catalog/salesItemDetails.do?id=108065")</f>
        <v>https://www.fabsurplus.com/sdi_catalog/salesItemDetails.do?id=108065</v>
      </c>
      <c r="B2062" s="2" t="s">
        <v>5514</v>
      </c>
      <c r="C2062" s="2" t="s">
        <v>5515</v>
      </c>
      <c r="D2062" s="2" t="s">
        <v>5516</v>
      </c>
      <c r="E2062" s="2" t="s">
        <v>5517</v>
      </c>
      <c r="F2062" s="2" t="s">
        <v>16</v>
      </c>
      <c r="G2062" s="2" t="s">
        <v>5517</v>
      </c>
      <c r="H2062" s="2"/>
      <c r="I2062" s="2"/>
      <c r="J2062" s="2" t="s">
        <v>19</v>
      </c>
      <c r="K2062" s="2"/>
      <c r="L2062" s="2" t="s">
        <v>5518</v>
      </c>
    </row>
    <row r="2063" customFormat="false" ht="15.65" hidden="false" customHeight="true" outlineLevel="0" collapsed="false">
      <c r="A2063" s="5" t="str">
        <f aca="false">HYPERLINK("https://www.fabsurplus.com/sdi_catalog/salesItemDetails.do?id=108066")</f>
        <v>https://www.fabsurplus.com/sdi_catalog/salesItemDetails.do?id=108066</v>
      </c>
      <c r="B2063" s="5" t="s">
        <v>5519</v>
      </c>
      <c r="C2063" s="5" t="s">
        <v>5515</v>
      </c>
      <c r="D2063" s="5" t="s">
        <v>5520</v>
      </c>
      <c r="E2063" s="5" t="s">
        <v>5521</v>
      </c>
      <c r="F2063" s="5" t="s">
        <v>16</v>
      </c>
      <c r="G2063" s="5" t="s">
        <v>4826</v>
      </c>
      <c r="H2063" s="5"/>
      <c r="I2063" s="5"/>
      <c r="J2063" s="5" t="s">
        <v>19</v>
      </c>
      <c r="K2063" s="5"/>
      <c r="L2063" s="5" t="s">
        <v>5522</v>
      </c>
    </row>
    <row r="2064" customFormat="false" ht="15.65" hidden="false" customHeight="true" outlineLevel="0" collapsed="false">
      <c r="A2064" s="2" t="str">
        <f aca="false">HYPERLINK("https://www.fabsurplus.com/sdi_catalog/salesItemDetails.do?id=79520")</f>
        <v>https://www.fabsurplus.com/sdi_catalog/salesItemDetails.do?id=79520</v>
      </c>
      <c r="B2064" s="2" t="s">
        <v>5523</v>
      </c>
      <c r="C2064" s="2" t="s">
        <v>5524</v>
      </c>
      <c r="D2064" s="2" t="s">
        <v>5525</v>
      </c>
      <c r="E2064" s="2" t="s">
        <v>5526</v>
      </c>
      <c r="F2064" s="2" t="s">
        <v>86</v>
      </c>
      <c r="G2064" s="2"/>
      <c r="H2064" s="2" t="s">
        <v>1395</v>
      </c>
      <c r="I2064" s="3" t="n">
        <v>36892</v>
      </c>
      <c r="J2064" s="2" t="s">
        <v>19</v>
      </c>
      <c r="K2064" s="2" t="s">
        <v>20</v>
      </c>
      <c r="L2064" s="4" t="s">
        <v>5527</v>
      </c>
    </row>
    <row r="2065" customFormat="false" ht="15.65" hidden="false" customHeight="true" outlineLevel="0" collapsed="false">
      <c r="A2065" s="5" t="str">
        <f aca="false">HYPERLINK("https://www.fabsurplus.com/sdi_catalog/salesItemDetails.do?id=109175")</f>
        <v>https://www.fabsurplus.com/sdi_catalog/salesItemDetails.do?id=109175</v>
      </c>
      <c r="B2065" s="5" t="s">
        <v>5528</v>
      </c>
      <c r="C2065" s="5" t="s">
        <v>5529</v>
      </c>
      <c r="D2065" s="5" t="s">
        <v>5530</v>
      </c>
      <c r="E2065" s="5" t="s">
        <v>1763</v>
      </c>
      <c r="F2065" s="5" t="s">
        <v>16</v>
      </c>
      <c r="G2065" s="5" t="s">
        <v>1803</v>
      </c>
      <c r="H2065" s="5"/>
      <c r="I2065" s="5"/>
      <c r="J2065" s="5" t="s">
        <v>19</v>
      </c>
      <c r="K2065" s="5"/>
      <c r="L2065" s="5"/>
    </row>
    <row r="2066" customFormat="false" ht="15.65" hidden="false" customHeight="true" outlineLevel="0" collapsed="false">
      <c r="A2066" s="2" t="str">
        <f aca="false">HYPERLINK("https://www.fabsurplus.com/sdi_catalog/salesItemDetails.do?id=109176")</f>
        <v>https://www.fabsurplus.com/sdi_catalog/salesItemDetails.do?id=109176</v>
      </c>
      <c r="B2066" s="2" t="s">
        <v>5531</v>
      </c>
      <c r="C2066" s="2" t="s">
        <v>5529</v>
      </c>
      <c r="D2066" s="2" t="s">
        <v>5530</v>
      </c>
      <c r="E2066" s="2" t="s">
        <v>1763</v>
      </c>
      <c r="F2066" s="2" t="s">
        <v>16</v>
      </c>
      <c r="G2066" s="2" t="s">
        <v>1803</v>
      </c>
      <c r="H2066" s="2"/>
      <c r="I2066" s="2"/>
      <c r="J2066" s="2" t="s">
        <v>19</v>
      </c>
      <c r="K2066" s="2"/>
      <c r="L2066" s="2"/>
    </row>
    <row r="2067" customFormat="false" ht="15.65" hidden="false" customHeight="true" outlineLevel="0" collapsed="false">
      <c r="A2067" s="5" t="str">
        <f aca="false">HYPERLINK("https://www.fabsurplus.com/sdi_catalog/salesItemDetails.do?id=108412")</f>
        <v>https://www.fabsurplus.com/sdi_catalog/salesItemDetails.do?id=108412</v>
      </c>
      <c r="B2067" s="5" t="s">
        <v>5532</v>
      </c>
      <c r="C2067" s="5" t="s">
        <v>5529</v>
      </c>
      <c r="D2067" s="5" t="s">
        <v>5530</v>
      </c>
      <c r="E2067" s="5" t="s">
        <v>1763</v>
      </c>
      <c r="F2067" s="5" t="s">
        <v>145</v>
      </c>
      <c r="G2067" s="5"/>
      <c r="H2067" s="5"/>
      <c r="I2067" s="5"/>
      <c r="J2067" s="5" t="s">
        <v>19</v>
      </c>
      <c r="K2067" s="5"/>
      <c r="L2067" s="5"/>
    </row>
    <row r="2068" customFormat="false" ht="15.65" hidden="false" customHeight="true" outlineLevel="0" collapsed="false">
      <c r="A2068" s="2" t="str">
        <f aca="false">HYPERLINK("https://www.fabsurplus.com/sdi_catalog/salesItemDetails.do?id=109581")</f>
        <v>https://www.fabsurplus.com/sdi_catalog/salesItemDetails.do?id=109581</v>
      </c>
      <c r="B2068" s="2" t="s">
        <v>5533</v>
      </c>
      <c r="C2068" s="2" t="s">
        <v>5534</v>
      </c>
      <c r="D2068" s="2" t="s">
        <v>5535</v>
      </c>
      <c r="E2068" s="2" t="s">
        <v>5536</v>
      </c>
      <c r="F2068" s="2" t="s">
        <v>16</v>
      </c>
      <c r="G2068" s="2" t="s">
        <v>38</v>
      </c>
      <c r="H2068" s="2" t="s">
        <v>32</v>
      </c>
      <c r="I2068" s="3" t="n">
        <v>37742</v>
      </c>
      <c r="J2068" s="2" t="s">
        <v>19</v>
      </c>
      <c r="K2068" s="2" t="s">
        <v>20</v>
      </c>
      <c r="L2068" s="4" t="s">
        <v>5537</v>
      </c>
    </row>
    <row r="2069" customFormat="false" ht="15.65" hidden="false" customHeight="true" outlineLevel="0" collapsed="false">
      <c r="A2069" s="5" t="str">
        <f aca="false">HYPERLINK("https://www.fabsurplus.com/sdi_catalog/salesItemDetails.do?id=108816")</f>
        <v>https://www.fabsurplus.com/sdi_catalog/salesItemDetails.do?id=108816</v>
      </c>
      <c r="B2069" s="5" t="s">
        <v>5538</v>
      </c>
      <c r="C2069" s="5" t="s">
        <v>5534</v>
      </c>
      <c r="D2069" s="5" t="s">
        <v>5539</v>
      </c>
      <c r="E2069" s="5" t="s">
        <v>5540</v>
      </c>
      <c r="F2069" s="5" t="s">
        <v>16</v>
      </c>
      <c r="G2069" s="5"/>
      <c r="H2069" s="5"/>
      <c r="I2069" s="5"/>
      <c r="J2069" s="5" t="s">
        <v>42</v>
      </c>
      <c r="K2069" s="5"/>
      <c r="L2069" s="5" t="s">
        <v>131</v>
      </c>
    </row>
    <row r="2070" customFormat="false" ht="15.65" hidden="false" customHeight="true" outlineLevel="0" collapsed="false">
      <c r="A2070" s="2" t="str">
        <f aca="false">HYPERLINK("https://www.fabsurplus.com/sdi_catalog/salesItemDetails.do?id=109588")</f>
        <v>https://www.fabsurplus.com/sdi_catalog/salesItemDetails.do?id=109588</v>
      </c>
      <c r="B2070" s="2" t="s">
        <v>5541</v>
      </c>
      <c r="C2070" s="2" t="s">
        <v>5534</v>
      </c>
      <c r="D2070" s="2" t="s">
        <v>5542</v>
      </c>
      <c r="E2070" s="2" t="s">
        <v>5543</v>
      </c>
      <c r="F2070" s="2" t="s">
        <v>16</v>
      </c>
      <c r="G2070" s="2" t="s">
        <v>1293</v>
      </c>
      <c r="H2070" s="2"/>
      <c r="I2070" s="2"/>
      <c r="J2070" s="2" t="s">
        <v>42</v>
      </c>
      <c r="K2070" s="2"/>
      <c r="L2070" s="2" t="s">
        <v>5544</v>
      </c>
    </row>
    <row r="2071" customFormat="false" ht="15.65" hidden="false" customHeight="true" outlineLevel="0" collapsed="false">
      <c r="A2071" s="5" t="str">
        <f aca="false">HYPERLINK("https://www.fabsurplus.com/sdi_catalog/salesItemDetails.do?id=109593")</f>
        <v>https://www.fabsurplus.com/sdi_catalog/salesItemDetails.do?id=109593</v>
      </c>
      <c r="B2071" s="5" t="s">
        <v>5545</v>
      </c>
      <c r="C2071" s="5" t="s">
        <v>5534</v>
      </c>
      <c r="D2071" s="5" t="s">
        <v>5546</v>
      </c>
      <c r="E2071" s="5" t="s">
        <v>5547</v>
      </c>
      <c r="F2071" s="5" t="s">
        <v>16</v>
      </c>
      <c r="G2071" s="5" t="s">
        <v>61</v>
      </c>
      <c r="H2071" s="5"/>
      <c r="I2071" s="5"/>
      <c r="J2071" s="5" t="s">
        <v>42</v>
      </c>
      <c r="K2071" s="5"/>
      <c r="L2071" s="5" t="s">
        <v>5548</v>
      </c>
    </row>
    <row r="2072" customFormat="false" ht="15.65" hidden="false" customHeight="true" outlineLevel="0" collapsed="false">
      <c r="A2072" s="2" t="str">
        <f aca="false">HYPERLINK("https://www.fabsurplus.com/sdi_catalog/salesItemDetails.do?id=109594")</f>
        <v>https://www.fabsurplus.com/sdi_catalog/salesItemDetails.do?id=109594</v>
      </c>
      <c r="B2072" s="2" t="s">
        <v>5549</v>
      </c>
      <c r="C2072" s="2" t="s">
        <v>5534</v>
      </c>
      <c r="D2072" s="2" t="s">
        <v>5542</v>
      </c>
      <c r="E2072" s="2" t="s">
        <v>5543</v>
      </c>
      <c r="F2072" s="2" t="s">
        <v>16</v>
      </c>
      <c r="G2072" s="2" t="s">
        <v>1293</v>
      </c>
      <c r="H2072" s="2"/>
      <c r="I2072" s="2"/>
      <c r="J2072" s="2" t="s">
        <v>42</v>
      </c>
      <c r="K2072" s="2"/>
      <c r="L2072" s="2" t="s">
        <v>5550</v>
      </c>
    </row>
    <row r="2073" customFormat="false" ht="15.65" hidden="false" customHeight="true" outlineLevel="0" collapsed="false">
      <c r="A2073" s="5" t="str">
        <f aca="false">HYPERLINK("https://www.fabsurplus.com/sdi_catalog/salesItemDetails.do?id=109596")</f>
        <v>https://www.fabsurplus.com/sdi_catalog/salesItemDetails.do?id=109596</v>
      </c>
      <c r="B2073" s="5" t="s">
        <v>5551</v>
      </c>
      <c r="C2073" s="5" t="s">
        <v>5534</v>
      </c>
      <c r="D2073" s="5" t="s">
        <v>5535</v>
      </c>
      <c r="E2073" s="5" t="s">
        <v>5552</v>
      </c>
      <c r="F2073" s="5" t="s">
        <v>16</v>
      </c>
      <c r="G2073" s="5" t="s">
        <v>1293</v>
      </c>
      <c r="H2073" s="5"/>
      <c r="I2073" s="5"/>
      <c r="J2073" s="5" t="s">
        <v>42</v>
      </c>
      <c r="K2073" s="5"/>
      <c r="L2073" s="5" t="s">
        <v>2398</v>
      </c>
    </row>
    <row r="2074" customFormat="false" ht="15.65" hidden="false" customHeight="true" outlineLevel="0" collapsed="false">
      <c r="A2074" s="2" t="str">
        <f aca="false">HYPERLINK("https://www.fabsurplus.com/sdi_catalog/salesItemDetails.do?id=109610")</f>
        <v>https://www.fabsurplus.com/sdi_catalog/salesItemDetails.do?id=109610</v>
      </c>
      <c r="B2074" s="2" t="s">
        <v>5553</v>
      </c>
      <c r="C2074" s="2" t="s">
        <v>5534</v>
      </c>
      <c r="D2074" s="2" t="s">
        <v>5554</v>
      </c>
      <c r="E2074" s="2" t="s">
        <v>5555</v>
      </c>
      <c r="F2074" s="2" t="s">
        <v>16</v>
      </c>
      <c r="G2074" s="2" t="s">
        <v>38</v>
      </c>
      <c r="H2074" s="2"/>
      <c r="I2074" s="2"/>
      <c r="J2074" s="2" t="s">
        <v>42</v>
      </c>
      <c r="K2074" s="2"/>
      <c r="L2074" s="2" t="s">
        <v>5550</v>
      </c>
    </row>
    <row r="2075" customFormat="false" ht="15.65" hidden="false" customHeight="true" outlineLevel="0" collapsed="false">
      <c r="A2075" s="5" t="str">
        <f aca="false">HYPERLINK("https://www.fabsurplus.com/sdi_catalog/salesItemDetails.do?id=109611")</f>
        <v>https://www.fabsurplus.com/sdi_catalog/salesItemDetails.do?id=109611</v>
      </c>
      <c r="B2075" s="5" t="s">
        <v>5556</v>
      </c>
      <c r="C2075" s="5" t="s">
        <v>5534</v>
      </c>
      <c r="D2075" s="5" t="s">
        <v>5557</v>
      </c>
      <c r="E2075" s="5" t="s">
        <v>5555</v>
      </c>
      <c r="F2075" s="5" t="s">
        <v>16</v>
      </c>
      <c r="G2075" s="5" t="s">
        <v>1293</v>
      </c>
      <c r="H2075" s="5"/>
      <c r="I2075" s="5"/>
      <c r="J2075" s="5" t="s">
        <v>42</v>
      </c>
      <c r="K2075" s="5"/>
      <c r="L2075" s="5" t="s">
        <v>5550</v>
      </c>
    </row>
    <row r="2076" customFormat="false" ht="15.65" hidden="false" customHeight="true" outlineLevel="0" collapsed="false">
      <c r="A2076" s="2" t="str">
        <f aca="false">HYPERLINK("https://www.fabsurplus.com/sdi_catalog/salesItemDetails.do?id=106158")</f>
        <v>https://www.fabsurplus.com/sdi_catalog/salesItemDetails.do?id=106158</v>
      </c>
      <c r="B2076" s="2" t="s">
        <v>5558</v>
      </c>
      <c r="C2076" s="2" t="s">
        <v>5534</v>
      </c>
      <c r="D2076" s="2" t="s">
        <v>5559</v>
      </c>
      <c r="E2076" s="2" t="s">
        <v>5560</v>
      </c>
      <c r="F2076" s="2" t="s">
        <v>16</v>
      </c>
      <c r="G2076" s="2" t="s">
        <v>1293</v>
      </c>
      <c r="H2076" s="2" t="s">
        <v>32</v>
      </c>
      <c r="I2076" s="3" t="n">
        <v>38139</v>
      </c>
      <c r="J2076" s="2" t="s">
        <v>19</v>
      </c>
      <c r="K2076" s="2" t="s">
        <v>20</v>
      </c>
      <c r="L2076" s="4" t="s">
        <v>5561</v>
      </c>
    </row>
    <row r="2077" customFormat="false" ht="15.65" hidden="false" customHeight="true" outlineLevel="0" collapsed="false">
      <c r="A2077" s="5" t="str">
        <f aca="false">HYPERLINK("https://www.fabsurplus.com/sdi_catalog/salesItemDetails.do?id=101819")</f>
        <v>https://www.fabsurplus.com/sdi_catalog/salesItemDetails.do?id=101819</v>
      </c>
      <c r="B2077" s="5" t="s">
        <v>5562</v>
      </c>
      <c r="C2077" s="5" t="s">
        <v>5534</v>
      </c>
      <c r="D2077" s="5" t="s">
        <v>5563</v>
      </c>
      <c r="E2077" s="5" t="s">
        <v>5564</v>
      </c>
      <c r="F2077" s="5" t="s">
        <v>16</v>
      </c>
      <c r="G2077" s="5" t="s">
        <v>1803</v>
      </c>
      <c r="H2077" s="5"/>
      <c r="I2077" s="5"/>
      <c r="J2077" s="5" t="s">
        <v>42</v>
      </c>
      <c r="K2077" s="5"/>
      <c r="L2077" s="5"/>
    </row>
    <row r="2078" customFormat="false" ht="15.65" hidden="false" customHeight="true" outlineLevel="0" collapsed="false">
      <c r="A2078" s="2" t="str">
        <f aca="false">HYPERLINK("https://www.fabsurplus.com/sdi_catalog/salesItemDetails.do?id=103140")</f>
        <v>https://www.fabsurplus.com/sdi_catalog/salesItemDetails.do?id=103140</v>
      </c>
      <c r="B2078" s="2" t="s">
        <v>5565</v>
      </c>
      <c r="C2078" s="2" t="s">
        <v>5534</v>
      </c>
      <c r="D2078" s="2" t="s">
        <v>5557</v>
      </c>
      <c r="E2078" s="2" t="s">
        <v>5566</v>
      </c>
      <c r="F2078" s="2" t="s">
        <v>16</v>
      </c>
      <c r="G2078" s="2" t="s">
        <v>1293</v>
      </c>
      <c r="H2078" s="2" t="s">
        <v>18</v>
      </c>
      <c r="I2078" s="3" t="n">
        <v>37742</v>
      </c>
      <c r="J2078" s="2" t="s">
        <v>19</v>
      </c>
      <c r="K2078" s="2" t="s">
        <v>5567</v>
      </c>
      <c r="L2078" s="4" t="s">
        <v>5568</v>
      </c>
    </row>
    <row r="2079" customFormat="false" ht="15.65" hidden="false" customHeight="true" outlineLevel="0" collapsed="false">
      <c r="A2079" s="5" t="str">
        <f aca="false">HYPERLINK("https://www.fabsurplus.com/sdi_catalog/salesItemDetails.do?id=106997")</f>
        <v>https://www.fabsurplus.com/sdi_catalog/salesItemDetails.do?id=106997</v>
      </c>
      <c r="B2079" s="5" t="s">
        <v>5569</v>
      </c>
      <c r="C2079" s="5" t="s">
        <v>5534</v>
      </c>
      <c r="D2079" s="5" t="s">
        <v>5546</v>
      </c>
      <c r="E2079" s="5" t="s">
        <v>5570</v>
      </c>
      <c r="F2079" s="5" t="s">
        <v>16</v>
      </c>
      <c r="G2079" s="5" t="s">
        <v>61</v>
      </c>
      <c r="H2079" s="5" t="s">
        <v>32</v>
      </c>
      <c r="I2079" s="5"/>
      <c r="J2079" s="5" t="s">
        <v>42</v>
      </c>
      <c r="K2079" s="5" t="s">
        <v>20</v>
      </c>
      <c r="L2079" s="7" t="s">
        <v>5571</v>
      </c>
    </row>
    <row r="2080" customFormat="false" ht="15.65" hidden="false" customHeight="true" outlineLevel="0" collapsed="false">
      <c r="A2080" s="2" t="str">
        <f aca="false">HYPERLINK("https://www.fabsurplus.com/sdi_catalog/salesItemDetails.do?id=86282")</f>
        <v>https://www.fabsurplus.com/sdi_catalog/salesItemDetails.do?id=86282</v>
      </c>
      <c r="B2080" s="2" t="s">
        <v>5572</v>
      </c>
      <c r="C2080" s="2" t="s">
        <v>5573</v>
      </c>
      <c r="D2080" s="2"/>
      <c r="E2080" s="2"/>
      <c r="F2080" s="2" t="s">
        <v>3473</v>
      </c>
      <c r="G2080" s="2"/>
      <c r="H2080" s="2" t="s">
        <v>18</v>
      </c>
      <c r="I2080" s="2"/>
      <c r="J2080" s="2" t="s">
        <v>19</v>
      </c>
      <c r="K2080" s="2" t="s">
        <v>20</v>
      </c>
      <c r="L2080" s="4" t="s">
        <v>5574</v>
      </c>
    </row>
    <row r="2081" customFormat="false" ht="15.65" hidden="false" customHeight="true" outlineLevel="0" collapsed="false">
      <c r="A2081" s="5" t="str">
        <f aca="false">HYPERLINK("https://www.fabsurplus.com/sdi_catalog/salesItemDetails.do?id=110593")</f>
        <v>https://www.fabsurplus.com/sdi_catalog/salesItemDetails.do?id=110593</v>
      </c>
      <c r="B2081" s="5" t="s">
        <v>5575</v>
      </c>
      <c r="C2081" s="5" t="s">
        <v>5576</v>
      </c>
      <c r="D2081" s="5" t="s">
        <v>5577</v>
      </c>
      <c r="E2081" s="5" t="s">
        <v>5578</v>
      </c>
      <c r="F2081" s="5" t="s">
        <v>16</v>
      </c>
      <c r="G2081" s="5" t="s">
        <v>38</v>
      </c>
      <c r="H2081" s="5" t="s">
        <v>18</v>
      </c>
      <c r="I2081" s="6" t="n">
        <v>42856</v>
      </c>
      <c r="J2081" s="5" t="s">
        <v>19</v>
      </c>
      <c r="K2081" s="5" t="s">
        <v>20</v>
      </c>
      <c r="L2081" s="7" t="s">
        <v>5579</v>
      </c>
    </row>
    <row r="2082" customFormat="false" ht="15.65" hidden="false" customHeight="true" outlineLevel="0" collapsed="false">
      <c r="A2082" s="2" t="str">
        <f aca="false">HYPERLINK("https://www.fabsurplus.com/sdi_catalog/salesItemDetails.do?id=83515")</f>
        <v>https://www.fabsurplus.com/sdi_catalog/salesItemDetails.do?id=83515</v>
      </c>
      <c r="B2082" s="2" t="s">
        <v>5580</v>
      </c>
      <c r="C2082" s="2" t="s">
        <v>5581</v>
      </c>
      <c r="D2082" s="2" t="s">
        <v>5582</v>
      </c>
      <c r="E2082" s="2" t="s">
        <v>5583</v>
      </c>
      <c r="F2082" s="2" t="s">
        <v>16</v>
      </c>
      <c r="G2082" s="2" t="s">
        <v>2803</v>
      </c>
      <c r="H2082" s="2" t="s">
        <v>18</v>
      </c>
      <c r="I2082" s="3" t="n">
        <v>38138.9166666667</v>
      </c>
      <c r="J2082" s="2" t="s">
        <v>19</v>
      </c>
      <c r="K2082" s="2" t="s">
        <v>20</v>
      </c>
      <c r="L2082" s="4" t="s">
        <v>5584</v>
      </c>
    </row>
    <row r="2083" customFormat="false" ht="15.65" hidden="false" customHeight="true" outlineLevel="0" collapsed="false">
      <c r="A2083" s="5" t="str">
        <f aca="false">HYPERLINK("https://www.fabsurplus.com/sdi_catalog/salesItemDetails.do?id=108748")</f>
        <v>https://www.fabsurplus.com/sdi_catalog/salesItemDetails.do?id=108748</v>
      </c>
      <c r="B2083" s="5" t="s">
        <v>5585</v>
      </c>
      <c r="C2083" s="5" t="s">
        <v>5586</v>
      </c>
      <c r="D2083" s="5" t="s">
        <v>5587</v>
      </c>
      <c r="E2083" s="5" t="s">
        <v>5588</v>
      </c>
      <c r="F2083" s="5" t="s">
        <v>16</v>
      </c>
      <c r="G2083" s="5" t="s">
        <v>5589</v>
      </c>
      <c r="H2083" s="5" t="s">
        <v>18</v>
      </c>
      <c r="I2083" s="5"/>
      <c r="J2083" s="5" t="s">
        <v>19</v>
      </c>
      <c r="K2083" s="5" t="s">
        <v>20</v>
      </c>
      <c r="L2083" s="7" t="s">
        <v>5590</v>
      </c>
    </row>
    <row r="2084" customFormat="false" ht="15.65" hidden="false" customHeight="true" outlineLevel="0" collapsed="false">
      <c r="A2084" s="2" t="str">
        <f aca="false">HYPERLINK("https://www.fabsurplus.com/sdi_catalog/salesItemDetails.do?id=108932")</f>
        <v>https://www.fabsurplus.com/sdi_catalog/salesItemDetails.do?id=108932</v>
      </c>
      <c r="B2084" s="2" t="s">
        <v>5591</v>
      </c>
      <c r="C2084" s="2" t="s">
        <v>5592</v>
      </c>
      <c r="D2084" s="2" t="s">
        <v>5593</v>
      </c>
      <c r="E2084" s="2" t="s">
        <v>5594</v>
      </c>
      <c r="F2084" s="2" t="s">
        <v>151</v>
      </c>
      <c r="G2084" s="2" t="s">
        <v>61</v>
      </c>
      <c r="H2084" s="2" t="s">
        <v>32</v>
      </c>
      <c r="I2084" s="3" t="n">
        <v>42522</v>
      </c>
      <c r="J2084" s="2" t="s">
        <v>19</v>
      </c>
      <c r="K2084" s="2" t="s">
        <v>20</v>
      </c>
      <c r="L2084" s="4" t="s">
        <v>5595</v>
      </c>
    </row>
    <row r="2085" customFormat="false" ht="15.65" hidden="false" customHeight="true" outlineLevel="0" collapsed="false">
      <c r="A2085" s="5" t="str">
        <f aca="false">HYPERLINK("https://www.fabsurplus.com/sdi_catalog/salesItemDetails.do?id=106964")</f>
        <v>https://www.fabsurplus.com/sdi_catalog/salesItemDetails.do?id=106964</v>
      </c>
      <c r="B2085" s="5" t="s">
        <v>5596</v>
      </c>
      <c r="C2085" s="5" t="s">
        <v>5592</v>
      </c>
      <c r="D2085" s="5" t="s">
        <v>5597</v>
      </c>
      <c r="E2085" s="5" t="s">
        <v>5598</v>
      </c>
      <c r="F2085" s="5" t="s">
        <v>16</v>
      </c>
      <c r="G2085" s="5" t="s">
        <v>3031</v>
      </c>
      <c r="H2085" s="5" t="s">
        <v>18</v>
      </c>
      <c r="I2085" s="6" t="n">
        <v>38869</v>
      </c>
      <c r="J2085" s="5" t="s">
        <v>19</v>
      </c>
      <c r="K2085" s="5" t="s">
        <v>20</v>
      </c>
      <c r="L2085" s="7" t="s">
        <v>5599</v>
      </c>
    </row>
    <row r="2086" customFormat="false" ht="15.65" hidden="false" customHeight="true" outlineLevel="0" collapsed="false">
      <c r="A2086" s="2" t="str">
        <f aca="false">HYPERLINK("https://www.fabsurplus.com/sdi_catalog/salesItemDetails.do?id=107000")</f>
        <v>https://www.fabsurplus.com/sdi_catalog/salesItemDetails.do?id=107000</v>
      </c>
      <c r="B2086" s="2" t="s">
        <v>5600</v>
      </c>
      <c r="C2086" s="2" t="s">
        <v>5592</v>
      </c>
      <c r="D2086" s="2" t="s">
        <v>5601</v>
      </c>
      <c r="E2086" s="2" t="s">
        <v>5602</v>
      </c>
      <c r="F2086" s="2" t="s">
        <v>16</v>
      </c>
      <c r="G2086" s="2" t="s">
        <v>5603</v>
      </c>
      <c r="H2086" s="2" t="s">
        <v>18</v>
      </c>
      <c r="I2086" s="3" t="n">
        <v>37408</v>
      </c>
      <c r="J2086" s="2" t="s">
        <v>19</v>
      </c>
      <c r="K2086" s="2" t="s">
        <v>20</v>
      </c>
      <c r="L2086" s="4" t="s">
        <v>5604</v>
      </c>
    </row>
    <row r="2087" customFormat="false" ht="15.65" hidden="false" customHeight="true" outlineLevel="0" collapsed="false">
      <c r="A2087" s="5" t="str">
        <f aca="false">HYPERLINK("https://www.fabsurplus.com/sdi_catalog/salesItemDetails.do?id=108026")</f>
        <v>https://www.fabsurplus.com/sdi_catalog/salesItemDetails.do?id=108026</v>
      </c>
      <c r="B2087" s="5" t="s">
        <v>5605</v>
      </c>
      <c r="C2087" s="5" t="s">
        <v>5592</v>
      </c>
      <c r="D2087" s="7" t="s">
        <v>5606</v>
      </c>
      <c r="E2087" s="5" t="s">
        <v>5607</v>
      </c>
      <c r="F2087" s="5" t="s">
        <v>16</v>
      </c>
      <c r="G2087" s="5" t="s">
        <v>61</v>
      </c>
      <c r="H2087" s="5"/>
      <c r="I2087" s="6" t="n">
        <v>41000</v>
      </c>
      <c r="J2087" s="5" t="s">
        <v>19</v>
      </c>
      <c r="K2087" s="5"/>
      <c r="L2087" s="5" t="s">
        <v>142</v>
      </c>
    </row>
    <row r="2088" customFormat="false" ht="15.65" hidden="false" customHeight="true" outlineLevel="0" collapsed="false">
      <c r="A2088" s="2" t="str">
        <f aca="false">HYPERLINK("https://www.fabsurplus.com/sdi_catalog/salesItemDetails.do?id=110602")</f>
        <v>https://www.fabsurplus.com/sdi_catalog/salesItemDetails.do?id=110602</v>
      </c>
      <c r="B2088" s="2" t="s">
        <v>5608</v>
      </c>
      <c r="C2088" s="2" t="s">
        <v>5609</v>
      </c>
      <c r="D2088" s="2" t="s">
        <v>5610</v>
      </c>
      <c r="E2088" s="2" t="s">
        <v>5611</v>
      </c>
      <c r="F2088" s="2" t="s">
        <v>16</v>
      </c>
      <c r="G2088" s="2"/>
      <c r="H2088" s="2" t="s">
        <v>18</v>
      </c>
      <c r="I2088" s="3" t="n">
        <v>37058.8213657407</v>
      </c>
      <c r="J2088" s="2" t="s">
        <v>19</v>
      </c>
      <c r="K2088" s="2"/>
      <c r="L2088" s="2"/>
    </row>
    <row r="2089" customFormat="false" ht="15.65" hidden="false" customHeight="true" outlineLevel="0" collapsed="false">
      <c r="A2089" s="5" t="str">
        <f aca="false">HYPERLINK("https://www.fabsurplus.com/sdi_catalog/salesItemDetails.do?id=106009")</f>
        <v>https://www.fabsurplus.com/sdi_catalog/salesItemDetails.do?id=106009</v>
      </c>
      <c r="B2089" s="5" t="s">
        <v>5612</v>
      </c>
      <c r="C2089" s="5" t="s">
        <v>5609</v>
      </c>
      <c r="D2089" s="5" t="s">
        <v>5613</v>
      </c>
      <c r="E2089" s="5" t="s">
        <v>5614</v>
      </c>
      <c r="F2089" s="5" t="s">
        <v>16</v>
      </c>
      <c r="G2089" s="5" t="s">
        <v>3031</v>
      </c>
      <c r="H2089" s="5" t="s">
        <v>18</v>
      </c>
      <c r="I2089" s="6" t="n">
        <v>37773</v>
      </c>
      <c r="J2089" s="5" t="s">
        <v>19</v>
      </c>
      <c r="K2089" s="5" t="s">
        <v>20</v>
      </c>
      <c r="L2089" s="5"/>
    </row>
    <row r="2090" customFormat="false" ht="15.65" hidden="false" customHeight="true" outlineLevel="0" collapsed="false">
      <c r="A2090" s="2" t="str">
        <f aca="false">HYPERLINK("https://www.fabsurplus.com/sdi_catalog/salesItemDetails.do?id=110310")</f>
        <v>https://www.fabsurplus.com/sdi_catalog/salesItemDetails.do?id=110310</v>
      </c>
      <c r="B2090" s="2" t="s">
        <v>5615</v>
      </c>
      <c r="C2090" s="2" t="s">
        <v>5616</v>
      </c>
      <c r="D2090" s="2" t="s">
        <v>5617</v>
      </c>
      <c r="E2090" s="2" t="s">
        <v>2755</v>
      </c>
      <c r="F2090" s="2" t="s">
        <v>16</v>
      </c>
      <c r="G2090" s="2" t="s">
        <v>165</v>
      </c>
      <c r="H2090" s="2"/>
      <c r="I2090" s="2"/>
      <c r="J2090" s="2" t="s">
        <v>42</v>
      </c>
      <c r="K2090" s="2"/>
      <c r="L2090" s="2" t="s">
        <v>2756</v>
      </c>
    </row>
    <row r="2091" customFormat="false" ht="15.65" hidden="false" customHeight="true" outlineLevel="0" collapsed="false">
      <c r="A2091" s="5" t="str">
        <f aca="false">HYPERLINK("https://www.fabsurplus.com/sdi_catalog/salesItemDetails.do?id=110311")</f>
        <v>https://www.fabsurplus.com/sdi_catalog/salesItemDetails.do?id=110311</v>
      </c>
      <c r="B2091" s="5" t="s">
        <v>5618</v>
      </c>
      <c r="C2091" s="5" t="s">
        <v>5616</v>
      </c>
      <c r="D2091" s="5" t="s">
        <v>5617</v>
      </c>
      <c r="E2091" s="5" t="s">
        <v>2755</v>
      </c>
      <c r="F2091" s="5" t="s">
        <v>16</v>
      </c>
      <c r="G2091" s="5" t="s">
        <v>165</v>
      </c>
      <c r="H2091" s="5"/>
      <c r="I2091" s="5"/>
      <c r="J2091" s="5" t="s">
        <v>42</v>
      </c>
      <c r="K2091" s="5"/>
      <c r="L2091" s="5" t="s">
        <v>2756</v>
      </c>
    </row>
    <row r="2092" customFormat="false" ht="15.65" hidden="false" customHeight="true" outlineLevel="0" collapsed="false">
      <c r="A2092" s="2" t="str">
        <f aca="false">HYPERLINK("https://www.fabsurplus.com/sdi_catalog/salesItemDetails.do?id=110312")</f>
        <v>https://www.fabsurplus.com/sdi_catalog/salesItemDetails.do?id=110312</v>
      </c>
      <c r="B2092" s="2" t="s">
        <v>5619</v>
      </c>
      <c r="C2092" s="2" t="s">
        <v>5616</v>
      </c>
      <c r="D2092" s="2" t="s">
        <v>5617</v>
      </c>
      <c r="E2092" s="2" t="s">
        <v>2755</v>
      </c>
      <c r="F2092" s="2" t="s">
        <v>16</v>
      </c>
      <c r="G2092" s="2" t="s">
        <v>165</v>
      </c>
      <c r="H2092" s="2"/>
      <c r="I2092" s="2"/>
      <c r="J2092" s="2" t="s">
        <v>42</v>
      </c>
      <c r="K2092" s="2"/>
      <c r="L2092" s="2" t="s">
        <v>2756</v>
      </c>
    </row>
    <row r="2093" customFormat="false" ht="15.65" hidden="false" customHeight="true" outlineLevel="0" collapsed="false">
      <c r="A2093" s="5" t="str">
        <f aca="false">HYPERLINK("https://www.fabsurplus.com/sdi_catalog/salesItemDetails.do?id=110313")</f>
        <v>https://www.fabsurplus.com/sdi_catalog/salesItemDetails.do?id=110313</v>
      </c>
      <c r="B2093" s="5" t="s">
        <v>5620</v>
      </c>
      <c r="C2093" s="5" t="s">
        <v>5616</v>
      </c>
      <c r="D2093" s="5" t="s">
        <v>5617</v>
      </c>
      <c r="E2093" s="5" t="s">
        <v>2755</v>
      </c>
      <c r="F2093" s="5" t="s">
        <v>16</v>
      </c>
      <c r="G2093" s="5" t="s">
        <v>165</v>
      </c>
      <c r="H2093" s="5"/>
      <c r="I2093" s="5"/>
      <c r="J2093" s="5" t="s">
        <v>42</v>
      </c>
      <c r="K2093" s="5"/>
      <c r="L2093" s="5" t="s">
        <v>2756</v>
      </c>
    </row>
    <row r="2094" customFormat="false" ht="15.65" hidden="false" customHeight="true" outlineLevel="0" collapsed="false">
      <c r="A2094" s="2" t="str">
        <f aca="false">HYPERLINK("https://www.fabsurplus.com/sdi_catalog/salesItemDetails.do?id=80169")</f>
        <v>https://www.fabsurplus.com/sdi_catalog/salesItemDetails.do?id=80169</v>
      </c>
      <c r="B2094" s="2" t="s">
        <v>5621</v>
      </c>
      <c r="C2094" s="2" t="s">
        <v>5622</v>
      </c>
      <c r="D2094" s="2" t="s">
        <v>5623</v>
      </c>
      <c r="E2094" s="2" t="s">
        <v>5624</v>
      </c>
      <c r="F2094" s="2" t="s">
        <v>16</v>
      </c>
      <c r="G2094" s="2"/>
      <c r="H2094" s="2" t="s">
        <v>1395</v>
      </c>
      <c r="I2094" s="3" t="n">
        <v>41244</v>
      </c>
      <c r="J2094" s="2" t="s">
        <v>19</v>
      </c>
      <c r="K2094" s="2" t="s">
        <v>20</v>
      </c>
      <c r="L2094" s="4" t="s">
        <v>5625</v>
      </c>
    </row>
    <row r="2095" customFormat="false" ht="15.65" hidden="false" customHeight="true" outlineLevel="0" collapsed="false">
      <c r="A2095" s="5" t="str">
        <f aca="false">HYPERLINK("https://www.fabsurplus.com/sdi_catalog/salesItemDetails.do?id=108067")</f>
        <v>https://www.fabsurplus.com/sdi_catalog/salesItemDetails.do?id=108067</v>
      </c>
      <c r="B2095" s="5" t="s">
        <v>5626</v>
      </c>
      <c r="C2095" s="5" t="s">
        <v>5627</v>
      </c>
      <c r="D2095" s="5" t="s">
        <v>5628</v>
      </c>
      <c r="E2095" s="5" t="s">
        <v>5629</v>
      </c>
      <c r="F2095" s="5" t="s">
        <v>151</v>
      </c>
      <c r="G2095" s="5" t="s">
        <v>2327</v>
      </c>
      <c r="H2095" s="5"/>
      <c r="I2095" s="5"/>
      <c r="J2095" s="5" t="s">
        <v>19</v>
      </c>
      <c r="K2095" s="5"/>
      <c r="L2095" s="5" t="s">
        <v>5630</v>
      </c>
    </row>
    <row r="2096" customFormat="false" ht="15.65" hidden="false" customHeight="true" outlineLevel="0" collapsed="false">
      <c r="A2096" s="2" t="str">
        <f aca="false">HYPERLINK("https://www.fabsurplus.com/sdi_catalog/salesItemDetails.do?id=108276")</f>
        <v>https://www.fabsurplus.com/sdi_catalog/salesItemDetails.do?id=108276</v>
      </c>
      <c r="B2096" s="2" t="s">
        <v>5631</v>
      </c>
      <c r="C2096" s="2" t="s">
        <v>5627</v>
      </c>
      <c r="D2096" s="2" t="s">
        <v>5632</v>
      </c>
      <c r="E2096" s="2" t="s">
        <v>5633</v>
      </c>
      <c r="F2096" s="2" t="s">
        <v>16</v>
      </c>
      <c r="G2096" s="2" t="s">
        <v>2327</v>
      </c>
      <c r="H2096" s="2" t="s">
        <v>18</v>
      </c>
      <c r="I2096" s="3" t="n">
        <v>34851</v>
      </c>
      <c r="J2096" s="2" t="s">
        <v>19</v>
      </c>
      <c r="K2096" s="2" t="s">
        <v>20</v>
      </c>
      <c r="L2096" s="2" t="s">
        <v>5634</v>
      </c>
    </row>
    <row r="2097" customFormat="false" ht="15.65" hidden="false" customHeight="true" outlineLevel="0" collapsed="false">
      <c r="A2097" s="5" t="str">
        <f aca="false">HYPERLINK("https://www.fabsurplus.com/sdi_catalog/salesItemDetails.do?id=106894")</f>
        <v>https://www.fabsurplus.com/sdi_catalog/salesItemDetails.do?id=106894</v>
      </c>
      <c r="B2097" s="5" t="s">
        <v>5635</v>
      </c>
      <c r="C2097" s="5" t="s">
        <v>5636</v>
      </c>
      <c r="D2097" s="5" t="s">
        <v>5637</v>
      </c>
      <c r="E2097" s="5" t="s">
        <v>5638</v>
      </c>
      <c r="F2097" s="5" t="s">
        <v>16</v>
      </c>
      <c r="G2097" s="5"/>
      <c r="H2097" s="5" t="s">
        <v>32</v>
      </c>
      <c r="I2097" s="5"/>
      <c r="J2097" s="5" t="s">
        <v>19</v>
      </c>
      <c r="K2097" s="5" t="s">
        <v>20</v>
      </c>
      <c r="L2097" s="7" t="s">
        <v>5639</v>
      </c>
    </row>
    <row r="2098" customFormat="false" ht="15.65" hidden="false" customHeight="true" outlineLevel="0" collapsed="false">
      <c r="A2098" s="2" t="str">
        <f aca="false">HYPERLINK("https://www.fabsurplus.com/sdi_catalog/salesItemDetails.do?id=108953")</f>
        <v>https://www.fabsurplus.com/sdi_catalog/salesItemDetails.do?id=108953</v>
      </c>
      <c r="B2098" s="2" t="s">
        <v>5640</v>
      </c>
      <c r="C2098" s="2" t="s">
        <v>5641</v>
      </c>
      <c r="D2098" s="2" t="s">
        <v>5642</v>
      </c>
      <c r="E2098" s="2" t="s">
        <v>5643</v>
      </c>
      <c r="F2098" s="2" t="s">
        <v>203</v>
      </c>
      <c r="G2098" s="2" t="s">
        <v>5644</v>
      </c>
      <c r="H2098" s="2"/>
      <c r="I2098" s="2"/>
      <c r="J2098" s="2"/>
      <c r="K2098" s="2"/>
      <c r="L2098" s="4" t="s">
        <v>5645</v>
      </c>
    </row>
    <row r="2099" customFormat="false" ht="15.65" hidden="false" customHeight="true" outlineLevel="0" collapsed="false">
      <c r="A2099" s="5" t="str">
        <f aca="false">HYPERLINK("https://www.fabsurplus.com/sdi_catalog/salesItemDetails.do?id=108710")</f>
        <v>https://www.fabsurplus.com/sdi_catalog/salesItemDetails.do?id=108710</v>
      </c>
      <c r="B2099" s="5" t="s">
        <v>5646</v>
      </c>
      <c r="C2099" s="5" t="s">
        <v>5647</v>
      </c>
      <c r="D2099" s="5" t="s">
        <v>5648</v>
      </c>
      <c r="E2099" s="5" t="s">
        <v>5649</v>
      </c>
      <c r="F2099" s="5" t="s">
        <v>16</v>
      </c>
      <c r="G2099" s="5" t="s">
        <v>2905</v>
      </c>
      <c r="H2099" s="5"/>
      <c r="I2099" s="6" t="n">
        <v>41791</v>
      </c>
      <c r="J2099" s="5" t="s">
        <v>42</v>
      </c>
      <c r="K2099" s="5"/>
      <c r="L2099" s="7" t="s">
        <v>5650</v>
      </c>
    </row>
    <row r="2100" customFormat="false" ht="15.65" hidden="false" customHeight="true" outlineLevel="0" collapsed="false">
      <c r="A2100" s="2" t="str">
        <f aca="false">HYPERLINK("https://www.fabsurplus.com/sdi_catalog/salesItemDetails.do?id=108817")</f>
        <v>https://www.fabsurplus.com/sdi_catalog/salesItemDetails.do?id=108817</v>
      </c>
      <c r="B2100" s="2" t="s">
        <v>5651</v>
      </c>
      <c r="C2100" s="2" t="s">
        <v>5652</v>
      </c>
      <c r="D2100" s="2" t="s">
        <v>5653</v>
      </c>
      <c r="E2100" s="2" t="s">
        <v>5654</v>
      </c>
      <c r="F2100" s="2" t="s">
        <v>16</v>
      </c>
      <c r="G2100" s="2" t="s">
        <v>5655</v>
      </c>
      <c r="H2100" s="2" t="s">
        <v>32</v>
      </c>
      <c r="I2100" s="3" t="n">
        <v>35947</v>
      </c>
      <c r="J2100" s="2" t="s">
        <v>42</v>
      </c>
      <c r="K2100" s="2" t="s">
        <v>20</v>
      </c>
      <c r="L2100" s="4" t="s">
        <v>5656</v>
      </c>
    </row>
    <row r="2101" customFormat="false" ht="15.65" hidden="false" customHeight="true" outlineLevel="0" collapsed="false">
      <c r="A2101" s="5" t="str">
        <f aca="false">HYPERLINK("https://www.fabsurplus.com/sdi_catalog/salesItemDetails.do?id=86277")</f>
        <v>https://www.fabsurplus.com/sdi_catalog/salesItemDetails.do?id=86277</v>
      </c>
      <c r="B2101" s="5" t="s">
        <v>5657</v>
      </c>
      <c r="C2101" s="5" t="s">
        <v>5658</v>
      </c>
      <c r="D2101" s="5" t="s">
        <v>5659</v>
      </c>
      <c r="E2101" s="5" t="s">
        <v>5660</v>
      </c>
      <c r="F2101" s="5" t="s">
        <v>16</v>
      </c>
      <c r="G2101" s="5" t="s">
        <v>97</v>
      </c>
      <c r="H2101" s="5" t="s">
        <v>18</v>
      </c>
      <c r="I2101" s="6" t="n">
        <v>36770</v>
      </c>
      <c r="J2101" s="5" t="s">
        <v>19</v>
      </c>
      <c r="K2101" s="5" t="s">
        <v>20</v>
      </c>
      <c r="L2101" s="7" t="s">
        <v>5661</v>
      </c>
    </row>
    <row r="2102" customFormat="false" ht="15.65" hidden="false" customHeight="true" outlineLevel="0" collapsed="false">
      <c r="A2102" s="2" t="str">
        <f aca="false">HYPERLINK("https://www.fabsurplus.com/sdi_catalog/salesItemDetails.do?id=110622")</f>
        <v>https://www.fabsurplus.com/sdi_catalog/salesItemDetails.do?id=110622</v>
      </c>
      <c r="B2102" s="2" t="s">
        <v>5662</v>
      </c>
      <c r="C2102" s="2" t="s">
        <v>5658</v>
      </c>
      <c r="D2102" s="2" t="s">
        <v>5663</v>
      </c>
      <c r="E2102" s="2" t="s">
        <v>5664</v>
      </c>
      <c r="F2102" s="2" t="s">
        <v>16</v>
      </c>
      <c r="G2102" s="2" t="s">
        <v>38</v>
      </c>
      <c r="H2102" s="2"/>
      <c r="I2102" s="2"/>
      <c r="J2102" s="2" t="s">
        <v>19</v>
      </c>
      <c r="K2102" s="2"/>
      <c r="L2102" s="4" t="s">
        <v>1617</v>
      </c>
    </row>
    <row r="2103" customFormat="false" ht="15.65" hidden="false" customHeight="true" outlineLevel="0" collapsed="false">
      <c r="A2103" s="5" t="str">
        <f aca="false">HYPERLINK("https://www.fabsurplus.com/sdi_catalog/salesItemDetails.do?id=106015")</f>
        <v>https://www.fabsurplus.com/sdi_catalog/salesItemDetails.do?id=106015</v>
      </c>
      <c r="B2103" s="5" t="s">
        <v>5665</v>
      </c>
      <c r="C2103" s="5" t="s">
        <v>5658</v>
      </c>
      <c r="D2103" s="5" t="s">
        <v>5659</v>
      </c>
      <c r="E2103" s="5" t="s">
        <v>5666</v>
      </c>
      <c r="F2103" s="5" t="s">
        <v>16</v>
      </c>
      <c r="G2103" s="5" t="s">
        <v>104</v>
      </c>
      <c r="H2103" s="5" t="s">
        <v>32</v>
      </c>
      <c r="I2103" s="5"/>
      <c r="J2103" s="5" t="s">
        <v>19</v>
      </c>
      <c r="K2103" s="5" t="s">
        <v>20</v>
      </c>
      <c r="L2103" s="7" t="s">
        <v>5667</v>
      </c>
    </row>
    <row r="2104" customFormat="false" ht="15.65" hidden="false" customHeight="true" outlineLevel="0" collapsed="false">
      <c r="A2104" s="2" t="str">
        <f aca="false">HYPERLINK("https://www.fabsurplus.com/sdi_catalog/salesItemDetails.do?id=83516")</f>
        <v>https://www.fabsurplus.com/sdi_catalog/salesItemDetails.do?id=83516</v>
      </c>
      <c r="B2104" s="2" t="s">
        <v>5668</v>
      </c>
      <c r="C2104" s="2" t="s">
        <v>5658</v>
      </c>
      <c r="D2104" s="2" t="s">
        <v>5659</v>
      </c>
      <c r="E2104" s="2" t="s">
        <v>5669</v>
      </c>
      <c r="F2104" s="2" t="s">
        <v>16</v>
      </c>
      <c r="G2104" s="2" t="s">
        <v>97</v>
      </c>
      <c r="H2104" s="2" t="s">
        <v>32</v>
      </c>
      <c r="I2104" s="3" t="n">
        <v>36647</v>
      </c>
      <c r="J2104" s="2" t="s">
        <v>19</v>
      </c>
      <c r="K2104" s="2" t="s">
        <v>20</v>
      </c>
      <c r="L2104" s="4" t="s">
        <v>5670</v>
      </c>
    </row>
    <row r="2105" customFormat="false" ht="15.65" hidden="false" customHeight="true" outlineLevel="0" collapsed="false">
      <c r="A2105" s="5" t="str">
        <f aca="false">HYPERLINK("https://www.fabsurplus.com/sdi_catalog/salesItemDetails.do?id=95574")</f>
        <v>https://www.fabsurplus.com/sdi_catalog/salesItemDetails.do?id=95574</v>
      </c>
      <c r="B2105" s="5" t="s">
        <v>5671</v>
      </c>
      <c r="C2105" s="5" t="s">
        <v>5658</v>
      </c>
      <c r="D2105" s="5" t="s">
        <v>5672</v>
      </c>
      <c r="E2105" s="5" t="s">
        <v>5673</v>
      </c>
      <c r="F2105" s="5" t="s">
        <v>16</v>
      </c>
      <c r="G2105" s="5" t="s">
        <v>104</v>
      </c>
      <c r="H2105" s="5" t="s">
        <v>1969</v>
      </c>
      <c r="I2105" s="5"/>
      <c r="J2105" s="5" t="s">
        <v>19</v>
      </c>
      <c r="K2105" s="5" t="s">
        <v>20</v>
      </c>
      <c r="L2105" s="7" t="s">
        <v>5674</v>
      </c>
    </row>
    <row r="2106" customFormat="false" ht="15.65" hidden="false" customHeight="true" outlineLevel="0" collapsed="false">
      <c r="A2106" s="2" t="str">
        <f aca="false">HYPERLINK("https://www.fabsurplus.com/sdi_catalog/salesItemDetails.do?id=95575")</f>
        <v>https://www.fabsurplus.com/sdi_catalog/salesItemDetails.do?id=95575</v>
      </c>
      <c r="B2106" s="2" t="s">
        <v>5675</v>
      </c>
      <c r="C2106" s="2" t="s">
        <v>5658</v>
      </c>
      <c r="D2106" s="2" t="s">
        <v>5676</v>
      </c>
      <c r="E2106" s="2" t="s">
        <v>5677</v>
      </c>
      <c r="F2106" s="2" t="s">
        <v>16</v>
      </c>
      <c r="G2106" s="2" t="s">
        <v>104</v>
      </c>
      <c r="H2106" s="2" t="s">
        <v>32</v>
      </c>
      <c r="I2106" s="2"/>
      <c r="J2106" s="2" t="s">
        <v>19</v>
      </c>
      <c r="K2106" s="2" t="s">
        <v>20</v>
      </c>
      <c r="L2106" s="4" t="s">
        <v>5678</v>
      </c>
    </row>
    <row r="2107" customFormat="false" ht="15.65" hidden="false" customHeight="true" outlineLevel="0" collapsed="false">
      <c r="A2107" s="5" t="str">
        <f aca="false">HYPERLINK("https://www.fabsurplus.com/sdi_catalog/salesItemDetails.do?id=95576")</f>
        <v>https://www.fabsurplus.com/sdi_catalog/salesItemDetails.do?id=95576</v>
      </c>
      <c r="B2107" s="5" t="s">
        <v>5679</v>
      </c>
      <c r="C2107" s="5" t="s">
        <v>5658</v>
      </c>
      <c r="D2107" s="5" t="s">
        <v>5680</v>
      </c>
      <c r="E2107" s="5" t="s">
        <v>5681</v>
      </c>
      <c r="F2107" s="5" t="s">
        <v>151</v>
      </c>
      <c r="G2107" s="5" t="s">
        <v>104</v>
      </c>
      <c r="H2107" s="5" t="s">
        <v>32</v>
      </c>
      <c r="I2107" s="5"/>
      <c r="J2107" s="5" t="s">
        <v>19</v>
      </c>
      <c r="K2107" s="5" t="s">
        <v>20</v>
      </c>
      <c r="L2107" s="7" t="s">
        <v>5682</v>
      </c>
    </row>
    <row r="2108" customFormat="false" ht="15.65" hidden="false" customHeight="true" outlineLevel="0" collapsed="false">
      <c r="A2108" s="2" t="str">
        <f aca="false">HYPERLINK("https://www.fabsurplus.com/sdi_catalog/salesItemDetails.do?id=95577")</f>
        <v>https://www.fabsurplus.com/sdi_catalog/salesItemDetails.do?id=95577</v>
      </c>
      <c r="B2108" s="2" t="s">
        <v>5683</v>
      </c>
      <c r="C2108" s="2" t="s">
        <v>5658</v>
      </c>
      <c r="D2108" s="2" t="s">
        <v>5684</v>
      </c>
      <c r="E2108" s="2" t="s">
        <v>5685</v>
      </c>
      <c r="F2108" s="2" t="s">
        <v>151</v>
      </c>
      <c r="G2108" s="2" t="s">
        <v>104</v>
      </c>
      <c r="H2108" s="2" t="s">
        <v>32</v>
      </c>
      <c r="I2108" s="2"/>
      <c r="J2108" s="2" t="s">
        <v>19</v>
      </c>
      <c r="K2108" s="2" t="s">
        <v>20</v>
      </c>
      <c r="L2108" s="4" t="s">
        <v>5686</v>
      </c>
    </row>
    <row r="2109" customFormat="false" ht="15.65" hidden="false" customHeight="true" outlineLevel="0" collapsed="false">
      <c r="A2109" s="5" t="str">
        <f aca="false">HYPERLINK("https://www.fabsurplus.com/sdi_catalog/salesItemDetails.do?id=95578")</f>
        <v>https://www.fabsurplus.com/sdi_catalog/salesItemDetails.do?id=95578</v>
      </c>
      <c r="B2109" s="5" t="s">
        <v>5687</v>
      </c>
      <c r="C2109" s="5" t="s">
        <v>5658</v>
      </c>
      <c r="D2109" s="5" t="s">
        <v>5688</v>
      </c>
      <c r="E2109" s="5" t="s">
        <v>5689</v>
      </c>
      <c r="F2109" s="5" t="s">
        <v>151</v>
      </c>
      <c r="G2109" s="5" t="s">
        <v>104</v>
      </c>
      <c r="H2109" s="5" t="s">
        <v>32</v>
      </c>
      <c r="I2109" s="5"/>
      <c r="J2109" s="5" t="s">
        <v>19</v>
      </c>
      <c r="K2109" s="5" t="s">
        <v>20</v>
      </c>
      <c r="L2109" s="7" t="s">
        <v>5690</v>
      </c>
    </row>
    <row r="2110" customFormat="false" ht="15.65" hidden="false" customHeight="true" outlineLevel="0" collapsed="false">
      <c r="A2110" s="2" t="str">
        <f aca="false">HYPERLINK("https://www.fabsurplus.com/sdi_catalog/salesItemDetails.do?id=95579")</f>
        <v>https://www.fabsurplus.com/sdi_catalog/salesItemDetails.do?id=95579</v>
      </c>
      <c r="B2110" s="2" t="s">
        <v>5691</v>
      </c>
      <c r="C2110" s="2" t="s">
        <v>5658</v>
      </c>
      <c r="D2110" s="2" t="s">
        <v>5692</v>
      </c>
      <c r="E2110" s="2" t="s">
        <v>5693</v>
      </c>
      <c r="F2110" s="2" t="s">
        <v>151</v>
      </c>
      <c r="G2110" s="2" t="s">
        <v>104</v>
      </c>
      <c r="H2110" s="2" t="s">
        <v>32</v>
      </c>
      <c r="I2110" s="2"/>
      <c r="J2110" s="2" t="s">
        <v>19</v>
      </c>
      <c r="K2110" s="2" t="s">
        <v>20</v>
      </c>
      <c r="L2110" s="4" t="s">
        <v>5694</v>
      </c>
    </row>
    <row r="2111" customFormat="false" ht="15.65" hidden="false" customHeight="true" outlineLevel="0" collapsed="false">
      <c r="A2111" s="5" t="str">
        <f aca="false">HYPERLINK("https://www.fabsurplus.com/sdi_catalog/salesItemDetails.do?id=95580")</f>
        <v>https://www.fabsurplus.com/sdi_catalog/salesItemDetails.do?id=95580</v>
      </c>
      <c r="B2111" s="5" t="s">
        <v>5695</v>
      </c>
      <c r="C2111" s="5" t="s">
        <v>5658</v>
      </c>
      <c r="D2111" s="5" t="s">
        <v>5659</v>
      </c>
      <c r="E2111" s="5" t="s">
        <v>5696</v>
      </c>
      <c r="F2111" s="5" t="s">
        <v>16</v>
      </c>
      <c r="G2111" s="5" t="s">
        <v>104</v>
      </c>
      <c r="H2111" s="5" t="s">
        <v>32</v>
      </c>
      <c r="I2111" s="5"/>
      <c r="J2111" s="5" t="s">
        <v>19</v>
      </c>
      <c r="K2111" s="5" t="s">
        <v>20</v>
      </c>
      <c r="L2111" s="7" t="s">
        <v>5697</v>
      </c>
    </row>
    <row r="2112" customFormat="false" ht="15.65" hidden="false" customHeight="true" outlineLevel="0" collapsed="false">
      <c r="A2112" s="2" t="str">
        <f aca="false">HYPERLINK("https://www.fabsurplus.com/sdi_catalog/salesItemDetails.do?id=95581")</f>
        <v>https://www.fabsurplus.com/sdi_catalog/salesItemDetails.do?id=95581</v>
      </c>
      <c r="B2112" s="2" t="s">
        <v>5698</v>
      </c>
      <c r="C2112" s="2" t="s">
        <v>5658</v>
      </c>
      <c r="D2112" s="2" t="s">
        <v>5659</v>
      </c>
      <c r="E2112" s="2" t="s">
        <v>5699</v>
      </c>
      <c r="F2112" s="2" t="s">
        <v>151</v>
      </c>
      <c r="G2112" s="2" t="s">
        <v>104</v>
      </c>
      <c r="H2112" s="2" t="s">
        <v>32</v>
      </c>
      <c r="I2112" s="2"/>
      <c r="J2112" s="2" t="s">
        <v>19</v>
      </c>
      <c r="K2112" s="2" t="s">
        <v>20</v>
      </c>
      <c r="L2112" s="4" t="s">
        <v>5700</v>
      </c>
    </row>
    <row r="2113" customFormat="false" ht="15.65" hidden="false" customHeight="true" outlineLevel="0" collapsed="false">
      <c r="A2113" s="5" t="str">
        <f aca="false">HYPERLINK("https://www.fabsurplus.com/sdi_catalog/salesItemDetails.do?id=95582")</f>
        <v>https://www.fabsurplus.com/sdi_catalog/salesItemDetails.do?id=95582</v>
      </c>
      <c r="B2113" s="5" t="s">
        <v>5701</v>
      </c>
      <c r="C2113" s="5" t="s">
        <v>5658</v>
      </c>
      <c r="D2113" s="5" t="s">
        <v>5659</v>
      </c>
      <c r="E2113" s="5" t="s">
        <v>5702</v>
      </c>
      <c r="F2113" s="5" t="s">
        <v>16</v>
      </c>
      <c r="G2113" s="5" t="s">
        <v>104</v>
      </c>
      <c r="H2113" s="5" t="s">
        <v>32</v>
      </c>
      <c r="I2113" s="5"/>
      <c r="J2113" s="5" t="s">
        <v>19</v>
      </c>
      <c r="K2113" s="5" t="s">
        <v>20</v>
      </c>
      <c r="L2113" s="7" t="s">
        <v>5703</v>
      </c>
    </row>
    <row r="2114" customFormat="false" ht="15.65" hidden="false" customHeight="true" outlineLevel="0" collapsed="false">
      <c r="A2114" s="2" t="str">
        <f aca="false">HYPERLINK("https://www.fabsurplus.com/sdi_catalog/salesItemDetails.do?id=95583")</f>
        <v>https://www.fabsurplus.com/sdi_catalog/salesItemDetails.do?id=95583</v>
      </c>
      <c r="B2114" s="2" t="s">
        <v>5704</v>
      </c>
      <c r="C2114" s="2" t="s">
        <v>5658</v>
      </c>
      <c r="D2114" s="2" t="s">
        <v>5659</v>
      </c>
      <c r="E2114" s="2" t="s">
        <v>5705</v>
      </c>
      <c r="F2114" s="2" t="s">
        <v>16</v>
      </c>
      <c r="G2114" s="2" t="s">
        <v>104</v>
      </c>
      <c r="H2114" s="2" t="s">
        <v>32</v>
      </c>
      <c r="I2114" s="2"/>
      <c r="J2114" s="2" t="s">
        <v>19</v>
      </c>
      <c r="K2114" s="2" t="s">
        <v>20</v>
      </c>
      <c r="L2114" s="4" t="s">
        <v>5706</v>
      </c>
    </row>
    <row r="2115" customFormat="false" ht="15.65" hidden="false" customHeight="true" outlineLevel="0" collapsed="false">
      <c r="A2115" s="5" t="str">
        <f aca="false">HYPERLINK("https://www.fabsurplus.com/sdi_catalog/salesItemDetails.do?id=95584")</f>
        <v>https://www.fabsurplus.com/sdi_catalog/salesItemDetails.do?id=95584</v>
      </c>
      <c r="B2115" s="5" t="s">
        <v>5707</v>
      </c>
      <c r="C2115" s="5" t="s">
        <v>5658</v>
      </c>
      <c r="D2115" s="5" t="s">
        <v>5659</v>
      </c>
      <c r="E2115" s="5" t="s">
        <v>5708</v>
      </c>
      <c r="F2115" s="5" t="s">
        <v>16</v>
      </c>
      <c r="G2115" s="5" t="s">
        <v>104</v>
      </c>
      <c r="H2115" s="5" t="s">
        <v>32</v>
      </c>
      <c r="I2115" s="5"/>
      <c r="J2115" s="5" t="s">
        <v>19</v>
      </c>
      <c r="K2115" s="5" t="s">
        <v>20</v>
      </c>
      <c r="L2115" s="7" t="s">
        <v>5709</v>
      </c>
    </row>
    <row r="2116" customFormat="false" ht="15.65" hidden="false" customHeight="true" outlineLevel="0" collapsed="false">
      <c r="A2116" s="2" t="str">
        <f aca="false">HYPERLINK("https://www.fabsurplus.com/sdi_catalog/salesItemDetails.do?id=95585")</f>
        <v>https://www.fabsurplus.com/sdi_catalog/salesItemDetails.do?id=95585</v>
      </c>
      <c r="B2116" s="2" t="s">
        <v>5710</v>
      </c>
      <c r="C2116" s="2" t="s">
        <v>5658</v>
      </c>
      <c r="D2116" s="2" t="s">
        <v>5659</v>
      </c>
      <c r="E2116" s="2" t="s">
        <v>5711</v>
      </c>
      <c r="F2116" s="2" t="s">
        <v>16</v>
      </c>
      <c r="G2116" s="2" t="s">
        <v>104</v>
      </c>
      <c r="H2116" s="2" t="s">
        <v>32</v>
      </c>
      <c r="I2116" s="2"/>
      <c r="J2116" s="2" t="s">
        <v>19</v>
      </c>
      <c r="K2116" s="2" t="s">
        <v>20</v>
      </c>
      <c r="L2116" s="4" t="s">
        <v>5712</v>
      </c>
    </row>
    <row r="2117" customFormat="false" ht="15.65" hidden="false" customHeight="true" outlineLevel="0" collapsed="false">
      <c r="A2117" s="5" t="str">
        <f aca="false">HYPERLINK("https://www.fabsurplus.com/sdi_catalog/salesItemDetails.do?id=95586")</f>
        <v>https://www.fabsurplus.com/sdi_catalog/salesItemDetails.do?id=95586</v>
      </c>
      <c r="B2117" s="5" t="s">
        <v>5713</v>
      </c>
      <c r="C2117" s="5" t="s">
        <v>5658</v>
      </c>
      <c r="D2117" s="5" t="s">
        <v>5659</v>
      </c>
      <c r="E2117" s="5" t="s">
        <v>5714</v>
      </c>
      <c r="F2117" s="5" t="s">
        <v>16</v>
      </c>
      <c r="G2117" s="5" t="s">
        <v>104</v>
      </c>
      <c r="H2117" s="5" t="s">
        <v>32</v>
      </c>
      <c r="I2117" s="5"/>
      <c r="J2117" s="5" t="s">
        <v>19</v>
      </c>
      <c r="K2117" s="5" t="s">
        <v>20</v>
      </c>
      <c r="L2117" s="7" t="s">
        <v>5715</v>
      </c>
    </row>
    <row r="2118" customFormat="false" ht="15.65" hidden="false" customHeight="true" outlineLevel="0" collapsed="false">
      <c r="A2118" s="2" t="str">
        <f aca="false">HYPERLINK("https://www.fabsurplus.com/sdi_catalog/salesItemDetails.do?id=95587")</f>
        <v>https://www.fabsurplus.com/sdi_catalog/salesItemDetails.do?id=95587</v>
      </c>
      <c r="B2118" s="2" t="s">
        <v>5716</v>
      </c>
      <c r="C2118" s="2" t="s">
        <v>5658</v>
      </c>
      <c r="D2118" s="2" t="s">
        <v>5659</v>
      </c>
      <c r="E2118" s="2" t="s">
        <v>5717</v>
      </c>
      <c r="F2118" s="2" t="s">
        <v>16</v>
      </c>
      <c r="G2118" s="2" t="s">
        <v>104</v>
      </c>
      <c r="H2118" s="2" t="s">
        <v>32</v>
      </c>
      <c r="I2118" s="3" t="n">
        <v>36311.9166666667</v>
      </c>
      <c r="J2118" s="2" t="s">
        <v>19</v>
      </c>
      <c r="K2118" s="2" t="s">
        <v>20</v>
      </c>
      <c r="L2118" s="4" t="s">
        <v>5718</v>
      </c>
    </row>
    <row r="2119" customFormat="false" ht="15.65" hidden="false" customHeight="true" outlineLevel="0" collapsed="false">
      <c r="A2119" s="5" t="str">
        <f aca="false">HYPERLINK("https://www.fabsurplus.com/sdi_catalog/salesItemDetails.do?id=95588")</f>
        <v>https://www.fabsurplus.com/sdi_catalog/salesItemDetails.do?id=95588</v>
      </c>
      <c r="B2119" s="5" t="s">
        <v>5719</v>
      </c>
      <c r="C2119" s="5" t="s">
        <v>5658</v>
      </c>
      <c r="D2119" s="5" t="s">
        <v>5659</v>
      </c>
      <c r="E2119" s="5" t="s">
        <v>5720</v>
      </c>
      <c r="F2119" s="5" t="s">
        <v>16</v>
      </c>
      <c r="G2119" s="5" t="s">
        <v>104</v>
      </c>
      <c r="H2119" s="5" t="s">
        <v>32</v>
      </c>
      <c r="I2119" s="6" t="n">
        <v>36311.9166666667</v>
      </c>
      <c r="J2119" s="5" t="s">
        <v>19</v>
      </c>
      <c r="K2119" s="5" t="s">
        <v>20</v>
      </c>
      <c r="L2119" s="7" t="s">
        <v>5721</v>
      </c>
    </row>
    <row r="2120" customFormat="false" ht="15.65" hidden="false" customHeight="true" outlineLevel="0" collapsed="false">
      <c r="A2120" s="2" t="str">
        <f aca="false">HYPERLINK("https://www.fabsurplus.com/sdi_catalog/salesItemDetails.do?id=95591")</f>
        <v>https://www.fabsurplus.com/sdi_catalog/salesItemDetails.do?id=95591</v>
      </c>
      <c r="B2120" s="2" t="s">
        <v>5722</v>
      </c>
      <c r="C2120" s="2" t="s">
        <v>5658</v>
      </c>
      <c r="D2120" s="2" t="s">
        <v>5659</v>
      </c>
      <c r="E2120" s="2" t="s">
        <v>5723</v>
      </c>
      <c r="F2120" s="2" t="s">
        <v>16</v>
      </c>
      <c r="G2120" s="2" t="s">
        <v>104</v>
      </c>
      <c r="H2120" s="2" t="s">
        <v>32</v>
      </c>
      <c r="I2120" s="3" t="n">
        <v>36311.9166666667</v>
      </c>
      <c r="J2120" s="2" t="s">
        <v>19</v>
      </c>
      <c r="K2120" s="2" t="s">
        <v>20</v>
      </c>
      <c r="L2120" s="4" t="s">
        <v>5724</v>
      </c>
    </row>
    <row r="2121" customFormat="false" ht="15.65" hidden="false" customHeight="true" outlineLevel="0" collapsed="false">
      <c r="A2121" s="5" t="str">
        <f aca="false">HYPERLINK("https://www.fabsurplus.com/sdi_catalog/salesItemDetails.do?id=95592")</f>
        <v>https://www.fabsurplus.com/sdi_catalog/salesItemDetails.do?id=95592</v>
      </c>
      <c r="B2121" s="5" t="s">
        <v>5725</v>
      </c>
      <c r="C2121" s="5" t="s">
        <v>5658</v>
      </c>
      <c r="D2121" s="5" t="s">
        <v>5659</v>
      </c>
      <c r="E2121" s="5" t="s">
        <v>5726</v>
      </c>
      <c r="F2121" s="5" t="s">
        <v>16</v>
      </c>
      <c r="G2121" s="5" t="s">
        <v>104</v>
      </c>
      <c r="H2121" s="5" t="s">
        <v>32</v>
      </c>
      <c r="I2121" s="5"/>
      <c r="J2121" s="5" t="s">
        <v>19</v>
      </c>
      <c r="K2121" s="5" t="s">
        <v>20</v>
      </c>
      <c r="L2121" s="7" t="s">
        <v>5727</v>
      </c>
    </row>
    <row r="2122" customFormat="false" ht="15.65" hidden="false" customHeight="true" outlineLevel="0" collapsed="false">
      <c r="A2122" s="2" t="str">
        <f aca="false">HYPERLINK("https://www.fabsurplus.com/sdi_catalog/salesItemDetails.do?id=95593")</f>
        <v>https://www.fabsurplus.com/sdi_catalog/salesItemDetails.do?id=95593</v>
      </c>
      <c r="B2122" s="2" t="s">
        <v>5728</v>
      </c>
      <c r="C2122" s="2" t="s">
        <v>5658</v>
      </c>
      <c r="D2122" s="2" t="s">
        <v>5659</v>
      </c>
      <c r="E2122" s="2" t="s">
        <v>5729</v>
      </c>
      <c r="F2122" s="2" t="s">
        <v>16</v>
      </c>
      <c r="G2122" s="2" t="s">
        <v>104</v>
      </c>
      <c r="H2122" s="2" t="s">
        <v>32</v>
      </c>
      <c r="I2122" s="2"/>
      <c r="J2122" s="2" t="s">
        <v>19</v>
      </c>
      <c r="K2122" s="2" t="s">
        <v>20</v>
      </c>
      <c r="L2122" s="4" t="s">
        <v>5730</v>
      </c>
    </row>
    <row r="2123" customFormat="false" ht="15.65" hidden="false" customHeight="true" outlineLevel="0" collapsed="false">
      <c r="A2123" s="5" t="str">
        <f aca="false">HYPERLINK("https://www.fabsurplus.com/sdi_catalog/salesItemDetails.do?id=95595")</f>
        <v>https://www.fabsurplus.com/sdi_catalog/salesItemDetails.do?id=95595</v>
      </c>
      <c r="B2123" s="5" t="s">
        <v>5731</v>
      </c>
      <c r="C2123" s="5" t="s">
        <v>5658</v>
      </c>
      <c r="D2123" s="5" t="s">
        <v>5659</v>
      </c>
      <c r="E2123" s="5" t="s">
        <v>5732</v>
      </c>
      <c r="F2123" s="5" t="s">
        <v>16</v>
      </c>
      <c r="G2123" s="5" t="s">
        <v>104</v>
      </c>
      <c r="H2123" s="5" t="s">
        <v>32</v>
      </c>
      <c r="I2123" s="6" t="n">
        <v>34942.9166666667</v>
      </c>
      <c r="J2123" s="5" t="s">
        <v>19</v>
      </c>
      <c r="K2123" s="5" t="s">
        <v>20</v>
      </c>
      <c r="L2123" s="7" t="s">
        <v>5733</v>
      </c>
    </row>
    <row r="2124" customFormat="false" ht="15.65" hidden="false" customHeight="true" outlineLevel="0" collapsed="false">
      <c r="A2124" s="2" t="str">
        <f aca="false">HYPERLINK("https://www.fabsurplus.com/sdi_catalog/salesItemDetails.do?id=95596")</f>
        <v>https://www.fabsurplus.com/sdi_catalog/salesItemDetails.do?id=95596</v>
      </c>
      <c r="B2124" s="2" t="s">
        <v>5734</v>
      </c>
      <c r="C2124" s="2" t="s">
        <v>5658</v>
      </c>
      <c r="D2124" s="2" t="s">
        <v>5659</v>
      </c>
      <c r="E2124" s="2" t="s">
        <v>5735</v>
      </c>
      <c r="F2124" s="2" t="s">
        <v>16</v>
      </c>
      <c r="G2124" s="2" t="s">
        <v>104</v>
      </c>
      <c r="H2124" s="2" t="s">
        <v>32</v>
      </c>
      <c r="I2124" s="2"/>
      <c r="J2124" s="2" t="s">
        <v>19</v>
      </c>
      <c r="K2124" s="2" t="s">
        <v>20</v>
      </c>
      <c r="L2124" s="4" t="s">
        <v>5736</v>
      </c>
    </row>
    <row r="2125" customFormat="false" ht="15.65" hidden="false" customHeight="true" outlineLevel="0" collapsed="false">
      <c r="A2125" s="5" t="str">
        <f aca="false">HYPERLINK("https://www.fabsurplus.com/sdi_catalog/salesItemDetails.do?id=95602")</f>
        <v>https://www.fabsurplus.com/sdi_catalog/salesItemDetails.do?id=95602</v>
      </c>
      <c r="B2125" s="5" t="s">
        <v>5737</v>
      </c>
      <c r="C2125" s="5" t="s">
        <v>5658</v>
      </c>
      <c r="D2125" s="5" t="s">
        <v>5659</v>
      </c>
      <c r="E2125" s="5" t="s">
        <v>5738</v>
      </c>
      <c r="F2125" s="5" t="s">
        <v>16</v>
      </c>
      <c r="G2125" s="5" t="s">
        <v>104</v>
      </c>
      <c r="H2125" s="5" t="s">
        <v>32</v>
      </c>
      <c r="I2125" s="5"/>
      <c r="J2125" s="5" t="s">
        <v>19</v>
      </c>
      <c r="K2125" s="5" t="s">
        <v>20</v>
      </c>
      <c r="L2125" s="7" t="s">
        <v>5739</v>
      </c>
    </row>
    <row r="2126" customFormat="false" ht="15.65" hidden="false" customHeight="true" outlineLevel="0" collapsed="false">
      <c r="A2126" s="2" t="str">
        <f aca="false">HYPERLINK("https://www.fabsurplus.com/sdi_catalog/salesItemDetails.do?id=95603")</f>
        <v>https://www.fabsurplus.com/sdi_catalog/salesItemDetails.do?id=95603</v>
      </c>
      <c r="B2126" s="2" t="s">
        <v>5740</v>
      </c>
      <c r="C2126" s="2" t="s">
        <v>5658</v>
      </c>
      <c r="D2126" s="2" t="s">
        <v>5659</v>
      </c>
      <c r="E2126" s="2" t="s">
        <v>5741</v>
      </c>
      <c r="F2126" s="2" t="s">
        <v>16</v>
      </c>
      <c r="G2126" s="2" t="s">
        <v>104</v>
      </c>
      <c r="H2126" s="2" t="s">
        <v>32</v>
      </c>
      <c r="I2126" s="3" t="n">
        <v>36556.9583333333</v>
      </c>
      <c r="J2126" s="2" t="s">
        <v>19</v>
      </c>
      <c r="K2126" s="2" t="s">
        <v>20</v>
      </c>
      <c r="L2126" s="4" t="s">
        <v>5742</v>
      </c>
    </row>
    <row r="2127" customFormat="false" ht="15.65" hidden="false" customHeight="true" outlineLevel="0" collapsed="false">
      <c r="A2127" s="5" t="str">
        <f aca="false">HYPERLINK("https://www.fabsurplus.com/sdi_catalog/salesItemDetails.do?id=95604")</f>
        <v>https://www.fabsurplus.com/sdi_catalog/salesItemDetails.do?id=95604</v>
      </c>
      <c r="B2127" s="5" t="s">
        <v>5743</v>
      </c>
      <c r="C2127" s="5" t="s">
        <v>5658</v>
      </c>
      <c r="D2127" s="5" t="s">
        <v>5659</v>
      </c>
      <c r="E2127" s="5" t="s">
        <v>5744</v>
      </c>
      <c r="F2127" s="5" t="s">
        <v>16</v>
      </c>
      <c r="G2127" s="5" t="s">
        <v>104</v>
      </c>
      <c r="H2127" s="5" t="s">
        <v>32</v>
      </c>
      <c r="I2127" s="5"/>
      <c r="J2127" s="5" t="s">
        <v>19</v>
      </c>
      <c r="K2127" s="5" t="s">
        <v>20</v>
      </c>
      <c r="L2127" s="7" t="s">
        <v>5745</v>
      </c>
    </row>
    <row r="2128" customFormat="false" ht="15.65" hidden="false" customHeight="true" outlineLevel="0" collapsed="false">
      <c r="A2128" s="2" t="str">
        <f aca="false">HYPERLINK("https://www.fabsurplus.com/sdi_catalog/salesItemDetails.do?id=95605")</f>
        <v>https://www.fabsurplus.com/sdi_catalog/salesItemDetails.do?id=95605</v>
      </c>
      <c r="B2128" s="2" t="s">
        <v>5746</v>
      </c>
      <c r="C2128" s="2" t="s">
        <v>5658</v>
      </c>
      <c r="D2128" s="2" t="s">
        <v>5659</v>
      </c>
      <c r="E2128" s="2" t="s">
        <v>5747</v>
      </c>
      <c r="F2128" s="2" t="s">
        <v>16</v>
      </c>
      <c r="G2128" s="2" t="s">
        <v>104</v>
      </c>
      <c r="H2128" s="2" t="s">
        <v>32</v>
      </c>
      <c r="I2128" s="2"/>
      <c r="J2128" s="2" t="s">
        <v>19</v>
      </c>
      <c r="K2128" s="2" t="s">
        <v>20</v>
      </c>
      <c r="L2128" s="4" t="s">
        <v>5745</v>
      </c>
    </row>
    <row r="2129" customFormat="false" ht="15.65" hidden="false" customHeight="true" outlineLevel="0" collapsed="false">
      <c r="A2129" s="5" t="str">
        <f aca="false">HYPERLINK("https://www.fabsurplus.com/sdi_catalog/salesItemDetails.do?id=95606")</f>
        <v>https://www.fabsurplus.com/sdi_catalog/salesItemDetails.do?id=95606</v>
      </c>
      <c r="B2129" s="5" t="s">
        <v>5748</v>
      </c>
      <c r="C2129" s="5" t="s">
        <v>5658</v>
      </c>
      <c r="D2129" s="5" t="s">
        <v>5659</v>
      </c>
      <c r="E2129" s="5" t="s">
        <v>5749</v>
      </c>
      <c r="F2129" s="5" t="s">
        <v>16</v>
      </c>
      <c r="G2129" s="5" t="s">
        <v>104</v>
      </c>
      <c r="H2129" s="5" t="s">
        <v>32</v>
      </c>
      <c r="I2129" s="6" t="n">
        <v>34880.9166666667</v>
      </c>
      <c r="J2129" s="5" t="s">
        <v>19</v>
      </c>
      <c r="K2129" s="5" t="s">
        <v>20</v>
      </c>
      <c r="L2129" s="7" t="s">
        <v>5745</v>
      </c>
    </row>
    <row r="2130" customFormat="false" ht="15.65" hidden="false" customHeight="true" outlineLevel="0" collapsed="false">
      <c r="A2130" s="2" t="str">
        <f aca="false">HYPERLINK("https://www.fabsurplus.com/sdi_catalog/salesItemDetails.do?id=95607")</f>
        <v>https://www.fabsurplus.com/sdi_catalog/salesItemDetails.do?id=95607</v>
      </c>
      <c r="B2130" s="2" t="s">
        <v>5750</v>
      </c>
      <c r="C2130" s="2" t="s">
        <v>5658</v>
      </c>
      <c r="D2130" s="2" t="s">
        <v>5659</v>
      </c>
      <c r="E2130" s="2" t="s">
        <v>5751</v>
      </c>
      <c r="F2130" s="2" t="s">
        <v>16</v>
      </c>
      <c r="G2130" s="2" t="s">
        <v>104</v>
      </c>
      <c r="H2130" s="2" t="s">
        <v>32</v>
      </c>
      <c r="I2130" s="2"/>
      <c r="J2130" s="2" t="s">
        <v>19</v>
      </c>
      <c r="K2130" s="2" t="s">
        <v>20</v>
      </c>
      <c r="L2130" s="4" t="s">
        <v>5745</v>
      </c>
    </row>
    <row r="2131" customFormat="false" ht="15.65" hidden="false" customHeight="true" outlineLevel="0" collapsed="false">
      <c r="A2131" s="5" t="str">
        <f aca="false">HYPERLINK("https://www.fabsurplus.com/sdi_catalog/salesItemDetails.do?id=95608")</f>
        <v>https://www.fabsurplus.com/sdi_catalog/salesItemDetails.do?id=95608</v>
      </c>
      <c r="B2131" s="5" t="s">
        <v>5752</v>
      </c>
      <c r="C2131" s="5" t="s">
        <v>5658</v>
      </c>
      <c r="D2131" s="5" t="s">
        <v>5659</v>
      </c>
      <c r="E2131" s="5" t="s">
        <v>5753</v>
      </c>
      <c r="F2131" s="5" t="s">
        <v>16</v>
      </c>
      <c r="G2131" s="5" t="s">
        <v>104</v>
      </c>
      <c r="H2131" s="5" t="s">
        <v>32</v>
      </c>
      <c r="I2131" s="5"/>
      <c r="J2131" s="5" t="s">
        <v>19</v>
      </c>
      <c r="K2131" s="5" t="s">
        <v>20</v>
      </c>
      <c r="L2131" s="7" t="s">
        <v>5745</v>
      </c>
    </row>
    <row r="2132" customFormat="false" ht="15.65" hidden="false" customHeight="true" outlineLevel="0" collapsed="false">
      <c r="A2132" s="2" t="str">
        <f aca="false">HYPERLINK("https://www.fabsurplus.com/sdi_catalog/salesItemDetails.do?id=106873")</f>
        <v>https://www.fabsurplus.com/sdi_catalog/salesItemDetails.do?id=106873</v>
      </c>
      <c r="B2132" s="2" t="s">
        <v>5754</v>
      </c>
      <c r="C2132" s="2" t="s">
        <v>5658</v>
      </c>
      <c r="D2132" s="2" t="s">
        <v>5755</v>
      </c>
      <c r="E2132" s="2" t="s">
        <v>5756</v>
      </c>
      <c r="F2132" s="2" t="s">
        <v>16</v>
      </c>
      <c r="G2132" s="2" t="s">
        <v>61</v>
      </c>
      <c r="H2132" s="2" t="s">
        <v>32</v>
      </c>
      <c r="I2132" s="3" t="n">
        <v>40909</v>
      </c>
      <c r="J2132" s="2" t="s">
        <v>19</v>
      </c>
      <c r="K2132" s="2" t="s">
        <v>20</v>
      </c>
      <c r="L2132" s="4" t="s">
        <v>5757</v>
      </c>
    </row>
    <row r="2133" customFormat="false" ht="15.65" hidden="false" customHeight="true" outlineLevel="0" collapsed="false">
      <c r="A2133" s="5" t="str">
        <f aca="false">HYPERLINK("https://www.fabsurplus.com/sdi_catalog/salesItemDetails.do?id=109177")</f>
        <v>https://www.fabsurplus.com/sdi_catalog/salesItemDetails.do?id=109177</v>
      </c>
      <c r="B2133" s="5" t="s">
        <v>5758</v>
      </c>
      <c r="C2133" s="5" t="s">
        <v>5658</v>
      </c>
      <c r="D2133" s="5" t="s">
        <v>5755</v>
      </c>
      <c r="E2133" s="5" t="s">
        <v>1778</v>
      </c>
      <c r="F2133" s="5" t="s">
        <v>16</v>
      </c>
      <c r="G2133" s="5" t="s">
        <v>84</v>
      </c>
      <c r="H2133" s="5"/>
      <c r="I2133" s="5"/>
      <c r="J2133" s="5" t="s">
        <v>19</v>
      </c>
      <c r="K2133" s="5"/>
      <c r="L2133" s="5"/>
    </row>
    <row r="2134" customFormat="false" ht="15.65" hidden="false" customHeight="true" outlineLevel="0" collapsed="false">
      <c r="A2134" s="2" t="str">
        <f aca="false">HYPERLINK("https://www.fabsurplus.com/sdi_catalog/salesItemDetails.do?id=105877")</f>
        <v>https://www.fabsurplus.com/sdi_catalog/salesItemDetails.do?id=105877</v>
      </c>
      <c r="B2134" s="2" t="s">
        <v>5759</v>
      </c>
      <c r="C2134" s="2" t="s">
        <v>5658</v>
      </c>
      <c r="D2134" s="2" t="s">
        <v>5760</v>
      </c>
      <c r="E2134" s="2" t="s">
        <v>5761</v>
      </c>
      <c r="F2134" s="2" t="s">
        <v>16</v>
      </c>
      <c r="G2134" s="2" t="s">
        <v>104</v>
      </c>
      <c r="H2134" s="2" t="s">
        <v>1266</v>
      </c>
      <c r="I2134" s="2"/>
      <c r="J2134" s="2" t="s">
        <v>19</v>
      </c>
      <c r="K2134" s="2" t="s">
        <v>20</v>
      </c>
      <c r="L2134" s="2"/>
    </row>
    <row r="2135" customFormat="false" ht="15.65" hidden="false" customHeight="true" outlineLevel="0" collapsed="false">
      <c r="A2135" s="5" t="str">
        <f aca="false">HYPERLINK("https://www.fabsurplus.com/sdi_catalog/salesItemDetails.do?id=108950")</f>
        <v>https://www.fabsurplus.com/sdi_catalog/salesItemDetails.do?id=108950</v>
      </c>
      <c r="B2135" s="5" t="s">
        <v>5762</v>
      </c>
      <c r="C2135" s="5" t="s">
        <v>5658</v>
      </c>
      <c r="D2135" s="5" t="s">
        <v>5760</v>
      </c>
      <c r="E2135" s="5" t="s">
        <v>5763</v>
      </c>
      <c r="F2135" s="5" t="s">
        <v>16</v>
      </c>
      <c r="G2135" s="5" t="s">
        <v>104</v>
      </c>
      <c r="H2135" s="5" t="s">
        <v>32</v>
      </c>
      <c r="I2135" s="5"/>
      <c r="J2135" s="5" t="s">
        <v>42</v>
      </c>
      <c r="K2135" s="5" t="s">
        <v>20</v>
      </c>
      <c r="L2135" s="5" t="s">
        <v>5764</v>
      </c>
    </row>
    <row r="2136" customFormat="false" ht="15.65" hidden="false" customHeight="true" outlineLevel="0" collapsed="false">
      <c r="A2136" s="2" t="str">
        <f aca="false">HYPERLINK("https://www.fabsurplus.com/sdi_catalog/salesItemDetails.do?id=105880")</f>
        <v>https://www.fabsurplus.com/sdi_catalog/salesItemDetails.do?id=105880</v>
      </c>
      <c r="B2136" s="2" t="s">
        <v>5765</v>
      </c>
      <c r="C2136" s="2" t="s">
        <v>5658</v>
      </c>
      <c r="D2136" s="2" t="s">
        <v>5760</v>
      </c>
      <c r="E2136" s="2" t="s">
        <v>5766</v>
      </c>
      <c r="F2136" s="2" t="s">
        <v>16</v>
      </c>
      <c r="G2136" s="2" t="s">
        <v>104</v>
      </c>
      <c r="H2136" s="2" t="s">
        <v>18</v>
      </c>
      <c r="I2136" s="2"/>
      <c r="J2136" s="2" t="s">
        <v>19</v>
      </c>
      <c r="K2136" s="2" t="s">
        <v>20</v>
      </c>
      <c r="L2136" s="2" t="s">
        <v>5767</v>
      </c>
    </row>
    <row r="2137" customFormat="false" ht="15.65" hidden="false" customHeight="true" outlineLevel="0" collapsed="false">
      <c r="A2137" s="5" t="str">
        <f aca="false">HYPERLINK("https://www.fabsurplus.com/sdi_catalog/salesItemDetails.do?id=18849")</f>
        <v>https://www.fabsurplus.com/sdi_catalog/salesItemDetails.do?id=18849</v>
      </c>
      <c r="B2137" s="5" t="s">
        <v>5768</v>
      </c>
      <c r="C2137" s="5" t="s">
        <v>5658</v>
      </c>
      <c r="D2137" s="5" t="s">
        <v>5769</v>
      </c>
      <c r="E2137" s="5" t="s">
        <v>5770</v>
      </c>
      <c r="F2137" s="5" t="s">
        <v>16</v>
      </c>
      <c r="G2137" s="5"/>
      <c r="H2137" s="5"/>
      <c r="I2137" s="5"/>
      <c r="J2137" s="5" t="s">
        <v>19</v>
      </c>
      <c r="K2137" s="5"/>
      <c r="L2137" s="5"/>
    </row>
    <row r="2138" customFormat="false" ht="15.65" hidden="false" customHeight="true" outlineLevel="0" collapsed="false">
      <c r="A2138" s="2" t="str">
        <f aca="false">HYPERLINK("https://www.fabsurplus.com/sdi_catalog/salesItemDetails.do?id=18850")</f>
        <v>https://www.fabsurplus.com/sdi_catalog/salesItemDetails.do?id=18850</v>
      </c>
      <c r="B2138" s="2" t="s">
        <v>5771</v>
      </c>
      <c r="C2138" s="2" t="s">
        <v>5658</v>
      </c>
      <c r="D2138" s="2" t="s">
        <v>5772</v>
      </c>
      <c r="E2138" s="2" t="s">
        <v>5773</v>
      </c>
      <c r="F2138" s="2" t="s">
        <v>16</v>
      </c>
      <c r="G2138" s="2"/>
      <c r="H2138" s="2"/>
      <c r="I2138" s="2"/>
      <c r="J2138" s="2" t="s">
        <v>19</v>
      </c>
      <c r="K2138" s="2"/>
      <c r="L2138" s="2"/>
    </row>
    <row r="2139" customFormat="false" ht="15.65" hidden="false" customHeight="true" outlineLevel="0" collapsed="false">
      <c r="A2139" s="5" t="str">
        <f aca="false">HYPERLINK("https://www.fabsurplus.com/sdi_catalog/salesItemDetails.do?id=18851")</f>
        <v>https://www.fabsurplus.com/sdi_catalog/salesItemDetails.do?id=18851</v>
      </c>
      <c r="B2139" s="5" t="s">
        <v>5774</v>
      </c>
      <c r="C2139" s="5" t="s">
        <v>5658</v>
      </c>
      <c r="D2139" s="5" t="s">
        <v>5775</v>
      </c>
      <c r="E2139" s="5" t="s">
        <v>5776</v>
      </c>
      <c r="F2139" s="5" t="s">
        <v>16</v>
      </c>
      <c r="G2139" s="5" t="s">
        <v>5777</v>
      </c>
      <c r="H2139" s="5" t="s">
        <v>32</v>
      </c>
      <c r="I2139" s="6" t="n">
        <v>34455</v>
      </c>
      <c r="J2139" s="5" t="s">
        <v>19</v>
      </c>
      <c r="K2139" s="5" t="s">
        <v>20</v>
      </c>
      <c r="L2139" s="7" t="s">
        <v>5778</v>
      </c>
    </row>
    <row r="2140" customFormat="false" ht="15.65" hidden="false" customHeight="true" outlineLevel="0" collapsed="false">
      <c r="A2140" s="2" t="str">
        <f aca="false">HYPERLINK("https://www.fabsurplus.com/sdi_catalog/salesItemDetails.do?id=18852")</f>
        <v>https://www.fabsurplus.com/sdi_catalog/salesItemDetails.do?id=18852</v>
      </c>
      <c r="B2140" s="2" t="s">
        <v>5779</v>
      </c>
      <c r="C2140" s="2" t="s">
        <v>5658</v>
      </c>
      <c r="D2140" s="2" t="s">
        <v>5780</v>
      </c>
      <c r="E2140" s="2" t="s">
        <v>5781</v>
      </c>
      <c r="F2140" s="2" t="s">
        <v>151</v>
      </c>
      <c r="G2140" s="2"/>
      <c r="H2140" s="2"/>
      <c r="I2140" s="2"/>
      <c r="J2140" s="2" t="s">
        <v>19</v>
      </c>
      <c r="K2140" s="2"/>
      <c r="L2140" s="2"/>
    </row>
    <row r="2141" customFormat="false" ht="15.65" hidden="false" customHeight="true" outlineLevel="0" collapsed="false">
      <c r="A2141" s="5" t="str">
        <f aca="false">HYPERLINK("https://www.fabsurplus.com/sdi_catalog/salesItemDetails.do?id=18853")</f>
        <v>https://www.fabsurplus.com/sdi_catalog/salesItemDetails.do?id=18853</v>
      </c>
      <c r="B2141" s="5" t="s">
        <v>5782</v>
      </c>
      <c r="C2141" s="5" t="s">
        <v>5658</v>
      </c>
      <c r="D2141" s="5" t="s">
        <v>5783</v>
      </c>
      <c r="E2141" s="5" t="s">
        <v>5784</v>
      </c>
      <c r="F2141" s="5" t="s">
        <v>151</v>
      </c>
      <c r="G2141" s="5"/>
      <c r="H2141" s="5" t="s">
        <v>18</v>
      </c>
      <c r="I2141" s="5"/>
      <c r="J2141" s="5" t="s">
        <v>19</v>
      </c>
      <c r="K2141" s="5"/>
      <c r="L2141" s="5"/>
    </row>
    <row r="2142" customFormat="false" ht="15.65" hidden="false" customHeight="true" outlineLevel="0" collapsed="false">
      <c r="A2142" s="2" t="str">
        <f aca="false">HYPERLINK("https://www.fabsurplus.com/sdi_catalog/salesItemDetails.do?id=18854")</f>
        <v>https://www.fabsurplus.com/sdi_catalog/salesItemDetails.do?id=18854</v>
      </c>
      <c r="B2142" s="2" t="s">
        <v>5785</v>
      </c>
      <c r="C2142" s="2" t="s">
        <v>5658</v>
      </c>
      <c r="D2142" s="2" t="s">
        <v>5786</v>
      </c>
      <c r="E2142" s="2" t="s">
        <v>5787</v>
      </c>
      <c r="F2142" s="2" t="s">
        <v>16</v>
      </c>
      <c r="G2142" s="2"/>
      <c r="H2142" s="2"/>
      <c r="I2142" s="2"/>
      <c r="J2142" s="2" t="s">
        <v>19</v>
      </c>
      <c r="K2142" s="2"/>
      <c r="L2142" s="2"/>
    </row>
    <row r="2143" customFormat="false" ht="15.65" hidden="false" customHeight="true" outlineLevel="0" collapsed="false">
      <c r="A2143" s="5" t="str">
        <f aca="false">HYPERLINK("https://www.fabsurplus.com/sdi_catalog/salesItemDetails.do?id=18855")</f>
        <v>https://www.fabsurplus.com/sdi_catalog/salesItemDetails.do?id=18855</v>
      </c>
      <c r="B2143" s="5" t="s">
        <v>5788</v>
      </c>
      <c r="C2143" s="5" t="s">
        <v>5658</v>
      </c>
      <c r="D2143" s="5" t="s">
        <v>5789</v>
      </c>
      <c r="E2143" s="5" t="s">
        <v>5790</v>
      </c>
      <c r="F2143" s="5" t="s">
        <v>151</v>
      </c>
      <c r="G2143" s="5"/>
      <c r="H2143" s="5"/>
      <c r="I2143" s="5"/>
      <c r="J2143" s="5" t="s">
        <v>19</v>
      </c>
      <c r="K2143" s="5"/>
      <c r="L2143" s="5"/>
    </row>
    <row r="2144" customFormat="false" ht="15.65" hidden="false" customHeight="true" outlineLevel="0" collapsed="false">
      <c r="A2144" s="2" t="str">
        <f aca="false">HYPERLINK("https://www.fabsurplus.com/sdi_catalog/salesItemDetails.do?id=18856")</f>
        <v>https://www.fabsurplus.com/sdi_catalog/salesItemDetails.do?id=18856</v>
      </c>
      <c r="B2144" s="2" t="s">
        <v>5791</v>
      </c>
      <c r="C2144" s="2" t="s">
        <v>5658</v>
      </c>
      <c r="D2144" s="2" t="s">
        <v>5792</v>
      </c>
      <c r="E2144" s="2" t="s">
        <v>5793</v>
      </c>
      <c r="F2144" s="2" t="s">
        <v>16</v>
      </c>
      <c r="G2144" s="2"/>
      <c r="H2144" s="2"/>
      <c r="I2144" s="2"/>
      <c r="J2144" s="2" t="s">
        <v>19</v>
      </c>
      <c r="K2144" s="2"/>
      <c r="L2144" s="2"/>
    </row>
    <row r="2145" customFormat="false" ht="15.65" hidden="false" customHeight="true" outlineLevel="0" collapsed="false">
      <c r="A2145" s="5" t="str">
        <f aca="false">HYPERLINK("https://www.fabsurplus.com/sdi_catalog/salesItemDetails.do?id=18857")</f>
        <v>https://www.fabsurplus.com/sdi_catalog/salesItemDetails.do?id=18857</v>
      </c>
      <c r="B2145" s="5" t="s">
        <v>5794</v>
      </c>
      <c r="C2145" s="5" t="s">
        <v>5658</v>
      </c>
      <c r="D2145" s="5" t="s">
        <v>5795</v>
      </c>
      <c r="E2145" s="5" t="s">
        <v>5796</v>
      </c>
      <c r="F2145" s="5" t="s">
        <v>16</v>
      </c>
      <c r="G2145" s="5"/>
      <c r="H2145" s="5"/>
      <c r="I2145" s="5"/>
      <c r="J2145" s="5" t="s">
        <v>19</v>
      </c>
      <c r="K2145" s="5"/>
      <c r="L2145" s="5"/>
    </row>
    <row r="2146" customFormat="false" ht="15.65" hidden="false" customHeight="true" outlineLevel="0" collapsed="false">
      <c r="A2146" s="2" t="str">
        <f aca="false">HYPERLINK("https://www.fabsurplus.com/sdi_catalog/salesItemDetails.do?id=18858")</f>
        <v>https://www.fabsurplus.com/sdi_catalog/salesItemDetails.do?id=18858</v>
      </c>
      <c r="B2146" s="2" t="s">
        <v>5797</v>
      </c>
      <c r="C2146" s="2" t="s">
        <v>5658</v>
      </c>
      <c r="D2146" s="2" t="s">
        <v>5798</v>
      </c>
      <c r="E2146" s="2" t="s">
        <v>5799</v>
      </c>
      <c r="F2146" s="2" t="s">
        <v>151</v>
      </c>
      <c r="G2146" s="2"/>
      <c r="H2146" s="2"/>
      <c r="I2146" s="2"/>
      <c r="J2146" s="2" t="s">
        <v>19</v>
      </c>
      <c r="K2146" s="2"/>
      <c r="L2146" s="2"/>
    </row>
    <row r="2147" customFormat="false" ht="15.65" hidden="false" customHeight="true" outlineLevel="0" collapsed="false">
      <c r="A2147" s="5" t="str">
        <f aca="false">HYPERLINK("https://www.fabsurplus.com/sdi_catalog/salesItemDetails.do?id=18859")</f>
        <v>https://www.fabsurplus.com/sdi_catalog/salesItemDetails.do?id=18859</v>
      </c>
      <c r="B2147" s="5" t="s">
        <v>5800</v>
      </c>
      <c r="C2147" s="5" t="s">
        <v>5658</v>
      </c>
      <c r="D2147" s="5" t="s">
        <v>5801</v>
      </c>
      <c r="E2147" s="5" t="s">
        <v>5802</v>
      </c>
      <c r="F2147" s="5" t="s">
        <v>151</v>
      </c>
      <c r="G2147" s="5"/>
      <c r="H2147" s="5"/>
      <c r="I2147" s="5"/>
      <c r="J2147" s="5" t="s">
        <v>19</v>
      </c>
      <c r="K2147" s="5"/>
      <c r="L2147" s="5"/>
    </row>
    <row r="2148" customFormat="false" ht="15.65" hidden="false" customHeight="true" outlineLevel="0" collapsed="false">
      <c r="A2148" s="2" t="str">
        <f aca="false">HYPERLINK("https://www.fabsurplus.com/sdi_catalog/salesItemDetails.do?id=18860")</f>
        <v>https://www.fabsurplus.com/sdi_catalog/salesItemDetails.do?id=18860</v>
      </c>
      <c r="B2148" s="2" t="s">
        <v>5803</v>
      </c>
      <c r="C2148" s="2" t="s">
        <v>5658</v>
      </c>
      <c r="D2148" s="2" t="s">
        <v>5804</v>
      </c>
      <c r="E2148" s="2" t="s">
        <v>5805</v>
      </c>
      <c r="F2148" s="2" t="s">
        <v>16</v>
      </c>
      <c r="G2148" s="2"/>
      <c r="H2148" s="2"/>
      <c r="I2148" s="2"/>
      <c r="J2148" s="2" t="s">
        <v>19</v>
      </c>
      <c r="K2148" s="2"/>
      <c r="L2148" s="2"/>
    </row>
    <row r="2149" customFormat="false" ht="15.65" hidden="false" customHeight="true" outlineLevel="0" collapsed="false">
      <c r="A2149" s="5" t="str">
        <f aca="false">HYPERLINK("https://www.fabsurplus.com/sdi_catalog/salesItemDetails.do?id=27820")</f>
        <v>https://www.fabsurplus.com/sdi_catalog/salesItemDetails.do?id=27820</v>
      </c>
      <c r="B2149" s="5" t="s">
        <v>5806</v>
      </c>
      <c r="C2149" s="5" t="s">
        <v>5658</v>
      </c>
      <c r="D2149" s="5" t="s">
        <v>5807</v>
      </c>
      <c r="E2149" s="5" t="s">
        <v>3139</v>
      </c>
      <c r="F2149" s="5" t="s">
        <v>16</v>
      </c>
      <c r="G2149" s="5"/>
      <c r="H2149" s="5"/>
      <c r="I2149" s="5"/>
      <c r="J2149" s="5"/>
      <c r="K2149" s="5"/>
      <c r="L2149" s="5" t="s">
        <v>5808</v>
      </c>
    </row>
    <row r="2150" customFormat="false" ht="15.65" hidden="false" customHeight="true" outlineLevel="0" collapsed="false">
      <c r="A2150" s="2" t="str">
        <f aca="false">HYPERLINK("https://www.fabsurplus.com/sdi_catalog/salesItemDetails.do?id=18861")</f>
        <v>https://www.fabsurplus.com/sdi_catalog/salesItemDetails.do?id=18861</v>
      </c>
      <c r="B2150" s="2" t="s">
        <v>5809</v>
      </c>
      <c r="C2150" s="2" t="s">
        <v>5658</v>
      </c>
      <c r="D2150" s="2" t="s">
        <v>5810</v>
      </c>
      <c r="E2150" s="2" t="s">
        <v>5793</v>
      </c>
      <c r="F2150" s="2" t="s">
        <v>16</v>
      </c>
      <c r="G2150" s="2"/>
      <c r="H2150" s="2"/>
      <c r="I2150" s="2"/>
      <c r="J2150" s="2" t="s">
        <v>19</v>
      </c>
      <c r="K2150" s="2"/>
      <c r="L2150" s="2"/>
    </row>
    <row r="2151" customFormat="false" ht="15.65" hidden="false" customHeight="true" outlineLevel="0" collapsed="false">
      <c r="A2151" s="5" t="str">
        <f aca="false">HYPERLINK("https://www.fabsurplus.com/sdi_catalog/salesItemDetails.do?id=27821")</f>
        <v>https://www.fabsurplus.com/sdi_catalog/salesItemDetails.do?id=27821</v>
      </c>
      <c r="B2151" s="5" t="s">
        <v>5811</v>
      </c>
      <c r="C2151" s="5" t="s">
        <v>5658</v>
      </c>
      <c r="D2151" s="5" t="s">
        <v>5812</v>
      </c>
      <c r="E2151" s="5" t="s">
        <v>3139</v>
      </c>
      <c r="F2151" s="5" t="s">
        <v>16</v>
      </c>
      <c r="G2151" s="5"/>
      <c r="H2151" s="5"/>
      <c r="I2151" s="5"/>
      <c r="J2151" s="5"/>
      <c r="K2151" s="5"/>
      <c r="L2151" s="5" t="s">
        <v>5813</v>
      </c>
    </row>
    <row r="2152" customFormat="false" ht="15.65" hidden="false" customHeight="true" outlineLevel="0" collapsed="false">
      <c r="A2152" s="2" t="str">
        <f aca="false">HYPERLINK("https://www.fabsurplus.com/sdi_catalog/salesItemDetails.do?id=108717")</f>
        <v>https://www.fabsurplus.com/sdi_catalog/salesItemDetails.do?id=108717</v>
      </c>
      <c r="B2152" s="2" t="s">
        <v>5814</v>
      </c>
      <c r="C2152" s="2" t="s">
        <v>5658</v>
      </c>
      <c r="D2152" s="2" t="s">
        <v>5815</v>
      </c>
      <c r="E2152" s="2" t="s">
        <v>5816</v>
      </c>
      <c r="F2152" s="2" t="s">
        <v>16</v>
      </c>
      <c r="G2152" s="2" t="s">
        <v>5817</v>
      </c>
      <c r="H2152" s="2" t="s">
        <v>18</v>
      </c>
      <c r="I2152" s="3" t="n">
        <v>38139</v>
      </c>
      <c r="J2152" s="2" t="s">
        <v>19</v>
      </c>
      <c r="K2152" s="2" t="s">
        <v>20</v>
      </c>
      <c r="L2152" s="4" t="s">
        <v>5818</v>
      </c>
    </row>
    <row r="2153" customFormat="false" ht="15.65" hidden="false" customHeight="true" outlineLevel="0" collapsed="false">
      <c r="A2153" s="5" t="str">
        <f aca="false">HYPERLINK("https://www.fabsurplus.com/sdi_catalog/salesItemDetails.do?id=18862")</f>
        <v>https://www.fabsurplus.com/sdi_catalog/salesItemDetails.do?id=18862</v>
      </c>
      <c r="B2153" s="5" t="s">
        <v>5819</v>
      </c>
      <c r="C2153" s="5" t="s">
        <v>5658</v>
      </c>
      <c r="D2153" s="5" t="s">
        <v>5820</v>
      </c>
      <c r="E2153" s="5" t="s">
        <v>5821</v>
      </c>
      <c r="F2153" s="5" t="s">
        <v>16</v>
      </c>
      <c r="G2153" s="5"/>
      <c r="H2153" s="5"/>
      <c r="I2153" s="5"/>
      <c r="J2153" s="5" t="s">
        <v>19</v>
      </c>
      <c r="K2153" s="5"/>
      <c r="L2153" s="5"/>
    </row>
    <row r="2154" customFormat="false" ht="15.65" hidden="false" customHeight="true" outlineLevel="0" collapsed="false">
      <c r="A2154" s="2" t="str">
        <f aca="false">HYPERLINK("https://www.fabsurplus.com/sdi_catalog/salesItemDetails.do?id=27822")</f>
        <v>https://www.fabsurplus.com/sdi_catalog/salesItemDetails.do?id=27822</v>
      </c>
      <c r="B2154" s="2" t="s">
        <v>5822</v>
      </c>
      <c r="C2154" s="2" t="s">
        <v>5658</v>
      </c>
      <c r="D2154" s="2" t="s">
        <v>5823</v>
      </c>
      <c r="E2154" s="2" t="s">
        <v>3139</v>
      </c>
      <c r="F2154" s="2" t="s">
        <v>16</v>
      </c>
      <c r="G2154" s="2" t="s">
        <v>5777</v>
      </c>
      <c r="H2154" s="2" t="s">
        <v>18</v>
      </c>
      <c r="I2154" s="2"/>
      <c r="J2154" s="2"/>
      <c r="K2154" s="2"/>
      <c r="L2154" s="2" t="s">
        <v>5824</v>
      </c>
    </row>
    <row r="2155" customFormat="false" ht="15.65" hidden="false" customHeight="true" outlineLevel="0" collapsed="false">
      <c r="A2155" s="5" t="str">
        <f aca="false">HYPERLINK("https://www.fabsurplus.com/sdi_catalog/salesItemDetails.do?id=18863")</f>
        <v>https://www.fabsurplus.com/sdi_catalog/salesItemDetails.do?id=18863</v>
      </c>
      <c r="B2155" s="5" t="s">
        <v>5825</v>
      </c>
      <c r="C2155" s="5" t="s">
        <v>5658</v>
      </c>
      <c r="D2155" s="5" t="s">
        <v>5826</v>
      </c>
      <c r="E2155" s="5" t="s">
        <v>5827</v>
      </c>
      <c r="F2155" s="5" t="s">
        <v>151</v>
      </c>
      <c r="G2155" s="5"/>
      <c r="H2155" s="5"/>
      <c r="I2155" s="5"/>
      <c r="J2155" s="5" t="s">
        <v>19</v>
      </c>
      <c r="K2155" s="5"/>
      <c r="L2155" s="5"/>
    </row>
    <row r="2156" customFormat="false" ht="15.65" hidden="false" customHeight="true" outlineLevel="0" collapsed="false">
      <c r="A2156" s="2" t="str">
        <f aca="false">HYPERLINK("https://www.fabsurplus.com/sdi_catalog/salesItemDetails.do?id=27823")</f>
        <v>https://www.fabsurplus.com/sdi_catalog/salesItemDetails.do?id=27823</v>
      </c>
      <c r="B2156" s="2" t="s">
        <v>5828</v>
      </c>
      <c r="C2156" s="2" t="s">
        <v>5658</v>
      </c>
      <c r="D2156" s="2" t="s">
        <v>5829</v>
      </c>
      <c r="E2156" s="2" t="s">
        <v>3139</v>
      </c>
      <c r="F2156" s="2" t="s">
        <v>16</v>
      </c>
      <c r="G2156" s="2"/>
      <c r="H2156" s="2"/>
      <c r="I2156" s="2"/>
      <c r="J2156" s="2"/>
      <c r="K2156" s="2"/>
      <c r="L2156" s="2" t="s">
        <v>5830</v>
      </c>
    </row>
    <row r="2157" customFormat="false" ht="15.65" hidden="false" customHeight="true" outlineLevel="0" collapsed="false">
      <c r="A2157" s="5" t="str">
        <f aca="false">HYPERLINK("https://www.fabsurplus.com/sdi_catalog/salesItemDetails.do?id=27824")</f>
        <v>https://www.fabsurplus.com/sdi_catalog/salesItemDetails.do?id=27824</v>
      </c>
      <c r="B2157" s="5" t="s">
        <v>5831</v>
      </c>
      <c r="C2157" s="5" t="s">
        <v>5658</v>
      </c>
      <c r="D2157" s="5" t="s">
        <v>5832</v>
      </c>
      <c r="E2157" s="5" t="s">
        <v>5833</v>
      </c>
      <c r="F2157" s="5" t="s">
        <v>16</v>
      </c>
      <c r="G2157" s="5"/>
      <c r="H2157" s="5"/>
      <c r="I2157" s="5"/>
      <c r="J2157" s="5"/>
      <c r="K2157" s="5"/>
      <c r="L2157" s="5" t="s">
        <v>5834</v>
      </c>
    </row>
    <row r="2158" customFormat="false" ht="15.65" hidden="false" customHeight="true" outlineLevel="0" collapsed="false">
      <c r="A2158" s="2" t="str">
        <f aca="false">HYPERLINK("https://www.fabsurplus.com/sdi_catalog/salesItemDetails.do?id=27825")</f>
        <v>https://www.fabsurplus.com/sdi_catalog/salesItemDetails.do?id=27825</v>
      </c>
      <c r="B2158" s="2" t="s">
        <v>5835</v>
      </c>
      <c r="C2158" s="2" t="s">
        <v>5658</v>
      </c>
      <c r="D2158" s="2" t="s">
        <v>5836</v>
      </c>
      <c r="E2158" s="2" t="s">
        <v>3139</v>
      </c>
      <c r="F2158" s="2" t="s">
        <v>16</v>
      </c>
      <c r="G2158" s="2"/>
      <c r="H2158" s="2"/>
      <c r="I2158" s="2"/>
      <c r="J2158" s="2"/>
      <c r="K2158" s="2"/>
      <c r="L2158" s="2" t="s">
        <v>5837</v>
      </c>
    </row>
    <row r="2159" customFormat="false" ht="15.65" hidden="false" customHeight="true" outlineLevel="0" collapsed="false">
      <c r="A2159" s="5" t="str">
        <f aca="false">HYPERLINK("https://www.fabsurplus.com/sdi_catalog/salesItemDetails.do?id=27826")</f>
        <v>https://www.fabsurplus.com/sdi_catalog/salesItemDetails.do?id=27826</v>
      </c>
      <c r="B2159" s="5" t="s">
        <v>5838</v>
      </c>
      <c r="C2159" s="5" t="s">
        <v>5658</v>
      </c>
      <c r="D2159" s="5" t="s">
        <v>5839</v>
      </c>
      <c r="E2159" s="5" t="s">
        <v>5840</v>
      </c>
      <c r="F2159" s="5" t="s">
        <v>16</v>
      </c>
      <c r="G2159" s="5" t="s">
        <v>3139</v>
      </c>
      <c r="H2159" s="5" t="s">
        <v>18</v>
      </c>
      <c r="I2159" s="5"/>
      <c r="J2159" s="5" t="s">
        <v>19</v>
      </c>
      <c r="K2159" s="5" t="s">
        <v>20</v>
      </c>
      <c r="L2159" s="5" t="s">
        <v>5841</v>
      </c>
    </row>
    <row r="2160" customFormat="false" ht="15.65" hidden="false" customHeight="true" outlineLevel="0" collapsed="false">
      <c r="A2160" s="2" t="str">
        <f aca="false">HYPERLINK("https://www.fabsurplus.com/sdi_catalog/salesItemDetails.do?id=27827")</f>
        <v>https://www.fabsurplus.com/sdi_catalog/salesItemDetails.do?id=27827</v>
      </c>
      <c r="B2160" s="2" t="s">
        <v>5842</v>
      </c>
      <c r="C2160" s="2" t="s">
        <v>5658</v>
      </c>
      <c r="D2160" s="2" t="s">
        <v>5843</v>
      </c>
      <c r="E2160" s="2" t="s">
        <v>3139</v>
      </c>
      <c r="F2160" s="2" t="s">
        <v>151</v>
      </c>
      <c r="G2160" s="2"/>
      <c r="H2160" s="2"/>
      <c r="I2160" s="2"/>
      <c r="J2160" s="2"/>
      <c r="K2160" s="2"/>
      <c r="L2160" s="2" t="s">
        <v>5844</v>
      </c>
    </row>
    <row r="2161" customFormat="false" ht="15.65" hidden="false" customHeight="true" outlineLevel="0" collapsed="false">
      <c r="A2161" s="5" t="str">
        <f aca="false">HYPERLINK("https://www.fabsurplus.com/sdi_catalog/salesItemDetails.do?id=27828")</f>
        <v>https://www.fabsurplus.com/sdi_catalog/salesItemDetails.do?id=27828</v>
      </c>
      <c r="B2161" s="5" t="s">
        <v>5845</v>
      </c>
      <c r="C2161" s="5" t="s">
        <v>5658</v>
      </c>
      <c r="D2161" s="5" t="s">
        <v>5846</v>
      </c>
      <c r="E2161" s="5" t="s">
        <v>3139</v>
      </c>
      <c r="F2161" s="5" t="s">
        <v>16</v>
      </c>
      <c r="G2161" s="5"/>
      <c r="H2161" s="5"/>
      <c r="I2161" s="5"/>
      <c r="J2161" s="5"/>
      <c r="K2161" s="5"/>
      <c r="L2161" s="5" t="s">
        <v>5847</v>
      </c>
    </row>
    <row r="2162" customFormat="false" ht="15.65" hidden="false" customHeight="true" outlineLevel="0" collapsed="false">
      <c r="A2162" s="2" t="str">
        <f aca="false">HYPERLINK("https://www.fabsurplus.com/sdi_catalog/salesItemDetails.do?id=27829")</f>
        <v>https://www.fabsurplus.com/sdi_catalog/salesItemDetails.do?id=27829</v>
      </c>
      <c r="B2162" s="2" t="s">
        <v>5848</v>
      </c>
      <c r="C2162" s="2" t="s">
        <v>5658</v>
      </c>
      <c r="D2162" s="2" t="s">
        <v>5849</v>
      </c>
      <c r="E2162" s="2" t="s">
        <v>3139</v>
      </c>
      <c r="F2162" s="2" t="s">
        <v>16</v>
      </c>
      <c r="G2162" s="2"/>
      <c r="H2162" s="2"/>
      <c r="I2162" s="2"/>
      <c r="J2162" s="2"/>
      <c r="K2162" s="2"/>
      <c r="L2162" s="2" t="s">
        <v>5850</v>
      </c>
    </row>
    <row r="2163" customFormat="false" ht="15.65" hidden="false" customHeight="true" outlineLevel="0" collapsed="false">
      <c r="A2163" s="5" t="str">
        <f aca="false">HYPERLINK("https://www.fabsurplus.com/sdi_catalog/salesItemDetails.do?id=27830")</f>
        <v>https://www.fabsurplus.com/sdi_catalog/salesItemDetails.do?id=27830</v>
      </c>
      <c r="B2163" s="5" t="s">
        <v>5851</v>
      </c>
      <c r="C2163" s="5" t="s">
        <v>5658</v>
      </c>
      <c r="D2163" s="5" t="s">
        <v>5786</v>
      </c>
      <c r="E2163" s="5" t="s">
        <v>3139</v>
      </c>
      <c r="F2163" s="5" t="s">
        <v>16</v>
      </c>
      <c r="G2163" s="5"/>
      <c r="H2163" s="5"/>
      <c r="I2163" s="5"/>
      <c r="J2163" s="5"/>
      <c r="K2163" s="5"/>
      <c r="L2163" s="5" t="s">
        <v>5852</v>
      </c>
    </row>
    <row r="2164" customFormat="false" ht="15.65" hidden="false" customHeight="true" outlineLevel="0" collapsed="false">
      <c r="A2164" s="2" t="str">
        <f aca="false">HYPERLINK("https://www.fabsurplus.com/sdi_catalog/salesItemDetails.do?id=27835")</f>
        <v>https://www.fabsurplus.com/sdi_catalog/salesItemDetails.do?id=27835</v>
      </c>
      <c r="B2164" s="2" t="s">
        <v>5853</v>
      </c>
      <c r="C2164" s="2" t="s">
        <v>5658</v>
      </c>
      <c r="D2164" s="2" t="s">
        <v>5829</v>
      </c>
      <c r="E2164" s="2" t="s">
        <v>5854</v>
      </c>
      <c r="F2164" s="2" t="s">
        <v>16</v>
      </c>
      <c r="G2164" s="2"/>
      <c r="H2164" s="2"/>
      <c r="I2164" s="2"/>
      <c r="J2164" s="2"/>
      <c r="K2164" s="2"/>
      <c r="L2164" s="2" t="s">
        <v>5855</v>
      </c>
    </row>
    <row r="2165" customFormat="false" ht="15.65" hidden="false" customHeight="true" outlineLevel="0" collapsed="false">
      <c r="A2165" s="5" t="str">
        <f aca="false">HYPERLINK("https://www.fabsurplus.com/sdi_catalog/salesItemDetails.do?id=27836")</f>
        <v>https://www.fabsurplus.com/sdi_catalog/salesItemDetails.do?id=27836</v>
      </c>
      <c r="B2165" s="5" t="s">
        <v>5856</v>
      </c>
      <c r="C2165" s="5" t="s">
        <v>5658</v>
      </c>
      <c r="D2165" s="5" t="s">
        <v>5843</v>
      </c>
      <c r="E2165" s="5" t="s">
        <v>5857</v>
      </c>
      <c r="F2165" s="5" t="s">
        <v>16</v>
      </c>
      <c r="G2165" s="5"/>
      <c r="H2165" s="5"/>
      <c r="I2165" s="5"/>
      <c r="J2165" s="5"/>
      <c r="K2165" s="5"/>
      <c r="L2165" s="5"/>
    </row>
    <row r="2166" customFormat="false" ht="15.65" hidden="false" customHeight="true" outlineLevel="0" collapsed="false">
      <c r="A2166" s="2" t="str">
        <f aca="false">HYPERLINK("https://www.fabsurplus.com/sdi_catalog/salesItemDetails.do?id=27837")</f>
        <v>https://www.fabsurplus.com/sdi_catalog/salesItemDetails.do?id=27837</v>
      </c>
      <c r="B2166" s="2" t="s">
        <v>5858</v>
      </c>
      <c r="C2166" s="2" t="s">
        <v>5658</v>
      </c>
      <c r="D2166" s="2" t="s">
        <v>5859</v>
      </c>
      <c r="E2166" s="2" t="s">
        <v>5860</v>
      </c>
      <c r="F2166" s="2" t="s">
        <v>16</v>
      </c>
      <c r="G2166" s="2"/>
      <c r="H2166" s="2"/>
      <c r="I2166" s="2"/>
      <c r="J2166" s="2"/>
      <c r="K2166" s="2"/>
      <c r="L2166" s="2" t="s">
        <v>5861</v>
      </c>
    </row>
    <row r="2167" customFormat="false" ht="15.65" hidden="false" customHeight="true" outlineLevel="0" collapsed="false">
      <c r="A2167" s="5" t="str">
        <f aca="false">HYPERLINK("https://www.fabsurplus.com/sdi_catalog/salesItemDetails.do?id=27838")</f>
        <v>https://www.fabsurplus.com/sdi_catalog/salesItemDetails.do?id=27838</v>
      </c>
      <c r="B2167" s="5" t="s">
        <v>5862</v>
      </c>
      <c r="C2167" s="5" t="s">
        <v>5658</v>
      </c>
      <c r="D2167" s="5" t="s">
        <v>5863</v>
      </c>
      <c r="E2167" s="5" t="s">
        <v>5864</v>
      </c>
      <c r="F2167" s="5" t="s">
        <v>16</v>
      </c>
      <c r="G2167" s="5"/>
      <c r="H2167" s="5"/>
      <c r="I2167" s="5"/>
      <c r="J2167" s="5"/>
      <c r="K2167" s="5"/>
      <c r="L2167" s="5" t="s">
        <v>5865</v>
      </c>
    </row>
    <row r="2168" customFormat="false" ht="15.65" hidden="false" customHeight="true" outlineLevel="0" collapsed="false">
      <c r="A2168" s="2" t="str">
        <f aca="false">HYPERLINK("https://www.fabsurplus.com/sdi_catalog/salesItemDetails.do?id=27839")</f>
        <v>https://www.fabsurplus.com/sdi_catalog/salesItemDetails.do?id=27839</v>
      </c>
      <c r="B2168" s="2" t="s">
        <v>5866</v>
      </c>
      <c r="C2168" s="2" t="s">
        <v>5658</v>
      </c>
      <c r="D2168" s="2" t="s">
        <v>5863</v>
      </c>
      <c r="E2168" s="2" t="s">
        <v>5867</v>
      </c>
      <c r="F2168" s="2" t="s">
        <v>86</v>
      </c>
      <c r="G2168" s="2"/>
      <c r="H2168" s="2"/>
      <c r="I2168" s="2"/>
      <c r="J2168" s="2"/>
      <c r="K2168" s="2"/>
      <c r="L2168" s="2" t="s">
        <v>5868</v>
      </c>
    </row>
    <row r="2169" customFormat="false" ht="15.65" hidden="false" customHeight="true" outlineLevel="0" collapsed="false">
      <c r="A2169" s="5" t="str">
        <f aca="false">HYPERLINK("https://www.fabsurplus.com/sdi_catalog/salesItemDetails.do?id=27840")</f>
        <v>https://www.fabsurplus.com/sdi_catalog/salesItemDetails.do?id=27840</v>
      </c>
      <c r="B2169" s="5" t="s">
        <v>5869</v>
      </c>
      <c r="C2169" s="5" t="s">
        <v>5658</v>
      </c>
      <c r="D2169" s="5" t="s">
        <v>5859</v>
      </c>
      <c r="E2169" s="5" t="s">
        <v>3139</v>
      </c>
      <c r="F2169" s="5" t="s">
        <v>16</v>
      </c>
      <c r="G2169" s="5"/>
      <c r="H2169" s="5" t="s">
        <v>18</v>
      </c>
      <c r="I2169" s="5"/>
      <c r="J2169" s="5" t="s">
        <v>19</v>
      </c>
      <c r="K2169" s="5" t="s">
        <v>20</v>
      </c>
      <c r="L2169" s="5" t="s">
        <v>5870</v>
      </c>
    </row>
    <row r="2170" customFormat="false" ht="15.65" hidden="false" customHeight="true" outlineLevel="0" collapsed="false">
      <c r="A2170" s="2" t="str">
        <f aca="false">HYPERLINK("https://www.fabsurplus.com/sdi_catalog/salesItemDetails.do?id=27841")</f>
        <v>https://www.fabsurplus.com/sdi_catalog/salesItemDetails.do?id=27841</v>
      </c>
      <c r="B2170" s="2" t="s">
        <v>5871</v>
      </c>
      <c r="C2170" s="2" t="s">
        <v>5658</v>
      </c>
      <c r="D2170" s="2" t="s">
        <v>5872</v>
      </c>
      <c r="E2170" s="2" t="s">
        <v>3139</v>
      </c>
      <c r="F2170" s="2" t="s">
        <v>16</v>
      </c>
      <c r="G2170" s="2"/>
      <c r="H2170" s="2"/>
      <c r="I2170" s="2"/>
      <c r="J2170" s="2"/>
      <c r="K2170" s="2"/>
      <c r="L2170" s="2" t="s">
        <v>5840</v>
      </c>
    </row>
    <row r="2171" customFormat="false" ht="15.65" hidden="false" customHeight="true" outlineLevel="0" collapsed="false">
      <c r="A2171" s="5" t="str">
        <f aca="false">HYPERLINK("https://www.fabsurplus.com/sdi_catalog/salesItemDetails.do?id=27842")</f>
        <v>https://www.fabsurplus.com/sdi_catalog/salesItemDetails.do?id=27842</v>
      </c>
      <c r="B2171" s="5" t="s">
        <v>5873</v>
      </c>
      <c r="C2171" s="5" t="s">
        <v>5658</v>
      </c>
      <c r="D2171" s="5" t="s">
        <v>5874</v>
      </c>
      <c r="E2171" s="5" t="s">
        <v>5875</v>
      </c>
      <c r="F2171" s="5" t="s">
        <v>151</v>
      </c>
      <c r="G2171" s="5"/>
      <c r="H2171" s="5"/>
      <c r="I2171" s="5"/>
      <c r="J2171" s="5"/>
      <c r="K2171" s="5"/>
      <c r="L2171" s="5" t="s">
        <v>5876</v>
      </c>
    </row>
    <row r="2172" customFormat="false" ht="15.65" hidden="false" customHeight="true" outlineLevel="0" collapsed="false">
      <c r="A2172" s="2" t="str">
        <f aca="false">HYPERLINK("https://www.fabsurplus.com/sdi_catalog/salesItemDetails.do?id=27871")</f>
        <v>https://www.fabsurplus.com/sdi_catalog/salesItemDetails.do?id=27871</v>
      </c>
      <c r="B2172" s="2" t="s">
        <v>5877</v>
      </c>
      <c r="C2172" s="2" t="s">
        <v>5658</v>
      </c>
      <c r="D2172" s="2" t="s">
        <v>5878</v>
      </c>
      <c r="E2172" s="2" t="s">
        <v>5879</v>
      </c>
      <c r="F2172" s="2" t="s">
        <v>16</v>
      </c>
      <c r="G2172" s="2"/>
      <c r="H2172" s="2"/>
      <c r="I2172" s="2"/>
      <c r="J2172" s="2"/>
      <c r="K2172" s="2"/>
      <c r="L2172" s="2"/>
    </row>
    <row r="2173" customFormat="false" ht="15.65" hidden="false" customHeight="true" outlineLevel="0" collapsed="false">
      <c r="A2173" s="5" t="str">
        <f aca="false">HYPERLINK("https://www.fabsurplus.com/sdi_catalog/salesItemDetails.do?id=27872")</f>
        <v>https://www.fabsurplus.com/sdi_catalog/salesItemDetails.do?id=27872</v>
      </c>
      <c r="B2173" s="5" t="s">
        <v>5880</v>
      </c>
      <c r="C2173" s="5" t="s">
        <v>5658</v>
      </c>
      <c r="D2173" s="5" t="s">
        <v>5829</v>
      </c>
      <c r="E2173" s="5" t="s">
        <v>5881</v>
      </c>
      <c r="F2173" s="5" t="s">
        <v>16</v>
      </c>
      <c r="G2173" s="5"/>
      <c r="H2173" s="5"/>
      <c r="I2173" s="5"/>
      <c r="J2173" s="5"/>
      <c r="K2173" s="5"/>
      <c r="L2173" s="5"/>
    </row>
    <row r="2174" customFormat="false" ht="15.65" hidden="false" customHeight="true" outlineLevel="0" collapsed="false">
      <c r="A2174" s="2" t="str">
        <f aca="false">HYPERLINK("https://www.fabsurplus.com/sdi_catalog/salesItemDetails.do?id=27873")</f>
        <v>https://www.fabsurplus.com/sdi_catalog/salesItemDetails.do?id=27873</v>
      </c>
      <c r="B2174" s="2" t="s">
        <v>5882</v>
      </c>
      <c r="C2174" s="2" t="s">
        <v>5658</v>
      </c>
      <c r="D2174" s="2" t="s">
        <v>5883</v>
      </c>
      <c r="E2174" s="2" t="s">
        <v>5884</v>
      </c>
      <c r="F2174" s="2" t="s">
        <v>16</v>
      </c>
      <c r="G2174" s="2"/>
      <c r="H2174" s="2"/>
      <c r="I2174" s="2"/>
      <c r="J2174" s="2"/>
      <c r="K2174" s="2"/>
      <c r="L2174" s="2"/>
    </row>
    <row r="2175" customFormat="false" ht="15.65" hidden="false" customHeight="true" outlineLevel="0" collapsed="false">
      <c r="A2175" s="5" t="str">
        <f aca="false">HYPERLINK("https://www.fabsurplus.com/sdi_catalog/salesItemDetails.do?id=27874")</f>
        <v>https://www.fabsurplus.com/sdi_catalog/salesItemDetails.do?id=27874</v>
      </c>
      <c r="B2175" s="5" t="s">
        <v>5885</v>
      </c>
      <c r="C2175" s="5" t="s">
        <v>5658</v>
      </c>
      <c r="D2175" s="5" t="s">
        <v>5886</v>
      </c>
      <c r="E2175" s="5" t="s">
        <v>5887</v>
      </c>
      <c r="F2175" s="5" t="s">
        <v>16</v>
      </c>
      <c r="G2175" s="5"/>
      <c r="H2175" s="5"/>
      <c r="I2175" s="5"/>
      <c r="J2175" s="5"/>
      <c r="K2175" s="5"/>
      <c r="L2175" s="5" t="s">
        <v>5888</v>
      </c>
    </row>
    <row r="2176" customFormat="false" ht="15.65" hidden="false" customHeight="true" outlineLevel="0" collapsed="false">
      <c r="A2176" s="2" t="str">
        <f aca="false">HYPERLINK("https://www.fabsurplus.com/sdi_catalog/salesItemDetails.do?id=27875")</f>
        <v>https://www.fabsurplus.com/sdi_catalog/salesItemDetails.do?id=27875</v>
      </c>
      <c r="B2176" s="2" t="s">
        <v>5889</v>
      </c>
      <c r="C2176" s="2" t="s">
        <v>5658</v>
      </c>
      <c r="D2176" s="2" t="s">
        <v>5890</v>
      </c>
      <c r="E2176" s="2" t="s">
        <v>5891</v>
      </c>
      <c r="F2176" s="2" t="s">
        <v>16</v>
      </c>
      <c r="G2176" s="2"/>
      <c r="H2176" s="2"/>
      <c r="I2176" s="2"/>
      <c r="J2176" s="2"/>
      <c r="K2176" s="2"/>
      <c r="L2176" s="2"/>
    </row>
    <row r="2177" customFormat="false" ht="15.65" hidden="false" customHeight="true" outlineLevel="0" collapsed="false">
      <c r="A2177" s="5" t="str">
        <f aca="false">HYPERLINK("https://www.fabsurplus.com/sdi_catalog/salesItemDetails.do?id=27876")</f>
        <v>https://www.fabsurplus.com/sdi_catalog/salesItemDetails.do?id=27876</v>
      </c>
      <c r="B2177" s="5" t="s">
        <v>5892</v>
      </c>
      <c r="C2177" s="5" t="s">
        <v>5658</v>
      </c>
      <c r="D2177" s="5" t="s">
        <v>5893</v>
      </c>
      <c r="E2177" s="5" t="s">
        <v>5894</v>
      </c>
      <c r="F2177" s="5" t="s">
        <v>151</v>
      </c>
      <c r="G2177" s="5"/>
      <c r="H2177" s="5"/>
      <c r="I2177" s="5"/>
      <c r="J2177" s="5"/>
      <c r="K2177" s="5"/>
      <c r="L2177" s="5"/>
    </row>
    <row r="2178" customFormat="false" ht="15.65" hidden="false" customHeight="true" outlineLevel="0" collapsed="false">
      <c r="A2178" s="2" t="str">
        <f aca="false">HYPERLINK("https://www.fabsurplus.com/sdi_catalog/salesItemDetails.do?id=27877")</f>
        <v>https://www.fabsurplus.com/sdi_catalog/salesItemDetails.do?id=27877</v>
      </c>
      <c r="B2178" s="2" t="s">
        <v>5895</v>
      </c>
      <c r="C2178" s="2" t="s">
        <v>5658</v>
      </c>
      <c r="D2178" s="2" t="s">
        <v>5896</v>
      </c>
      <c r="E2178" s="2" t="s">
        <v>5897</v>
      </c>
      <c r="F2178" s="2" t="s">
        <v>16</v>
      </c>
      <c r="G2178" s="2"/>
      <c r="H2178" s="2"/>
      <c r="I2178" s="2"/>
      <c r="J2178" s="2"/>
      <c r="K2178" s="2"/>
      <c r="L2178" s="2"/>
    </row>
    <row r="2179" customFormat="false" ht="15.65" hidden="false" customHeight="true" outlineLevel="0" collapsed="false">
      <c r="A2179" s="5" t="str">
        <f aca="false">HYPERLINK("https://www.fabsurplus.com/sdi_catalog/salesItemDetails.do?id=27878")</f>
        <v>https://www.fabsurplus.com/sdi_catalog/salesItemDetails.do?id=27878</v>
      </c>
      <c r="B2179" s="5" t="s">
        <v>5898</v>
      </c>
      <c r="C2179" s="5" t="s">
        <v>5658</v>
      </c>
      <c r="D2179" s="5" t="s">
        <v>5899</v>
      </c>
      <c r="E2179" s="5" t="s">
        <v>5900</v>
      </c>
      <c r="F2179" s="5" t="s">
        <v>16</v>
      </c>
      <c r="G2179" s="5"/>
      <c r="H2179" s="5"/>
      <c r="I2179" s="5"/>
      <c r="J2179" s="5"/>
      <c r="K2179" s="5"/>
      <c r="L2179" s="5"/>
    </row>
    <row r="2180" customFormat="false" ht="15.65" hidden="false" customHeight="true" outlineLevel="0" collapsed="false">
      <c r="A2180" s="2" t="str">
        <f aca="false">HYPERLINK("https://www.fabsurplus.com/sdi_catalog/salesItemDetails.do?id=27879")</f>
        <v>https://www.fabsurplus.com/sdi_catalog/salesItemDetails.do?id=27879</v>
      </c>
      <c r="B2180" s="2" t="s">
        <v>5901</v>
      </c>
      <c r="C2180" s="2" t="s">
        <v>5658</v>
      </c>
      <c r="D2180" s="2" t="s">
        <v>5902</v>
      </c>
      <c r="E2180" s="2" t="s">
        <v>5903</v>
      </c>
      <c r="F2180" s="2" t="s">
        <v>16</v>
      </c>
      <c r="G2180" s="2" t="s">
        <v>3139</v>
      </c>
      <c r="H2180" s="2" t="s">
        <v>32</v>
      </c>
      <c r="I2180" s="2"/>
      <c r="J2180" s="2" t="s">
        <v>19</v>
      </c>
      <c r="K2180" s="2" t="s">
        <v>20</v>
      </c>
      <c r="L2180" s="4" t="s">
        <v>5904</v>
      </c>
    </row>
    <row r="2181" customFormat="false" ht="15.65" hidden="false" customHeight="true" outlineLevel="0" collapsed="false">
      <c r="A2181" s="5" t="str">
        <f aca="false">HYPERLINK("https://www.fabsurplus.com/sdi_catalog/salesItemDetails.do?id=27880")</f>
        <v>https://www.fabsurplus.com/sdi_catalog/salesItemDetails.do?id=27880</v>
      </c>
      <c r="B2181" s="5" t="s">
        <v>5905</v>
      </c>
      <c r="C2181" s="5" t="s">
        <v>5658</v>
      </c>
      <c r="D2181" s="5" t="s">
        <v>5823</v>
      </c>
      <c r="E2181" s="5" t="s">
        <v>5906</v>
      </c>
      <c r="F2181" s="5" t="s">
        <v>151</v>
      </c>
      <c r="G2181" s="5" t="s">
        <v>5777</v>
      </c>
      <c r="H2181" s="5" t="s">
        <v>18</v>
      </c>
      <c r="I2181" s="5"/>
      <c r="J2181" s="5" t="s">
        <v>19</v>
      </c>
      <c r="K2181" s="5" t="s">
        <v>20</v>
      </c>
      <c r="L2181" s="7" t="s">
        <v>5907</v>
      </c>
    </row>
    <row r="2182" customFormat="false" ht="15.65" hidden="false" customHeight="true" outlineLevel="0" collapsed="false">
      <c r="A2182" s="2" t="str">
        <f aca="false">HYPERLINK("https://www.fabsurplus.com/sdi_catalog/salesItemDetails.do?id=27881")</f>
        <v>https://www.fabsurplus.com/sdi_catalog/salesItemDetails.do?id=27881</v>
      </c>
      <c r="B2182" s="2" t="s">
        <v>5908</v>
      </c>
      <c r="C2182" s="2" t="s">
        <v>5658</v>
      </c>
      <c r="D2182" s="2" t="s">
        <v>5909</v>
      </c>
      <c r="E2182" s="2" t="s">
        <v>5910</v>
      </c>
      <c r="F2182" s="2" t="s">
        <v>16</v>
      </c>
      <c r="G2182" s="2" t="s">
        <v>3139</v>
      </c>
      <c r="H2182" s="2" t="s">
        <v>18</v>
      </c>
      <c r="I2182" s="2"/>
      <c r="J2182" s="2" t="s">
        <v>19</v>
      </c>
      <c r="K2182" s="2" t="s">
        <v>20</v>
      </c>
      <c r="L2182" s="4" t="s">
        <v>5911</v>
      </c>
    </row>
    <row r="2183" customFormat="false" ht="15.65" hidden="false" customHeight="true" outlineLevel="0" collapsed="false">
      <c r="A2183" s="5" t="str">
        <f aca="false">HYPERLINK("https://www.fabsurplus.com/sdi_catalog/salesItemDetails.do?id=109553")</f>
        <v>https://www.fabsurplus.com/sdi_catalog/salesItemDetails.do?id=109553</v>
      </c>
      <c r="B2183" s="5" t="s">
        <v>5912</v>
      </c>
      <c r="C2183" s="5" t="s">
        <v>5658</v>
      </c>
      <c r="D2183" s="5" t="s">
        <v>5755</v>
      </c>
      <c r="E2183" s="5" t="s">
        <v>5756</v>
      </c>
      <c r="F2183" s="5" t="s">
        <v>16</v>
      </c>
      <c r="G2183" s="5" t="s">
        <v>61</v>
      </c>
      <c r="H2183" s="5" t="s">
        <v>32</v>
      </c>
      <c r="I2183" s="6" t="n">
        <v>39173</v>
      </c>
      <c r="J2183" s="5" t="s">
        <v>19</v>
      </c>
      <c r="K2183" s="5" t="s">
        <v>20</v>
      </c>
      <c r="L2183" s="7" t="s">
        <v>5757</v>
      </c>
    </row>
    <row r="2184" customFormat="false" ht="15.65" hidden="false" customHeight="true" outlineLevel="0" collapsed="false">
      <c r="A2184" s="2" t="str">
        <f aca="false">HYPERLINK("https://www.fabsurplus.com/sdi_catalog/salesItemDetails.do?id=75296")</f>
        <v>https://www.fabsurplus.com/sdi_catalog/salesItemDetails.do?id=75296</v>
      </c>
      <c r="B2184" s="2" t="s">
        <v>5913</v>
      </c>
      <c r="C2184" s="2" t="s">
        <v>5914</v>
      </c>
      <c r="D2184" s="2" t="s">
        <v>5915</v>
      </c>
      <c r="E2184" s="2" t="s">
        <v>5916</v>
      </c>
      <c r="F2184" s="2" t="s">
        <v>16</v>
      </c>
      <c r="G2184" s="2" t="s">
        <v>38</v>
      </c>
      <c r="H2184" s="2" t="s">
        <v>275</v>
      </c>
      <c r="I2184" s="2"/>
      <c r="J2184" s="2" t="s">
        <v>42</v>
      </c>
      <c r="K2184" s="2" t="s">
        <v>1560</v>
      </c>
      <c r="L2184" s="4" t="s">
        <v>5917</v>
      </c>
    </row>
    <row r="2185" customFormat="false" ht="15.65" hidden="false" customHeight="true" outlineLevel="0" collapsed="false">
      <c r="A2185" s="5" t="str">
        <f aca="false">HYPERLINK("https://www.fabsurplus.com/sdi_catalog/salesItemDetails.do?id=93084")</f>
        <v>https://www.fabsurplus.com/sdi_catalog/salesItemDetails.do?id=93084</v>
      </c>
      <c r="B2185" s="5" t="s">
        <v>5918</v>
      </c>
      <c r="C2185" s="5" t="s">
        <v>5919</v>
      </c>
      <c r="D2185" s="5" t="s">
        <v>5920</v>
      </c>
      <c r="E2185" s="5" t="s">
        <v>5921</v>
      </c>
      <c r="F2185" s="5" t="s">
        <v>16</v>
      </c>
      <c r="G2185" s="5" t="s">
        <v>1287</v>
      </c>
      <c r="H2185" s="5"/>
      <c r="I2185" s="5"/>
      <c r="J2185" s="5" t="s">
        <v>19</v>
      </c>
      <c r="K2185" s="5"/>
      <c r="L2185" s="5" t="s">
        <v>142</v>
      </c>
    </row>
    <row r="2186" customFormat="false" ht="15.65" hidden="false" customHeight="true" outlineLevel="0" collapsed="false">
      <c r="A2186" s="2" t="str">
        <f aca="false">HYPERLINK("https://www.fabsurplus.com/sdi_catalog/salesItemDetails.do?id=83616")</f>
        <v>https://www.fabsurplus.com/sdi_catalog/salesItemDetails.do?id=83616</v>
      </c>
      <c r="B2186" s="2" t="s">
        <v>5922</v>
      </c>
      <c r="C2186" s="2" t="s">
        <v>5923</v>
      </c>
      <c r="D2186" s="2" t="s">
        <v>5924</v>
      </c>
      <c r="E2186" s="2" t="s">
        <v>5925</v>
      </c>
      <c r="F2186" s="2" t="s">
        <v>250</v>
      </c>
      <c r="G2186" s="2" t="s">
        <v>5926</v>
      </c>
      <c r="H2186" s="2" t="s">
        <v>98</v>
      </c>
      <c r="I2186" s="3" t="n">
        <v>39448</v>
      </c>
      <c r="J2186" s="2" t="s">
        <v>19</v>
      </c>
      <c r="K2186" s="2" t="s">
        <v>20</v>
      </c>
      <c r="L2186" s="4" t="s">
        <v>5927</v>
      </c>
    </row>
    <row r="2187" customFormat="false" ht="15.65" hidden="false" customHeight="true" outlineLevel="0" collapsed="false">
      <c r="A2187" s="5" t="str">
        <f aca="false">HYPERLINK("https://www.fabsurplus.com/sdi_catalog/salesItemDetails.do?id=83884")</f>
        <v>https://www.fabsurplus.com/sdi_catalog/salesItemDetails.do?id=83884</v>
      </c>
      <c r="B2187" s="5" t="s">
        <v>5928</v>
      </c>
      <c r="C2187" s="5" t="s">
        <v>5929</v>
      </c>
      <c r="D2187" s="5" t="s">
        <v>5930</v>
      </c>
      <c r="E2187" s="5" t="s">
        <v>5931</v>
      </c>
      <c r="F2187" s="5" t="s">
        <v>145</v>
      </c>
      <c r="G2187" s="5"/>
      <c r="H2187" s="5" t="s">
        <v>98</v>
      </c>
      <c r="I2187" s="5"/>
      <c r="J2187" s="5" t="s">
        <v>19</v>
      </c>
      <c r="K2187" s="5" t="s">
        <v>20</v>
      </c>
      <c r="L2187" s="7" t="s">
        <v>5932</v>
      </c>
    </row>
    <row r="2188" customFormat="false" ht="15.65" hidden="false" customHeight="true" outlineLevel="0" collapsed="false">
      <c r="A2188" s="2" t="str">
        <f aca="false">HYPERLINK("https://www.fabsurplus.com/sdi_catalog/salesItemDetails.do?id=84260")</f>
        <v>https://www.fabsurplus.com/sdi_catalog/salesItemDetails.do?id=84260</v>
      </c>
      <c r="B2188" s="2" t="s">
        <v>5933</v>
      </c>
      <c r="C2188" s="2" t="s">
        <v>5934</v>
      </c>
      <c r="D2188" s="2" t="s">
        <v>5935</v>
      </c>
      <c r="E2188" s="2" t="s">
        <v>5936</v>
      </c>
      <c r="F2188" s="2" t="s">
        <v>16</v>
      </c>
      <c r="G2188" s="2"/>
      <c r="H2188" s="2"/>
      <c r="I2188" s="2"/>
      <c r="J2188" s="2"/>
      <c r="K2188" s="2"/>
      <c r="L2188" s="4" t="s">
        <v>5937</v>
      </c>
    </row>
    <row r="2189" customFormat="false" ht="15.65" hidden="false" customHeight="true" outlineLevel="0" collapsed="false">
      <c r="A2189" s="5" t="str">
        <f aca="false">HYPERLINK("https://www.fabsurplus.com/sdi_catalog/salesItemDetails.do?id=103814")</f>
        <v>https://www.fabsurplus.com/sdi_catalog/salesItemDetails.do?id=103814</v>
      </c>
      <c r="B2189" s="5" t="s">
        <v>5938</v>
      </c>
      <c r="C2189" s="5" t="s">
        <v>5939</v>
      </c>
      <c r="D2189" s="5" t="s">
        <v>5940</v>
      </c>
      <c r="E2189" s="5" t="s">
        <v>5941</v>
      </c>
      <c r="F2189" s="5" t="s">
        <v>16</v>
      </c>
      <c r="G2189" s="5" t="s">
        <v>104</v>
      </c>
      <c r="H2189" s="5" t="s">
        <v>98</v>
      </c>
      <c r="I2189" s="6" t="n">
        <v>38473</v>
      </c>
      <c r="J2189" s="5" t="s">
        <v>19</v>
      </c>
      <c r="K2189" s="5" t="s">
        <v>20</v>
      </c>
      <c r="L2189" s="7" t="s">
        <v>5942</v>
      </c>
    </row>
    <row r="2190" customFormat="false" ht="15.65" hidden="false" customHeight="true" outlineLevel="0" collapsed="false">
      <c r="A2190" s="2" t="str">
        <f aca="false">HYPERLINK("https://www.fabsurplus.com/sdi_catalog/salesItemDetails.do?id=83544")</f>
        <v>https://www.fabsurplus.com/sdi_catalog/salesItemDetails.do?id=83544</v>
      </c>
      <c r="B2190" s="2" t="s">
        <v>5943</v>
      </c>
      <c r="C2190" s="2" t="s">
        <v>5944</v>
      </c>
      <c r="D2190" s="2" t="s">
        <v>5945</v>
      </c>
      <c r="E2190" s="2" t="s">
        <v>5946</v>
      </c>
      <c r="F2190" s="2" t="s">
        <v>151</v>
      </c>
      <c r="G2190" s="2" t="s">
        <v>104</v>
      </c>
      <c r="H2190" s="2" t="s">
        <v>32</v>
      </c>
      <c r="I2190" s="3" t="n">
        <v>35096</v>
      </c>
      <c r="J2190" s="2" t="s">
        <v>19</v>
      </c>
      <c r="K2190" s="2" t="s">
        <v>20</v>
      </c>
      <c r="L2190" s="4" t="s">
        <v>5947</v>
      </c>
    </row>
    <row r="2191" customFormat="false" ht="15.65" hidden="false" customHeight="true" outlineLevel="0" collapsed="false">
      <c r="A2191" s="5" t="str">
        <f aca="false">HYPERLINK("https://www.fabsurplus.com/sdi_catalog/salesItemDetails.do?id=83549")</f>
        <v>https://www.fabsurplus.com/sdi_catalog/salesItemDetails.do?id=83549</v>
      </c>
      <c r="B2191" s="5" t="s">
        <v>5948</v>
      </c>
      <c r="C2191" s="5" t="s">
        <v>5944</v>
      </c>
      <c r="D2191" s="5" t="s">
        <v>5949</v>
      </c>
      <c r="E2191" s="5" t="s">
        <v>5950</v>
      </c>
      <c r="F2191" s="5" t="s">
        <v>16</v>
      </c>
      <c r="G2191" s="5" t="s">
        <v>104</v>
      </c>
      <c r="H2191" s="5" t="s">
        <v>32</v>
      </c>
      <c r="I2191" s="6" t="n">
        <v>35034</v>
      </c>
      <c r="J2191" s="5" t="s">
        <v>19</v>
      </c>
      <c r="K2191" s="5" t="s">
        <v>20</v>
      </c>
      <c r="L2191" s="7" t="s">
        <v>5951</v>
      </c>
    </row>
    <row r="2192" customFormat="false" ht="15.65" hidden="false" customHeight="true" outlineLevel="0" collapsed="false">
      <c r="A2192" s="2" t="str">
        <f aca="false">HYPERLINK("https://www.fabsurplus.com/sdi_catalog/salesItemDetails.do?id=106475")</f>
        <v>https://www.fabsurplus.com/sdi_catalog/salesItemDetails.do?id=106475</v>
      </c>
      <c r="B2192" s="2" t="s">
        <v>5952</v>
      </c>
      <c r="C2192" s="2" t="s">
        <v>5953</v>
      </c>
      <c r="D2192" s="2" t="s">
        <v>5954</v>
      </c>
      <c r="E2192" s="2" t="s">
        <v>5955</v>
      </c>
      <c r="F2192" s="2" t="s">
        <v>16</v>
      </c>
      <c r="G2192" s="2" t="s">
        <v>2868</v>
      </c>
      <c r="H2192" s="2"/>
      <c r="I2192" s="2"/>
      <c r="J2192" s="2" t="s">
        <v>19</v>
      </c>
      <c r="K2192" s="2"/>
      <c r="L2192" s="2" t="s">
        <v>4017</v>
      </c>
    </row>
    <row r="2193" customFormat="false" ht="15.65" hidden="false" customHeight="true" outlineLevel="0" collapsed="false">
      <c r="A2193" s="5" t="str">
        <f aca="false">HYPERLINK("https://www.fabsurplus.com/sdi_catalog/salesItemDetails.do?id=109178")</f>
        <v>https://www.fabsurplus.com/sdi_catalog/salesItemDetails.do?id=109178</v>
      </c>
      <c r="B2193" s="5" t="s">
        <v>5956</v>
      </c>
      <c r="C2193" s="5" t="s">
        <v>5957</v>
      </c>
      <c r="D2193" s="5" t="s">
        <v>5958</v>
      </c>
      <c r="E2193" s="5" t="s">
        <v>5959</v>
      </c>
      <c r="F2193" s="5" t="s">
        <v>16</v>
      </c>
      <c r="G2193" s="5" t="s">
        <v>1803</v>
      </c>
      <c r="H2193" s="5"/>
      <c r="I2193" s="5"/>
      <c r="J2193" s="5" t="s">
        <v>19</v>
      </c>
      <c r="K2193" s="5"/>
      <c r="L2193" s="5"/>
    </row>
    <row r="2194" customFormat="false" ht="15.65" hidden="false" customHeight="true" outlineLevel="0" collapsed="false">
      <c r="A2194" s="2" t="str">
        <f aca="false">HYPERLINK("https://www.fabsurplus.com/sdi_catalog/salesItemDetails.do?id=83903")</f>
        <v>https://www.fabsurplus.com/sdi_catalog/salesItemDetails.do?id=83903</v>
      </c>
      <c r="B2194" s="2" t="s">
        <v>5960</v>
      </c>
      <c r="C2194" s="2" t="s">
        <v>5961</v>
      </c>
      <c r="D2194" s="2" t="s">
        <v>5962</v>
      </c>
      <c r="E2194" s="2" t="s">
        <v>5963</v>
      </c>
      <c r="F2194" s="2" t="s">
        <v>151</v>
      </c>
      <c r="G2194" s="2" t="s">
        <v>104</v>
      </c>
      <c r="H2194" s="2" t="s">
        <v>18</v>
      </c>
      <c r="I2194" s="2"/>
      <c r="J2194" s="2" t="s">
        <v>19</v>
      </c>
      <c r="K2194" s="2" t="s">
        <v>20</v>
      </c>
      <c r="L2194" s="4" t="s">
        <v>5964</v>
      </c>
    </row>
    <row r="2195" customFormat="false" ht="15.65" hidden="false" customHeight="true" outlineLevel="0" collapsed="false">
      <c r="A2195" s="5" t="str">
        <f aca="false">HYPERLINK("https://www.fabsurplus.com/sdi_catalog/salesItemDetails.do?id=96543")</f>
        <v>https://www.fabsurplus.com/sdi_catalog/salesItemDetails.do?id=96543</v>
      </c>
      <c r="B2195" s="5" t="s">
        <v>5965</v>
      </c>
      <c r="C2195" s="5" t="s">
        <v>5966</v>
      </c>
      <c r="D2195" s="5" t="s">
        <v>5967</v>
      </c>
      <c r="E2195" s="5" t="s">
        <v>5968</v>
      </c>
      <c r="F2195" s="5" t="s">
        <v>16</v>
      </c>
      <c r="G2195" s="5" t="s">
        <v>2821</v>
      </c>
      <c r="H2195" s="5" t="s">
        <v>32</v>
      </c>
      <c r="I2195" s="6" t="n">
        <v>34758.9583333333</v>
      </c>
      <c r="J2195" s="5" t="s">
        <v>19</v>
      </c>
      <c r="K2195" s="5" t="s">
        <v>20</v>
      </c>
      <c r="L2195" s="7" t="s">
        <v>5969</v>
      </c>
    </row>
    <row r="2196" customFormat="false" ht="15.65" hidden="false" customHeight="true" outlineLevel="0" collapsed="false">
      <c r="A2196" s="2" t="str">
        <f aca="false">HYPERLINK("https://www.fabsurplus.com/sdi_catalog/salesItemDetails.do?id=109434")</f>
        <v>https://www.fabsurplus.com/sdi_catalog/salesItemDetails.do?id=109434</v>
      </c>
      <c r="B2196" s="2" t="s">
        <v>5970</v>
      </c>
      <c r="C2196" s="2" t="s">
        <v>5971</v>
      </c>
      <c r="D2196" s="2" t="s">
        <v>5972</v>
      </c>
      <c r="E2196" s="2" t="s">
        <v>103</v>
      </c>
      <c r="F2196" s="2" t="s">
        <v>16</v>
      </c>
      <c r="G2196" s="2" t="s">
        <v>104</v>
      </c>
      <c r="H2196" s="2"/>
      <c r="I2196" s="2"/>
      <c r="J2196" s="2" t="s">
        <v>19</v>
      </c>
      <c r="K2196" s="2"/>
      <c r="L2196" s="2"/>
    </row>
    <row r="2197" customFormat="false" ht="15.65" hidden="false" customHeight="true" outlineLevel="0" collapsed="false">
      <c r="A2197" s="5" t="str">
        <f aca="false">HYPERLINK("https://www.fabsurplus.com/sdi_catalog/salesItemDetails.do?id=109435")</f>
        <v>https://www.fabsurplus.com/sdi_catalog/salesItemDetails.do?id=109435</v>
      </c>
      <c r="B2197" s="5" t="s">
        <v>5973</v>
      </c>
      <c r="C2197" s="5" t="s">
        <v>5971</v>
      </c>
      <c r="D2197" s="5" t="s">
        <v>5974</v>
      </c>
      <c r="E2197" s="5" t="s">
        <v>103</v>
      </c>
      <c r="F2197" s="5" t="s">
        <v>16</v>
      </c>
      <c r="G2197" s="5" t="s">
        <v>104</v>
      </c>
      <c r="H2197" s="5"/>
      <c r="I2197" s="5"/>
      <c r="J2197" s="5" t="s">
        <v>19</v>
      </c>
      <c r="K2197" s="5"/>
      <c r="L2197" s="5" t="s">
        <v>5975</v>
      </c>
    </row>
    <row r="2198" customFormat="false" ht="15.65" hidden="false" customHeight="true" outlineLevel="0" collapsed="false">
      <c r="A2198" s="2" t="str">
        <f aca="false">HYPERLINK("https://www.fabsurplus.com/sdi_catalog/salesItemDetails.do?id=84075")</f>
        <v>https://www.fabsurplus.com/sdi_catalog/salesItemDetails.do?id=84075</v>
      </c>
      <c r="B2198" s="2" t="s">
        <v>5976</v>
      </c>
      <c r="C2198" s="2" t="s">
        <v>5977</v>
      </c>
      <c r="D2198" s="2" t="s">
        <v>5978</v>
      </c>
      <c r="E2198" s="2" t="s">
        <v>5979</v>
      </c>
      <c r="F2198" s="2" t="s">
        <v>16</v>
      </c>
      <c r="G2198" s="2"/>
      <c r="H2198" s="2" t="s">
        <v>1395</v>
      </c>
      <c r="I2198" s="2"/>
      <c r="J2198" s="2" t="s">
        <v>19</v>
      </c>
      <c r="K2198" s="2" t="s">
        <v>20</v>
      </c>
      <c r="L2198" s="4" t="s">
        <v>5980</v>
      </c>
    </row>
    <row r="2199" customFormat="false" ht="15.65" hidden="false" customHeight="true" outlineLevel="0" collapsed="false">
      <c r="A2199" s="5" t="str">
        <f aca="false">HYPERLINK("https://www.fabsurplus.com/sdi_catalog/salesItemDetails.do?id=91348")</f>
        <v>https://www.fabsurplus.com/sdi_catalog/salesItemDetails.do?id=91348</v>
      </c>
      <c r="B2199" s="5" t="s">
        <v>5981</v>
      </c>
      <c r="C2199" s="5" t="s">
        <v>5977</v>
      </c>
      <c r="D2199" s="5" t="s">
        <v>5982</v>
      </c>
      <c r="E2199" s="5" t="s">
        <v>5983</v>
      </c>
      <c r="F2199" s="5" t="s">
        <v>16</v>
      </c>
      <c r="G2199" s="5"/>
      <c r="H2199" s="5"/>
      <c r="I2199" s="6" t="n">
        <v>35946.9166666667</v>
      </c>
      <c r="J2199" s="5" t="s">
        <v>19</v>
      </c>
      <c r="K2199" s="5"/>
      <c r="L2199" s="5" t="s">
        <v>142</v>
      </c>
    </row>
    <row r="2200" customFormat="false" ht="15.65" hidden="false" customHeight="true" outlineLevel="0" collapsed="false">
      <c r="A2200" s="2" t="str">
        <f aca="false">HYPERLINK("https://www.fabsurplus.com/sdi_catalog/salesItemDetails.do?id=91349")</f>
        <v>https://www.fabsurplus.com/sdi_catalog/salesItemDetails.do?id=91349</v>
      </c>
      <c r="B2200" s="2" t="s">
        <v>5984</v>
      </c>
      <c r="C2200" s="2" t="s">
        <v>5977</v>
      </c>
      <c r="D2200" s="2" t="s">
        <v>5982</v>
      </c>
      <c r="E2200" s="2" t="s">
        <v>5983</v>
      </c>
      <c r="F2200" s="2" t="s">
        <v>16</v>
      </c>
      <c r="G2200" s="2"/>
      <c r="H2200" s="2"/>
      <c r="I2200" s="2"/>
      <c r="J2200" s="2" t="s">
        <v>19</v>
      </c>
      <c r="K2200" s="2"/>
      <c r="L2200" s="2" t="s">
        <v>142</v>
      </c>
    </row>
    <row r="2201" customFormat="false" ht="15.65" hidden="false" customHeight="true" outlineLevel="0" collapsed="false">
      <c r="A2201" s="5" t="str">
        <f aca="false">HYPERLINK("https://www.fabsurplus.com/sdi_catalog/salesItemDetails.do?id=91351")</f>
        <v>https://www.fabsurplus.com/sdi_catalog/salesItemDetails.do?id=91351</v>
      </c>
      <c r="B2201" s="5" t="s">
        <v>5985</v>
      </c>
      <c r="C2201" s="5" t="s">
        <v>5977</v>
      </c>
      <c r="D2201" s="5" t="s">
        <v>5982</v>
      </c>
      <c r="E2201" s="5" t="s">
        <v>5983</v>
      </c>
      <c r="F2201" s="5" t="s">
        <v>16</v>
      </c>
      <c r="G2201" s="5"/>
      <c r="H2201" s="5"/>
      <c r="I2201" s="6" t="n">
        <v>35946.9166666667</v>
      </c>
      <c r="J2201" s="5" t="s">
        <v>19</v>
      </c>
      <c r="K2201" s="5"/>
      <c r="L2201" s="5" t="s">
        <v>142</v>
      </c>
    </row>
    <row r="2202" customFormat="false" ht="15.65" hidden="false" customHeight="true" outlineLevel="0" collapsed="false">
      <c r="A2202" s="2" t="str">
        <f aca="false">HYPERLINK("https://www.fabsurplus.com/sdi_catalog/salesItemDetails.do?id=110314")</f>
        <v>https://www.fabsurplus.com/sdi_catalog/salesItemDetails.do?id=110314</v>
      </c>
      <c r="B2202" s="2" t="s">
        <v>5986</v>
      </c>
      <c r="C2202" s="2" t="s">
        <v>5987</v>
      </c>
      <c r="D2202" s="2" t="s">
        <v>5988</v>
      </c>
      <c r="E2202" s="2" t="s">
        <v>763</v>
      </c>
      <c r="F2202" s="2" t="s">
        <v>16</v>
      </c>
      <c r="G2202" s="2" t="s">
        <v>165</v>
      </c>
      <c r="H2202" s="2"/>
      <c r="I2202" s="2"/>
      <c r="J2202" s="2" t="s">
        <v>42</v>
      </c>
      <c r="K2202" s="2"/>
      <c r="L2202" s="2" t="s">
        <v>5989</v>
      </c>
    </row>
    <row r="2203" customFormat="false" ht="15.65" hidden="false" customHeight="true" outlineLevel="0" collapsed="false">
      <c r="A2203" s="5" t="str">
        <f aca="false">HYPERLINK("https://www.fabsurplus.com/sdi_catalog/salesItemDetails.do?id=110315")</f>
        <v>https://www.fabsurplus.com/sdi_catalog/salesItemDetails.do?id=110315</v>
      </c>
      <c r="B2203" s="5" t="s">
        <v>5990</v>
      </c>
      <c r="C2203" s="5" t="s">
        <v>5987</v>
      </c>
      <c r="D2203" s="5" t="s">
        <v>5988</v>
      </c>
      <c r="E2203" s="5" t="s">
        <v>763</v>
      </c>
      <c r="F2203" s="5" t="s">
        <v>16</v>
      </c>
      <c r="G2203" s="5" t="s">
        <v>165</v>
      </c>
      <c r="H2203" s="5"/>
      <c r="I2203" s="5"/>
      <c r="J2203" s="5" t="s">
        <v>42</v>
      </c>
      <c r="K2203" s="5"/>
      <c r="L2203" s="5" t="s">
        <v>5989</v>
      </c>
    </row>
    <row r="2204" customFormat="false" ht="15.65" hidden="false" customHeight="true" outlineLevel="0" collapsed="false">
      <c r="A2204" s="2" t="str">
        <f aca="false">HYPERLINK("https://www.fabsurplus.com/sdi_catalog/salesItemDetails.do?id=110316")</f>
        <v>https://www.fabsurplus.com/sdi_catalog/salesItemDetails.do?id=110316</v>
      </c>
      <c r="B2204" s="2" t="s">
        <v>5991</v>
      </c>
      <c r="C2204" s="2" t="s">
        <v>5987</v>
      </c>
      <c r="D2204" s="2" t="s">
        <v>5992</v>
      </c>
      <c r="E2204" s="2" t="s">
        <v>763</v>
      </c>
      <c r="F2204" s="2" t="s">
        <v>16</v>
      </c>
      <c r="G2204" s="2" t="s">
        <v>165</v>
      </c>
      <c r="H2204" s="2"/>
      <c r="I2204" s="2"/>
      <c r="J2204" s="2" t="s">
        <v>42</v>
      </c>
      <c r="K2204" s="2"/>
      <c r="L2204" s="2" t="s">
        <v>5993</v>
      </c>
    </row>
    <row r="2205" customFormat="false" ht="15.65" hidden="false" customHeight="true" outlineLevel="0" collapsed="false">
      <c r="A2205" s="5" t="str">
        <f aca="false">HYPERLINK("https://www.fabsurplus.com/sdi_catalog/salesItemDetails.do?id=83920")</f>
        <v>https://www.fabsurplus.com/sdi_catalog/salesItemDetails.do?id=83920</v>
      </c>
      <c r="B2205" s="5" t="s">
        <v>5994</v>
      </c>
      <c r="C2205" s="5" t="s">
        <v>5995</v>
      </c>
      <c r="D2205" s="5" t="s">
        <v>5996</v>
      </c>
      <c r="E2205" s="5" t="s">
        <v>5997</v>
      </c>
      <c r="F2205" s="5" t="s">
        <v>5998</v>
      </c>
      <c r="G2205" s="5"/>
      <c r="H2205" s="5" t="s">
        <v>98</v>
      </c>
      <c r="I2205" s="5"/>
      <c r="J2205" s="5" t="s">
        <v>19</v>
      </c>
      <c r="K2205" s="5" t="s">
        <v>20</v>
      </c>
      <c r="L2205" s="5" t="s">
        <v>5999</v>
      </c>
    </row>
    <row r="2206" customFormat="false" ht="15.65" hidden="false" customHeight="true" outlineLevel="0" collapsed="false">
      <c r="A2206" s="2" t="str">
        <f aca="false">HYPERLINK("https://www.fabsurplus.com/sdi_catalog/salesItemDetails.do?id=83921")</f>
        <v>https://www.fabsurplus.com/sdi_catalog/salesItemDetails.do?id=83921</v>
      </c>
      <c r="B2206" s="2" t="s">
        <v>6000</v>
      </c>
      <c r="C2206" s="2" t="s">
        <v>5995</v>
      </c>
      <c r="D2206" s="2" t="s">
        <v>6001</v>
      </c>
      <c r="E2206" s="2" t="s">
        <v>6002</v>
      </c>
      <c r="F2206" s="2" t="s">
        <v>236</v>
      </c>
      <c r="G2206" s="2"/>
      <c r="H2206" s="2" t="s">
        <v>98</v>
      </c>
      <c r="I2206" s="2"/>
      <c r="J2206" s="2" t="s">
        <v>19</v>
      </c>
      <c r="K2206" s="2" t="s">
        <v>20</v>
      </c>
      <c r="L2206" s="2" t="s">
        <v>6003</v>
      </c>
    </row>
    <row r="2207" customFormat="false" ht="15.65" hidden="false" customHeight="true" outlineLevel="0" collapsed="false">
      <c r="A2207" s="5" t="str">
        <f aca="false">HYPERLINK("https://www.fabsurplus.com/sdi_catalog/salesItemDetails.do?id=83922")</f>
        <v>https://www.fabsurplus.com/sdi_catalog/salesItemDetails.do?id=83922</v>
      </c>
      <c r="B2207" s="5" t="s">
        <v>6004</v>
      </c>
      <c r="C2207" s="5" t="s">
        <v>5995</v>
      </c>
      <c r="D2207" s="5" t="s">
        <v>6005</v>
      </c>
      <c r="E2207" s="5" t="s">
        <v>5997</v>
      </c>
      <c r="F2207" s="5" t="s">
        <v>108</v>
      </c>
      <c r="G2207" s="5"/>
      <c r="H2207" s="5" t="s">
        <v>98</v>
      </c>
      <c r="I2207" s="5"/>
      <c r="J2207" s="5" t="s">
        <v>19</v>
      </c>
      <c r="K2207" s="5" t="s">
        <v>20</v>
      </c>
      <c r="L2207" s="5" t="s">
        <v>6006</v>
      </c>
    </row>
    <row r="2208" customFormat="false" ht="15.65" hidden="false" customHeight="true" outlineLevel="0" collapsed="false">
      <c r="A2208" s="2" t="str">
        <f aca="false">HYPERLINK("https://www.fabsurplus.com/sdi_catalog/salesItemDetails.do?id=83923")</f>
        <v>https://www.fabsurplus.com/sdi_catalog/salesItemDetails.do?id=83923</v>
      </c>
      <c r="B2208" s="2" t="s">
        <v>6007</v>
      </c>
      <c r="C2208" s="2" t="s">
        <v>5995</v>
      </c>
      <c r="D2208" s="2" t="s">
        <v>6008</v>
      </c>
      <c r="E2208" s="2" t="s">
        <v>6002</v>
      </c>
      <c r="F2208" s="2" t="s">
        <v>60</v>
      </c>
      <c r="G2208" s="2"/>
      <c r="H2208" s="2" t="s">
        <v>98</v>
      </c>
      <c r="I2208" s="2"/>
      <c r="J2208" s="2" t="s">
        <v>19</v>
      </c>
      <c r="K2208" s="2" t="s">
        <v>20</v>
      </c>
      <c r="L2208" s="2" t="s">
        <v>6009</v>
      </c>
    </row>
    <row r="2209" customFormat="false" ht="15.65" hidden="false" customHeight="true" outlineLevel="0" collapsed="false">
      <c r="A2209" s="5" t="str">
        <f aca="false">HYPERLINK("https://www.fabsurplus.com/sdi_catalog/salesItemDetails.do?id=83924")</f>
        <v>https://www.fabsurplus.com/sdi_catalog/salesItemDetails.do?id=83924</v>
      </c>
      <c r="B2209" s="5" t="s">
        <v>6010</v>
      </c>
      <c r="C2209" s="5" t="s">
        <v>5995</v>
      </c>
      <c r="D2209" s="5" t="s">
        <v>6011</v>
      </c>
      <c r="E2209" s="5" t="s">
        <v>5997</v>
      </c>
      <c r="F2209" s="5" t="s">
        <v>236</v>
      </c>
      <c r="G2209" s="5"/>
      <c r="H2209" s="5" t="s">
        <v>98</v>
      </c>
      <c r="I2209" s="5"/>
      <c r="J2209" s="5" t="s">
        <v>19</v>
      </c>
      <c r="K2209" s="5" t="s">
        <v>20</v>
      </c>
      <c r="L2209" s="5" t="s">
        <v>6012</v>
      </c>
    </row>
    <row r="2210" customFormat="false" ht="15.65" hidden="false" customHeight="true" outlineLevel="0" collapsed="false">
      <c r="A2210" s="2" t="str">
        <f aca="false">HYPERLINK("https://www.fabsurplus.com/sdi_catalog/salesItemDetails.do?id=83925")</f>
        <v>https://www.fabsurplus.com/sdi_catalog/salesItemDetails.do?id=83925</v>
      </c>
      <c r="B2210" s="2" t="s">
        <v>6013</v>
      </c>
      <c r="C2210" s="2" t="s">
        <v>5995</v>
      </c>
      <c r="D2210" s="2" t="s">
        <v>6014</v>
      </c>
      <c r="E2210" s="2" t="s">
        <v>6015</v>
      </c>
      <c r="F2210" s="2" t="s">
        <v>236</v>
      </c>
      <c r="G2210" s="2"/>
      <c r="H2210" s="2" t="s">
        <v>98</v>
      </c>
      <c r="I2210" s="2"/>
      <c r="J2210" s="2" t="s">
        <v>19</v>
      </c>
      <c r="K2210" s="2" t="s">
        <v>20</v>
      </c>
      <c r="L2210" s="2" t="s">
        <v>6016</v>
      </c>
    </row>
    <row r="2211" customFormat="false" ht="15.65" hidden="false" customHeight="true" outlineLevel="0" collapsed="false">
      <c r="A2211" s="5" t="str">
        <f aca="false">HYPERLINK("https://www.fabsurplus.com/sdi_catalog/salesItemDetails.do?id=83926")</f>
        <v>https://www.fabsurplus.com/sdi_catalog/salesItemDetails.do?id=83926</v>
      </c>
      <c r="B2211" s="5" t="s">
        <v>6017</v>
      </c>
      <c r="C2211" s="5" t="s">
        <v>5995</v>
      </c>
      <c r="D2211" s="5" t="s">
        <v>6018</v>
      </c>
      <c r="E2211" s="5" t="s">
        <v>5997</v>
      </c>
      <c r="F2211" s="5" t="s">
        <v>145</v>
      </c>
      <c r="G2211" s="5"/>
      <c r="H2211" s="5" t="s">
        <v>98</v>
      </c>
      <c r="I2211" s="5"/>
      <c r="J2211" s="5" t="s">
        <v>19</v>
      </c>
      <c r="K2211" s="5" t="s">
        <v>20</v>
      </c>
      <c r="L2211" s="5" t="s">
        <v>6019</v>
      </c>
    </row>
    <row r="2212" customFormat="false" ht="15.65" hidden="false" customHeight="true" outlineLevel="0" collapsed="false">
      <c r="A2212" s="2" t="str">
        <f aca="false">HYPERLINK("https://www.fabsurplus.com/sdi_catalog/salesItemDetails.do?id=83927")</f>
        <v>https://www.fabsurplus.com/sdi_catalog/salesItemDetails.do?id=83927</v>
      </c>
      <c r="B2212" s="2" t="s">
        <v>6020</v>
      </c>
      <c r="C2212" s="2" t="s">
        <v>5995</v>
      </c>
      <c r="D2212" s="2" t="s">
        <v>6021</v>
      </c>
      <c r="E2212" s="2" t="s">
        <v>6002</v>
      </c>
      <c r="F2212" s="2" t="s">
        <v>16</v>
      </c>
      <c r="G2212" s="2"/>
      <c r="H2212" s="2" t="s">
        <v>98</v>
      </c>
      <c r="I2212" s="2"/>
      <c r="J2212" s="2" t="s">
        <v>19</v>
      </c>
      <c r="K2212" s="2" t="s">
        <v>20</v>
      </c>
      <c r="L2212" s="2" t="s">
        <v>6022</v>
      </c>
    </row>
    <row r="2213" customFormat="false" ht="15.65" hidden="false" customHeight="true" outlineLevel="0" collapsed="false">
      <c r="A2213" s="5" t="str">
        <f aca="false">HYPERLINK("https://www.fabsurplus.com/sdi_catalog/salesItemDetails.do?id=108751")</f>
        <v>https://www.fabsurplus.com/sdi_catalog/salesItemDetails.do?id=108751</v>
      </c>
      <c r="B2213" s="5" t="s">
        <v>6023</v>
      </c>
      <c r="C2213" s="5" t="s">
        <v>6024</v>
      </c>
      <c r="D2213" s="5" t="s">
        <v>6025</v>
      </c>
      <c r="E2213" s="5" t="s">
        <v>6026</v>
      </c>
      <c r="F2213" s="5" t="s">
        <v>16</v>
      </c>
      <c r="G2213" s="5"/>
      <c r="H2213" s="5"/>
      <c r="I2213" s="5"/>
      <c r="J2213" s="5" t="s">
        <v>19</v>
      </c>
      <c r="K2213" s="5"/>
      <c r="L2213" s="7" t="s">
        <v>6027</v>
      </c>
    </row>
    <row r="2214" customFormat="false" ht="15.65" hidden="false" customHeight="true" outlineLevel="0" collapsed="false">
      <c r="A2214" s="2" t="str">
        <f aca="false">HYPERLINK("https://www.fabsurplus.com/sdi_catalog/salesItemDetails.do?id=91138")</f>
        <v>https://www.fabsurplus.com/sdi_catalog/salesItemDetails.do?id=91138</v>
      </c>
      <c r="B2214" s="2" t="s">
        <v>6028</v>
      </c>
      <c r="C2214" s="2" t="s">
        <v>6029</v>
      </c>
      <c r="D2214" s="2" t="s">
        <v>6030</v>
      </c>
      <c r="E2214" s="2" t="s">
        <v>6031</v>
      </c>
      <c r="F2214" s="2" t="s">
        <v>16</v>
      </c>
      <c r="G2214" s="2" t="s">
        <v>1293</v>
      </c>
      <c r="H2214" s="2" t="s">
        <v>32</v>
      </c>
      <c r="I2214" s="2"/>
      <c r="J2214" s="2" t="s">
        <v>19</v>
      </c>
      <c r="K2214" s="2" t="s">
        <v>20</v>
      </c>
      <c r="L2214" s="2" t="s">
        <v>142</v>
      </c>
    </row>
    <row r="2215" customFormat="false" ht="15.65" hidden="false" customHeight="true" outlineLevel="0" collapsed="false">
      <c r="A2215" s="5" t="str">
        <f aca="false">HYPERLINK("https://www.fabsurplus.com/sdi_catalog/salesItemDetails.do?id=110317")</f>
        <v>https://www.fabsurplus.com/sdi_catalog/salesItemDetails.do?id=110317</v>
      </c>
      <c r="B2215" s="5" t="s">
        <v>6032</v>
      </c>
      <c r="C2215" s="5" t="s">
        <v>6033</v>
      </c>
      <c r="D2215" s="5" t="s">
        <v>6034</v>
      </c>
      <c r="E2215" s="5" t="s">
        <v>164</v>
      </c>
      <c r="F2215" s="5" t="s">
        <v>16</v>
      </c>
      <c r="G2215" s="5" t="s">
        <v>165</v>
      </c>
      <c r="H2215" s="5"/>
      <c r="I2215" s="5"/>
      <c r="J2215" s="5" t="s">
        <v>42</v>
      </c>
      <c r="K2215" s="5"/>
      <c r="L2215" s="5" t="s">
        <v>6035</v>
      </c>
    </row>
    <row r="2216" customFormat="false" ht="15.65" hidden="false" customHeight="true" outlineLevel="0" collapsed="false">
      <c r="A2216" s="2" t="str">
        <f aca="false">HYPERLINK("https://www.fabsurplus.com/sdi_catalog/salesItemDetails.do?id=110318")</f>
        <v>https://www.fabsurplus.com/sdi_catalog/salesItemDetails.do?id=110318</v>
      </c>
      <c r="B2216" s="2" t="s">
        <v>6036</v>
      </c>
      <c r="C2216" s="2" t="s">
        <v>6037</v>
      </c>
      <c r="D2216" s="2" t="s">
        <v>6038</v>
      </c>
      <c r="E2216" s="2" t="s">
        <v>164</v>
      </c>
      <c r="F2216" s="2" t="s">
        <v>16</v>
      </c>
      <c r="G2216" s="2" t="s">
        <v>165</v>
      </c>
      <c r="H2216" s="2"/>
      <c r="I2216" s="2"/>
      <c r="J2216" s="2" t="s">
        <v>42</v>
      </c>
      <c r="K2216" s="2"/>
      <c r="L2216" s="2" t="s">
        <v>6039</v>
      </c>
    </row>
    <row r="2217" customFormat="false" ht="15.65" hidden="false" customHeight="true" outlineLevel="0" collapsed="false">
      <c r="A2217" s="5" t="str">
        <f aca="false">HYPERLINK("https://www.fabsurplus.com/sdi_catalog/salesItemDetails.do?id=94596")</f>
        <v>https://www.fabsurplus.com/sdi_catalog/salesItemDetails.do?id=94596</v>
      </c>
      <c r="B2217" s="5" t="s">
        <v>6040</v>
      </c>
      <c r="C2217" s="5" t="s">
        <v>6041</v>
      </c>
      <c r="D2217" s="5"/>
      <c r="E2217" s="5" t="s">
        <v>6042</v>
      </c>
      <c r="F2217" s="5" t="s">
        <v>16</v>
      </c>
      <c r="G2217" s="5" t="s">
        <v>165</v>
      </c>
      <c r="H2217" s="5"/>
      <c r="I2217" s="5"/>
      <c r="J2217" s="5" t="s">
        <v>19</v>
      </c>
      <c r="K2217" s="5"/>
      <c r="L2217" s="7" t="s">
        <v>6043</v>
      </c>
    </row>
    <row r="2218" customFormat="false" ht="15.65" hidden="false" customHeight="true" outlineLevel="0" collapsed="false">
      <c r="A2218" s="2" t="str">
        <f aca="false">HYPERLINK("https://www.fabsurplus.com/sdi_catalog/salesItemDetails.do?id=94597")</f>
        <v>https://www.fabsurplus.com/sdi_catalog/salesItemDetails.do?id=94597</v>
      </c>
      <c r="B2218" s="2" t="s">
        <v>6044</v>
      </c>
      <c r="C2218" s="2" t="s">
        <v>6041</v>
      </c>
      <c r="D2218" s="2"/>
      <c r="E2218" s="2" t="s">
        <v>6042</v>
      </c>
      <c r="F2218" s="2" t="s">
        <v>16</v>
      </c>
      <c r="G2218" s="2" t="s">
        <v>165</v>
      </c>
      <c r="H2218" s="2"/>
      <c r="I2218" s="2"/>
      <c r="J2218" s="2" t="s">
        <v>19</v>
      </c>
      <c r="K2218" s="2"/>
      <c r="L2218" s="4" t="s">
        <v>6045</v>
      </c>
    </row>
    <row r="2219" customFormat="false" ht="15.65" hidden="false" customHeight="true" outlineLevel="0" collapsed="false">
      <c r="A2219" s="5" t="str">
        <f aca="false">HYPERLINK("https://www.fabsurplus.com/sdi_catalog/salesItemDetails.do?id=107016")</f>
        <v>https://www.fabsurplus.com/sdi_catalog/salesItemDetails.do?id=107016</v>
      </c>
      <c r="B2219" s="5" t="s">
        <v>6046</v>
      </c>
      <c r="C2219" s="5" t="s">
        <v>6047</v>
      </c>
      <c r="D2219" s="5" t="s">
        <v>6048</v>
      </c>
      <c r="E2219" s="5" t="s">
        <v>6049</v>
      </c>
      <c r="F2219" s="5" t="s">
        <v>60</v>
      </c>
      <c r="G2219" s="5" t="s">
        <v>104</v>
      </c>
      <c r="H2219" s="5" t="s">
        <v>18</v>
      </c>
      <c r="I2219" s="6" t="n">
        <v>41426</v>
      </c>
      <c r="J2219" s="5" t="s">
        <v>19</v>
      </c>
      <c r="K2219" s="5" t="s">
        <v>20</v>
      </c>
      <c r="L2219" s="7" t="s">
        <v>6050</v>
      </c>
    </row>
    <row r="2220" customFormat="false" ht="15.65" hidden="false" customHeight="true" outlineLevel="0" collapsed="false">
      <c r="A2220" s="2" t="str">
        <f aca="false">HYPERLINK("https://www.fabsurplus.com/sdi_catalog/salesItemDetails.do?id=108818")</f>
        <v>https://www.fabsurplus.com/sdi_catalog/salesItemDetails.do?id=108818</v>
      </c>
      <c r="B2220" s="2" t="s">
        <v>6051</v>
      </c>
      <c r="C2220" s="2" t="s">
        <v>6052</v>
      </c>
      <c r="D2220" s="2" t="s">
        <v>6053</v>
      </c>
      <c r="E2220" s="2" t="s">
        <v>6054</v>
      </c>
      <c r="F2220" s="2" t="s">
        <v>16</v>
      </c>
      <c r="G2220" s="2" t="s">
        <v>165</v>
      </c>
      <c r="H2220" s="2"/>
      <c r="I2220" s="2"/>
      <c r="J2220" s="2" t="s">
        <v>42</v>
      </c>
      <c r="K2220" s="2"/>
      <c r="L2220" s="2" t="s">
        <v>131</v>
      </c>
    </row>
    <row r="2221" customFormat="false" ht="15.65" hidden="false" customHeight="true" outlineLevel="0" collapsed="false">
      <c r="A2221" s="5" t="str">
        <f aca="false">HYPERLINK("https://www.fabsurplus.com/sdi_catalog/salesItemDetails.do?id=98463")</f>
        <v>https://www.fabsurplus.com/sdi_catalog/salesItemDetails.do?id=98463</v>
      </c>
      <c r="B2221" s="5" t="s">
        <v>6055</v>
      </c>
      <c r="C2221" s="5" t="s">
        <v>6047</v>
      </c>
      <c r="D2221" s="5" t="s">
        <v>6056</v>
      </c>
      <c r="E2221" s="5" t="s">
        <v>6057</v>
      </c>
      <c r="F2221" s="5" t="s">
        <v>16</v>
      </c>
      <c r="G2221" s="5" t="s">
        <v>38</v>
      </c>
      <c r="H2221" s="5" t="s">
        <v>1969</v>
      </c>
      <c r="I2221" s="5"/>
      <c r="J2221" s="5" t="s">
        <v>19</v>
      </c>
      <c r="K2221" s="5" t="s">
        <v>20</v>
      </c>
      <c r="L2221" s="7" t="s">
        <v>6058</v>
      </c>
    </row>
    <row r="2222" customFormat="false" ht="15.65" hidden="false" customHeight="true" outlineLevel="0" collapsed="false">
      <c r="A2222" s="2" t="str">
        <f aca="false">HYPERLINK("https://www.fabsurplus.com/sdi_catalog/salesItemDetails.do?id=98464")</f>
        <v>https://www.fabsurplus.com/sdi_catalog/salesItemDetails.do?id=98464</v>
      </c>
      <c r="B2222" s="2" t="s">
        <v>6059</v>
      </c>
      <c r="C2222" s="2" t="s">
        <v>6047</v>
      </c>
      <c r="D2222" s="2" t="s">
        <v>6060</v>
      </c>
      <c r="E2222" s="2" t="s">
        <v>6061</v>
      </c>
      <c r="F2222" s="2" t="s">
        <v>16</v>
      </c>
      <c r="G2222" s="2" t="s">
        <v>1803</v>
      </c>
      <c r="H2222" s="2" t="s">
        <v>32</v>
      </c>
      <c r="I2222" s="2"/>
      <c r="J2222" s="2" t="s">
        <v>19</v>
      </c>
      <c r="K2222" s="2" t="s">
        <v>20</v>
      </c>
      <c r="L2222" s="4" t="s">
        <v>6062</v>
      </c>
    </row>
    <row r="2223" customFormat="false" ht="15.65" hidden="false" customHeight="true" outlineLevel="0" collapsed="false">
      <c r="A2223" s="5" t="str">
        <f aca="false">HYPERLINK("https://www.fabsurplus.com/sdi_catalog/salesItemDetails.do?id=101042")</f>
        <v>https://www.fabsurplus.com/sdi_catalog/salesItemDetails.do?id=101042</v>
      </c>
      <c r="B2223" s="5" t="s">
        <v>6063</v>
      </c>
      <c r="C2223" s="5" t="s">
        <v>6047</v>
      </c>
      <c r="D2223" s="5" t="s">
        <v>6064</v>
      </c>
      <c r="E2223" s="5" t="s">
        <v>6065</v>
      </c>
      <c r="F2223" s="5" t="s">
        <v>16</v>
      </c>
      <c r="G2223" s="5" t="s">
        <v>104</v>
      </c>
      <c r="H2223" s="5" t="s">
        <v>18</v>
      </c>
      <c r="I2223" s="5"/>
      <c r="J2223" s="5" t="s">
        <v>19</v>
      </c>
      <c r="K2223" s="5" t="s">
        <v>20</v>
      </c>
      <c r="L2223" s="7" t="s">
        <v>6066</v>
      </c>
    </row>
    <row r="2224" customFormat="false" ht="15.65" hidden="false" customHeight="true" outlineLevel="0" collapsed="false">
      <c r="A2224" s="2" t="str">
        <f aca="false">HYPERLINK("https://www.fabsurplus.com/sdi_catalog/salesItemDetails.do?id=106945")</f>
        <v>https://www.fabsurplus.com/sdi_catalog/salesItemDetails.do?id=106945</v>
      </c>
      <c r="B2224" s="2" t="s">
        <v>6067</v>
      </c>
      <c r="C2224" s="2" t="s">
        <v>6047</v>
      </c>
      <c r="D2224" s="2" t="s">
        <v>6068</v>
      </c>
      <c r="E2224" s="2" t="s">
        <v>6069</v>
      </c>
      <c r="F2224" s="2" t="s">
        <v>16</v>
      </c>
      <c r="G2224" s="2" t="s">
        <v>2889</v>
      </c>
      <c r="H2224" s="2" t="s">
        <v>32</v>
      </c>
      <c r="I2224" s="2"/>
      <c r="J2224" s="2" t="s">
        <v>286</v>
      </c>
      <c r="K2224" s="2" t="s">
        <v>20</v>
      </c>
      <c r="L2224" s="4" t="s">
        <v>6070</v>
      </c>
    </row>
    <row r="2225" customFormat="false" ht="15.65" hidden="false" customHeight="true" outlineLevel="0" collapsed="false">
      <c r="A2225" s="5" t="str">
        <f aca="false">HYPERLINK("https://www.fabsurplus.com/sdi_catalog/salesItemDetails.do?id=106855")</f>
        <v>https://www.fabsurplus.com/sdi_catalog/salesItemDetails.do?id=106855</v>
      </c>
      <c r="B2225" s="5" t="s">
        <v>6071</v>
      </c>
      <c r="C2225" s="5" t="s">
        <v>6072</v>
      </c>
      <c r="D2225" s="5" t="s">
        <v>6073</v>
      </c>
      <c r="E2225" s="5" t="s">
        <v>6074</v>
      </c>
      <c r="F2225" s="5" t="s">
        <v>16</v>
      </c>
      <c r="G2225" s="5" t="s">
        <v>2803</v>
      </c>
      <c r="H2225" s="5" t="s">
        <v>32</v>
      </c>
      <c r="I2225" s="6" t="n">
        <v>39356</v>
      </c>
      <c r="J2225" s="5" t="s">
        <v>19</v>
      </c>
      <c r="K2225" s="5" t="s">
        <v>20</v>
      </c>
      <c r="L2225" s="7" t="s">
        <v>6075</v>
      </c>
    </row>
    <row r="2226" customFormat="false" ht="15.65" hidden="false" customHeight="true" outlineLevel="0" collapsed="false">
      <c r="A2226" s="2" t="str">
        <f aca="false">HYPERLINK("https://www.fabsurplus.com/sdi_catalog/salesItemDetails.do?id=76735")</f>
        <v>https://www.fabsurplus.com/sdi_catalog/salesItemDetails.do?id=76735</v>
      </c>
      <c r="B2226" s="2" t="s">
        <v>6076</v>
      </c>
      <c r="C2226" s="2" t="s">
        <v>6077</v>
      </c>
      <c r="D2226" s="2" t="s">
        <v>6078</v>
      </c>
      <c r="E2226" s="2" t="s">
        <v>6079</v>
      </c>
      <c r="F2226" s="2" t="s">
        <v>16</v>
      </c>
      <c r="G2226" s="2" t="s">
        <v>38</v>
      </c>
      <c r="H2226" s="2" t="s">
        <v>18</v>
      </c>
      <c r="I2226" s="3" t="n">
        <v>38168.9166666667</v>
      </c>
      <c r="J2226" s="2" t="s">
        <v>19</v>
      </c>
      <c r="K2226" s="2" t="s">
        <v>20</v>
      </c>
      <c r="L2226" s="4" t="s">
        <v>6080</v>
      </c>
    </row>
    <row r="2227" customFormat="false" ht="15.65" hidden="false" customHeight="true" outlineLevel="0" collapsed="false">
      <c r="A2227" s="5" t="str">
        <f aca="false">HYPERLINK("https://www.fabsurplus.com/sdi_catalog/salesItemDetails.do?id=76736")</f>
        <v>https://www.fabsurplus.com/sdi_catalog/salesItemDetails.do?id=76736</v>
      </c>
      <c r="B2227" s="5" t="s">
        <v>6081</v>
      </c>
      <c r="C2227" s="5" t="s">
        <v>6077</v>
      </c>
      <c r="D2227" s="5" t="s">
        <v>6078</v>
      </c>
      <c r="E2227" s="5" t="s">
        <v>6079</v>
      </c>
      <c r="F2227" s="5" t="s">
        <v>16</v>
      </c>
      <c r="G2227" s="5" t="s">
        <v>38</v>
      </c>
      <c r="H2227" s="5" t="s">
        <v>18</v>
      </c>
      <c r="I2227" s="6" t="n">
        <v>38168.9166666667</v>
      </c>
      <c r="J2227" s="5" t="s">
        <v>19</v>
      </c>
      <c r="K2227" s="5" t="s">
        <v>20</v>
      </c>
      <c r="L2227" s="7" t="s">
        <v>6082</v>
      </c>
    </row>
    <row r="2228" customFormat="false" ht="15.65" hidden="false" customHeight="true" outlineLevel="0" collapsed="false">
      <c r="A2228" s="2" t="str">
        <f aca="false">HYPERLINK("https://www.fabsurplus.com/sdi_catalog/salesItemDetails.do?id=76737")</f>
        <v>https://www.fabsurplus.com/sdi_catalog/salesItemDetails.do?id=76737</v>
      </c>
      <c r="B2228" s="2" t="s">
        <v>6083</v>
      </c>
      <c r="C2228" s="2" t="s">
        <v>6077</v>
      </c>
      <c r="D2228" s="2" t="s">
        <v>6078</v>
      </c>
      <c r="E2228" s="2" t="s">
        <v>6079</v>
      </c>
      <c r="F2228" s="2" t="s">
        <v>16</v>
      </c>
      <c r="G2228" s="2" t="s">
        <v>38</v>
      </c>
      <c r="H2228" s="2" t="s">
        <v>18</v>
      </c>
      <c r="I2228" s="3" t="n">
        <v>38168.9166666667</v>
      </c>
      <c r="J2228" s="2" t="s">
        <v>19</v>
      </c>
      <c r="K2228" s="2" t="s">
        <v>20</v>
      </c>
      <c r="L2228" s="4" t="s">
        <v>6084</v>
      </c>
    </row>
    <row r="2229" customFormat="false" ht="15.65" hidden="false" customHeight="true" outlineLevel="0" collapsed="false">
      <c r="A2229" s="5" t="str">
        <f aca="false">HYPERLINK("https://www.fabsurplus.com/sdi_catalog/salesItemDetails.do?id=76738")</f>
        <v>https://www.fabsurplus.com/sdi_catalog/salesItemDetails.do?id=76738</v>
      </c>
      <c r="B2229" s="5" t="s">
        <v>6085</v>
      </c>
      <c r="C2229" s="5" t="s">
        <v>6077</v>
      </c>
      <c r="D2229" s="5" t="s">
        <v>6078</v>
      </c>
      <c r="E2229" s="5" t="s">
        <v>6079</v>
      </c>
      <c r="F2229" s="5" t="s">
        <v>16</v>
      </c>
      <c r="G2229" s="5" t="s">
        <v>38</v>
      </c>
      <c r="H2229" s="5" t="s">
        <v>18</v>
      </c>
      <c r="I2229" s="6" t="n">
        <v>38168.9166666667</v>
      </c>
      <c r="J2229" s="5" t="s">
        <v>19</v>
      </c>
      <c r="K2229" s="5" t="s">
        <v>20</v>
      </c>
      <c r="L2229" s="7" t="s">
        <v>6086</v>
      </c>
    </row>
    <row r="2230" customFormat="false" ht="15.65" hidden="false" customHeight="true" outlineLevel="0" collapsed="false">
      <c r="A2230" s="2" t="str">
        <f aca="false">HYPERLINK("https://www.fabsurplus.com/sdi_catalog/salesItemDetails.do?id=76739")</f>
        <v>https://www.fabsurplus.com/sdi_catalog/salesItemDetails.do?id=76739</v>
      </c>
      <c r="B2230" s="2" t="s">
        <v>6087</v>
      </c>
      <c r="C2230" s="2" t="s">
        <v>6077</v>
      </c>
      <c r="D2230" s="2" t="s">
        <v>6078</v>
      </c>
      <c r="E2230" s="2" t="s">
        <v>6079</v>
      </c>
      <c r="F2230" s="2" t="s">
        <v>16</v>
      </c>
      <c r="G2230" s="2" t="s">
        <v>38</v>
      </c>
      <c r="H2230" s="2" t="s">
        <v>18</v>
      </c>
      <c r="I2230" s="3" t="n">
        <v>38230.9166666667</v>
      </c>
      <c r="J2230" s="2" t="s">
        <v>19</v>
      </c>
      <c r="K2230" s="2" t="s">
        <v>20</v>
      </c>
      <c r="L2230" s="4" t="s">
        <v>6088</v>
      </c>
    </row>
    <row r="2231" customFormat="false" ht="15.65" hidden="false" customHeight="true" outlineLevel="0" collapsed="false">
      <c r="A2231" s="5" t="str">
        <f aca="false">HYPERLINK("https://www.fabsurplus.com/sdi_catalog/salesItemDetails.do?id=110319")</f>
        <v>https://www.fabsurplus.com/sdi_catalog/salesItemDetails.do?id=110319</v>
      </c>
      <c r="B2231" s="5" t="s">
        <v>6089</v>
      </c>
      <c r="C2231" s="5" t="s">
        <v>6090</v>
      </c>
      <c r="D2231" s="5" t="s">
        <v>6091</v>
      </c>
      <c r="E2231" s="5" t="s">
        <v>170</v>
      </c>
      <c r="F2231" s="5" t="s">
        <v>16</v>
      </c>
      <c r="G2231" s="5" t="s">
        <v>165</v>
      </c>
      <c r="H2231" s="5"/>
      <c r="I2231" s="5"/>
      <c r="J2231" s="5" t="s">
        <v>42</v>
      </c>
      <c r="K2231" s="5"/>
      <c r="L2231" s="5" t="s">
        <v>686</v>
      </c>
    </row>
    <row r="2232" customFormat="false" ht="15.65" hidden="false" customHeight="true" outlineLevel="0" collapsed="false">
      <c r="A2232" s="2" t="str">
        <f aca="false">HYPERLINK("https://www.fabsurplus.com/sdi_catalog/salesItemDetails.do?id=79892")</f>
        <v>https://www.fabsurplus.com/sdi_catalog/salesItemDetails.do?id=79892</v>
      </c>
      <c r="B2232" s="2" t="s">
        <v>6092</v>
      </c>
      <c r="C2232" s="2" t="s">
        <v>6093</v>
      </c>
      <c r="D2232" s="2" t="s">
        <v>6094</v>
      </c>
      <c r="E2232" s="2" t="s">
        <v>6095</v>
      </c>
      <c r="F2232" s="2" t="s">
        <v>16</v>
      </c>
      <c r="G2232" s="2" t="s">
        <v>1236</v>
      </c>
      <c r="H2232" s="2" t="s">
        <v>18</v>
      </c>
      <c r="I2232" s="2"/>
      <c r="J2232" s="2" t="s">
        <v>19</v>
      </c>
      <c r="K2232" s="2" t="s">
        <v>20</v>
      </c>
      <c r="L2232" s="4" t="s">
        <v>6096</v>
      </c>
    </row>
    <row r="2233" customFormat="false" ht="15.65" hidden="false" customHeight="true" outlineLevel="0" collapsed="false">
      <c r="A2233" s="5" t="str">
        <f aca="false">HYPERLINK("https://www.fabsurplus.com/sdi_catalog/salesItemDetails.do?id=106476")</f>
        <v>https://www.fabsurplus.com/sdi_catalog/salesItemDetails.do?id=106476</v>
      </c>
      <c r="B2233" s="5" t="s">
        <v>6097</v>
      </c>
      <c r="C2233" s="5" t="s">
        <v>6098</v>
      </c>
      <c r="D2233" s="5" t="s">
        <v>6099</v>
      </c>
      <c r="E2233" s="5" t="s">
        <v>6100</v>
      </c>
      <c r="F2233" s="5" t="s">
        <v>16</v>
      </c>
      <c r="G2233" s="5" t="s">
        <v>2858</v>
      </c>
      <c r="H2233" s="5" t="s">
        <v>32</v>
      </c>
      <c r="I2233" s="6" t="n">
        <v>36678</v>
      </c>
      <c r="J2233" s="5" t="s">
        <v>19</v>
      </c>
      <c r="K2233" s="5" t="s">
        <v>20</v>
      </c>
      <c r="L2233" s="5" t="s">
        <v>6101</v>
      </c>
    </row>
    <row r="2234" customFormat="false" ht="15.65" hidden="false" customHeight="true" outlineLevel="0" collapsed="false">
      <c r="A2234" s="2" t="str">
        <f aca="false">HYPERLINK("https://www.fabsurplus.com/sdi_catalog/salesItemDetails.do?id=94601")</f>
        <v>https://www.fabsurplus.com/sdi_catalog/salesItemDetails.do?id=94601</v>
      </c>
      <c r="B2234" s="2" t="s">
        <v>6102</v>
      </c>
      <c r="C2234" s="2" t="s">
        <v>6103</v>
      </c>
      <c r="D2234" s="2" t="s">
        <v>6104</v>
      </c>
      <c r="E2234" s="2" t="s">
        <v>6105</v>
      </c>
      <c r="F2234" s="2" t="s">
        <v>16</v>
      </c>
      <c r="G2234" s="2" t="s">
        <v>165</v>
      </c>
      <c r="H2234" s="2"/>
      <c r="I2234" s="2"/>
      <c r="J2234" s="2" t="s">
        <v>19</v>
      </c>
      <c r="K2234" s="2"/>
      <c r="L2234" s="2" t="s">
        <v>6106</v>
      </c>
    </row>
    <row r="2235" customFormat="false" ht="15.65" hidden="false" customHeight="true" outlineLevel="0" collapsed="false">
      <c r="A2235" s="5" t="str">
        <f aca="false">HYPERLINK("https://www.fabsurplus.com/sdi_catalog/salesItemDetails.do?id=83800")</f>
        <v>https://www.fabsurplus.com/sdi_catalog/salesItemDetails.do?id=83800</v>
      </c>
      <c r="B2235" s="5" t="s">
        <v>6107</v>
      </c>
      <c r="C2235" s="5" t="s">
        <v>6108</v>
      </c>
      <c r="D2235" s="5" t="s">
        <v>6109</v>
      </c>
      <c r="E2235" s="5" t="s">
        <v>6110</v>
      </c>
      <c r="F2235" s="5" t="s">
        <v>16</v>
      </c>
      <c r="G2235" s="5"/>
      <c r="H2235" s="5" t="s">
        <v>1395</v>
      </c>
      <c r="I2235" s="5"/>
      <c r="J2235" s="5" t="s">
        <v>19</v>
      </c>
      <c r="K2235" s="5" t="s">
        <v>20</v>
      </c>
      <c r="L2235" s="7" t="s">
        <v>6111</v>
      </c>
    </row>
    <row r="2236" customFormat="false" ht="15.65" hidden="false" customHeight="true" outlineLevel="0" collapsed="false">
      <c r="A2236" s="2" t="str">
        <f aca="false">HYPERLINK("https://www.fabsurplus.com/sdi_catalog/salesItemDetails.do?id=108158")</f>
        <v>https://www.fabsurplus.com/sdi_catalog/salesItemDetails.do?id=108158</v>
      </c>
      <c r="B2236" s="2" t="s">
        <v>6112</v>
      </c>
      <c r="C2236" s="2" t="s">
        <v>6002</v>
      </c>
      <c r="D2236" s="2" t="s">
        <v>6113</v>
      </c>
      <c r="E2236" s="2" t="s">
        <v>6114</v>
      </c>
      <c r="F2236" s="2" t="s">
        <v>16</v>
      </c>
      <c r="G2236" s="2" t="s">
        <v>38</v>
      </c>
      <c r="H2236" s="2"/>
      <c r="I2236" s="2"/>
      <c r="J2236" s="2" t="s">
        <v>19</v>
      </c>
      <c r="K2236" s="2"/>
      <c r="L2236" s="2" t="s">
        <v>1480</v>
      </c>
    </row>
    <row r="2237" customFormat="false" ht="15.65" hidden="false" customHeight="true" outlineLevel="0" collapsed="false">
      <c r="A2237" s="5" t="str">
        <f aca="false">HYPERLINK("https://www.fabsurplus.com/sdi_catalog/salesItemDetails.do?id=71907")</f>
        <v>https://www.fabsurplus.com/sdi_catalog/salesItemDetails.do?id=71907</v>
      </c>
      <c r="B2237" s="5" t="s">
        <v>6115</v>
      </c>
      <c r="C2237" s="5" t="s">
        <v>6116</v>
      </c>
      <c r="D2237" s="5" t="s">
        <v>6117</v>
      </c>
      <c r="E2237" s="5" t="s">
        <v>6118</v>
      </c>
      <c r="F2237" s="5" t="s">
        <v>16</v>
      </c>
      <c r="G2237" s="5" t="s">
        <v>6119</v>
      </c>
      <c r="H2237" s="5" t="s">
        <v>18</v>
      </c>
      <c r="I2237" s="6" t="n">
        <v>37164.9166666667</v>
      </c>
      <c r="J2237" s="5" t="s">
        <v>19</v>
      </c>
      <c r="K2237" s="5" t="s">
        <v>20</v>
      </c>
      <c r="L2237" s="7" t="s">
        <v>6120</v>
      </c>
    </row>
    <row r="2238" customFormat="false" ht="15.65" hidden="false" customHeight="true" outlineLevel="0" collapsed="false">
      <c r="A2238" s="2" t="str">
        <f aca="false">HYPERLINK("https://www.fabsurplus.com/sdi_catalog/salesItemDetails.do?id=84413")</f>
        <v>https://www.fabsurplus.com/sdi_catalog/salesItemDetails.do?id=84413</v>
      </c>
      <c r="B2238" s="2" t="s">
        <v>6121</v>
      </c>
      <c r="C2238" s="2" t="s">
        <v>6122</v>
      </c>
      <c r="D2238" s="2" t="s">
        <v>6123</v>
      </c>
      <c r="E2238" s="2" t="s">
        <v>6124</v>
      </c>
      <c r="F2238" s="2" t="s">
        <v>16</v>
      </c>
      <c r="G2238" s="2"/>
      <c r="H2238" s="2" t="s">
        <v>32</v>
      </c>
      <c r="I2238" s="2"/>
      <c r="J2238" s="2" t="s">
        <v>19</v>
      </c>
      <c r="K2238" s="2" t="s">
        <v>20</v>
      </c>
      <c r="L2238" s="4" t="s">
        <v>6125</v>
      </c>
    </row>
    <row r="2239" customFormat="false" ht="15.65" hidden="false" customHeight="true" outlineLevel="0" collapsed="false">
      <c r="A2239" s="5" t="str">
        <f aca="false">HYPERLINK("https://www.fabsurplus.com/sdi_catalog/salesItemDetails.do?id=110320")</f>
        <v>https://www.fabsurplus.com/sdi_catalog/salesItemDetails.do?id=110320</v>
      </c>
      <c r="B2239" s="5" t="s">
        <v>6126</v>
      </c>
      <c r="C2239" s="5" t="s">
        <v>6127</v>
      </c>
      <c r="D2239" s="5" t="s">
        <v>6128</v>
      </c>
      <c r="E2239" s="5" t="s">
        <v>164</v>
      </c>
      <c r="F2239" s="5" t="s">
        <v>16</v>
      </c>
      <c r="G2239" s="5" t="s">
        <v>165</v>
      </c>
      <c r="H2239" s="5"/>
      <c r="I2239" s="5"/>
      <c r="J2239" s="5" t="s">
        <v>42</v>
      </c>
      <c r="K2239" s="5"/>
      <c r="L2239" s="5" t="s">
        <v>6129</v>
      </c>
    </row>
    <row r="2240" customFormat="false" ht="15.65" hidden="false" customHeight="true" outlineLevel="0" collapsed="false">
      <c r="A2240" s="2" t="str">
        <f aca="false">HYPERLINK("https://www.fabsurplus.com/sdi_catalog/salesItemDetails.do?id=110321")</f>
        <v>https://www.fabsurplus.com/sdi_catalog/salesItemDetails.do?id=110321</v>
      </c>
      <c r="B2240" s="2" t="s">
        <v>6130</v>
      </c>
      <c r="C2240" s="2" t="s">
        <v>6127</v>
      </c>
      <c r="D2240" s="2" t="s">
        <v>6131</v>
      </c>
      <c r="E2240" s="2" t="s">
        <v>164</v>
      </c>
      <c r="F2240" s="2" t="s">
        <v>16</v>
      </c>
      <c r="G2240" s="2" t="s">
        <v>165</v>
      </c>
      <c r="H2240" s="2"/>
      <c r="I2240" s="2"/>
      <c r="J2240" s="2" t="s">
        <v>42</v>
      </c>
      <c r="K2240" s="2"/>
      <c r="L2240" s="2" t="s">
        <v>6132</v>
      </c>
    </row>
    <row r="2241" customFormat="false" ht="15.65" hidden="false" customHeight="true" outlineLevel="0" collapsed="false">
      <c r="A2241" s="5" t="str">
        <f aca="false">HYPERLINK("https://www.fabsurplus.com/sdi_catalog/salesItemDetails.do?id=110596")</f>
        <v>https://www.fabsurplus.com/sdi_catalog/salesItemDetails.do?id=110596</v>
      </c>
      <c r="B2241" s="5" t="s">
        <v>6133</v>
      </c>
      <c r="C2241" s="5" t="s">
        <v>6134</v>
      </c>
      <c r="D2241" s="5" t="s">
        <v>6135</v>
      </c>
      <c r="E2241" s="5" t="s">
        <v>6136</v>
      </c>
      <c r="F2241" s="5" t="s">
        <v>16</v>
      </c>
      <c r="G2241" s="5" t="s">
        <v>1362</v>
      </c>
      <c r="H2241" s="5" t="s">
        <v>18</v>
      </c>
      <c r="I2241" s="6" t="n">
        <v>41395</v>
      </c>
      <c r="J2241" s="5" t="s">
        <v>19</v>
      </c>
      <c r="K2241" s="5" t="s">
        <v>20</v>
      </c>
      <c r="L2241" s="7" t="s">
        <v>6137</v>
      </c>
    </row>
    <row r="2242" customFormat="false" ht="15.65" hidden="false" customHeight="true" outlineLevel="0" collapsed="false">
      <c r="A2242" s="2" t="str">
        <f aca="false">HYPERLINK("https://www.fabsurplus.com/sdi_catalog/salesItemDetails.do?id=109282")</f>
        <v>https://www.fabsurplus.com/sdi_catalog/salesItemDetails.do?id=109282</v>
      </c>
      <c r="B2242" s="2" t="s">
        <v>6138</v>
      </c>
      <c r="C2242" s="2" t="s">
        <v>6134</v>
      </c>
      <c r="D2242" s="2" t="s">
        <v>6139</v>
      </c>
      <c r="E2242" s="2" t="s">
        <v>6140</v>
      </c>
      <c r="F2242" s="2" t="s">
        <v>148</v>
      </c>
      <c r="G2242" s="2" t="s">
        <v>1362</v>
      </c>
      <c r="H2242" s="2" t="s">
        <v>18</v>
      </c>
      <c r="I2242" s="3" t="n">
        <v>43617</v>
      </c>
      <c r="J2242" s="2" t="s">
        <v>19</v>
      </c>
      <c r="K2242" s="2" t="s">
        <v>20</v>
      </c>
      <c r="L2242" s="4" t="s">
        <v>6141</v>
      </c>
    </row>
    <row r="2243" customFormat="false" ht="15.65" hidden="false" customHeight="true" outlineLevel="0" collapsed="false">
      <c r="A2243" s="5" t="str">
        <f aca="false">HYPERLINK("https://www.fabsurplus.com/sdi_catalog/salesItemDetails.do?id=106479")</f>
        <v>https://www.fabsurplus.com/sdi_catalog/salesItemDetails.do?id=106479</v>
      </c>
      <c r="B2243" s="5" t="s">
        <v>6142</v>
      </c>
      <c r="C2243" s="5" t="s">
        <v>6143</v>
      </c>
      <c r="D2243" s="5" t="s">
        <v>6144</v>
      </c>
      <c r="E2243" s="5" t="s">
        <v>6145</v>
      </c>
      <c r="F2243" s="5" t="s">
        <v>16</v>
      </c>
      <c r="G2243" s="5" t="s">
        <v>2858</v>
      </c>
      <c r="H2243" s="5" t="s">
        <v>32</v>
      </c>
      <c r="I2243" s="5"/>
      <c r="J2243" s="5" t="s">
        <v>19</v>
      </c>
      <c r="K2243" s="5"/>
      <c r="L2243" s="5"/>
    </row>
    <row r="2244" customFormat="false" ht="15.65" hidden="false" customHeight="true" outlineLevel="0" collapsed="false">
      <c r="A2244" s="2" t="str">
        <f aca="false">HYPERLINK("https://www.fabsurplus.com/sdi_catalog/salesItemDetails.do?id=109568")</f>
        <v>https://www.fabsurplus.com/sdi_catalog/salesItemDetails.do?id=109568</v>
      </c>
      <c r="B2244" s="2" t="s">
        <v>6146</v>
      </c>
      <c r="C2244" s="2" t="s">
        <v>6147</v>
      </c>
      <c r="D2244" s="2" t="s">
        <v>6148</v>
      </c>
      <c r="E2244" s="2" t="s">
        <v>6149</v>
      </c>
      <c r="F2244" s="2" t="s">
        <v>16</v>
      </c>
      <c r="G2244" s="2" t="s">
        <v>61</v>
      </c>
      <c r="H2244" s="2" t="s">
        <v>32</v>
      </c>
      <c r="I2244" s="3" t="n">
        <v>41061</v>
      </c>
      <c r="J2244" s="2" t="s">
        <v>19</v>
      </c>
      <c r="K2244" s="2" t="s">
        <v>20</v>
      </c>
      <c r="L2244" s="4" t="s">
        <v>6150</v>
      </c>
    </row>
    <row r="2245" customFormat="false" ht="15.65" hidden="false" customHeight="true" outlineLevel="0" collapsed="false">
      <c r="A2245" s="5" t="str">
        <f aca="false">HYPERLINK("https://www.fabsurplus.com/sdi_catalog/salesItemDetails.do?id=109569")</f>
        <v>https://www.fabsurplus.com/sdi_catalog/salesItemDetails.do?id=109569</v>
      </c>
      <c r="B2245" s="5" t="s">
        <v>6151</v>
      </c>
      <c r="C2245" s="5" t="s">
        <v>6147</v>
      </c>
      <c r="D2245" s="5" t="s">
        <v>6152</v>
      </c>
      <c r="E2245" s="5" t="s">
        <v>6149</v>
      </c>
      <c r="F2245" s="5" t="s">
        <v>16</v>
      </c>
      <c r="G2245" s="5" t="s">
        <v>61</v>
      </c>
      <c r="H2245" s="5" t="s">
        <v>32</v>
      </c>
      <c r="I2245" s="6" t="n">
        <v>40330</v>
      </c>
      <c r="J2245" s="5" t="s">
        <v>19</v>
      </c>
      <c r="K2245" s="5" t="s">
        <v>20</v>
      </c>
      <c r="L2245" s="5" t="s">
        <v>6153</v>
      </c>
    </row>
    <row r="2246" customFormat="false" ht="15.65" hidden="false" customHeight="true" outlineLevel="0" collapsed="false">
      <c r="A2246" s="2" t="str">
        <f aca="false">HYPERLINK("https://www.fabsurplus.com/sdi_catalog/salesItemDetails.do?id=91397")</f>
        <v>https://www.fabsurplus.com/sdi_catalog/salesItemDetails.do?id=91397</v>
      </c>
      <c r="B2246" s="2" t="s">
        <v>6154</v>
      </c>
      <c r="C2246" s="2" t="s">
        <v>6155</v>
      </c>
      <c r="D2246" s="2" t="s">
        <v>6156</v>
      </c>
      <c r="E2246" s="2" t="s">
        <v>6157</v>
      </c>
      <c r="F2246" s="2" t="s">
        <v>16</v>
      </c>
      <c r="G2246" s="2"/>
      <c r="H2246" s="2"/>
      <c r="I2246" s="2"/>
      <c r="J2246" s="2" t="s">
        <v>19</v>
      </c>
      <c r="K2246" s="2"/>
      <c r="L2246" s="2" t="s">
        <v>142</v>
      </c>
    </row>
    <row r="2247" customFormat="false" ht="15.65" hidden="false" customHeight="true" outlineLevel="0" collapsed="false">
      <c r="A2247" s="5" t="str">
        <f aca="false">HYPERLINK("https://www.fabsurplus.com/sdi_catalog/salesItemDetails.do?id=86278")</f>
        <v>https://www.fabsurplus.com/sdi_catalog/salesItemDetails.do?id=86278</v>
      </c>
      <c r="B2247" s="5" t="s">
        <v>6158</v>
      </c>
      <c r="C2247" s="5" t="s">
        <v>6159</v>
      </c>
      <c r="D2247" s="5" t="s">
        <v>6160</v>
      </c>
      <c r="E2247" s="5" t="s">
        <v>6161</v>
      </c>
      <c r="F2247" s="5" t="s">
        <v>16</v>
      </c>
      <c r="G2247" s="5" t="s">
        <v>104</v>
      </c>
      <c r="H2247" s="5" t="s">
        <v>18</v>
      </c>
      <c r="I2247" s="6" t="n">
        <v>34820</v>
      </c>
      <c r="J2247" s="5" t="s">
        <v>19</v>
      </c>
      <c r="K2247" s="5" t="s">
        <v>20</v>
      </c>
      <c r="L2247" s="5" t="s">
        <v>6162</v>
      </c>
    </row>
    <row r="2248" customFormat="false" ht="15.65" hidden="false" customHeight="true" outlineLevel="0" collapsed="false">
      <c r="A2248" s="2" t="str">
        <f aca="false">HYPERLINK("https://www.fabsurplus.com/sdi_catalog/salesItemDetails.do?id=108040")</f>
        <v>https://www.fabsurplus.com/sdi_catalog/salesItemDetails.do?id=108040</v>
      </c>
      <c r="B2248" s="2" t="s">
        <v>6163</v>
      </c>
      <c r="C2248" s="2" t="s">
        <v>6147</v>
      </c>
      <c r="D2248" s="2" t="s">
        <v>3002</v>
      </c>
      <c r="E2248" s="2" t="s">
        <v>6164</v>
      </c>
      <c r="F2248" s="2" t="s">
        <v>16</v>
      </c>
      <c r="G2248" s="2" t="s">
        <v>104</v>
      </c>
      <c r="H2248" s="2" t="s">
        <v>32</v>
      </c>
      <c r="I2248" s="2"/>
      <c r="J2248" s="2" t="s">
        <v>19</v>
      </c>
      <c r="K2248" s="2" t="s">
        <v>20</v>
      </c>
      <c r="L2248" s="4" t="s">
        <v>6165</v>
      </c>
    </row>
    <row r="2249" customFormat="false" ht="15.65" hidden="false" customHeight="true" outlineLevel="0" collapsed="false">
      <c r="A2249" s="5" t="str">
        <f aca="false">HYPERLINK("https://www.fabsurplus.com/sdi_catalog/salesItemDetails.do?id=110601")</f>
        <v>https://www.fabsurplus.com/sdi_catalog/salesItemDetails.do?id=110601</v>
      </c>
      <c r="B2249" s="5" t="s">
        <v>6166</v>
      </c>
      <c r="C2249" s="5" t="s">
        <v>6147</v>
      </c>
      <c r="D2249" s="5" t="s">
        <v>6167</v>
      </c>
      <c r="E2249" s="5" t="s">
        <v>5607</v>
      </c>
      <c r="F2249" s="5" t="s">
        <v>16</v>
      </c>
      <c r="G2249" s="5" t="s">
        <v>3031</v>
      </c>
      <c r="H2249" s="5" t="s">
        <v>32</v>
      </c>
      <c r="I2249" s="6" t="n">
        <v>38869</v>
      </c>
      <c r="J2249" s="5" t="s">
        <v>19</v>
      </c>
      <c r="K2249" s="5" t="s">
        <v>20</v>
      </c>
      <c r="L2249" s="7" t="s">
        <v>6168</v>
      </c>
    </row>
    <row r="2250" customFormat="false" ht="15.65" hidden="false" customHeight="true" outlineLevel="0" collapsed="false">
      <c r="A2250" s="2" t="str">
        <f aca="false">HYPERLINK("https://www.fabsurplus.com/sdi_catalog/salesItemDetails.do?id=109578")</f>
        <v>https://www.fabsurplus.com/sdi_catalog/salesItemDetails.do?id=109578</v>
      </c>
      <c r="B2250" s="2" t="s">
        <v>6169</v>
      </c>
      <c r="C2250" s="2" t="s">
        <v>6155</v>
      </c>
      <c r="D2250" s="2" t="s">
        <v>6170</v>
      </c>
      <c r="E2250" s="2" t="s">
        <v>6171</v>
      </c>
      <c r="F2250" s="2" t="s">
        <v>2550</v>
      </c>
      <c r="G2250" s="2" t="s">
        <v>2327</v>
      </c>
      <c r="H2250" s="2" t="s">
        <v>18</v>
      </c>
      <c r="I2250" s="3" t="n">
        <v>39203</v>
      </c>
      <c r="J2250" s="2" t="s">
        <v>42</v>
      </c>
      <c r="K2250" s="2" t="s">
        <v>20</v>
      </c>
      <c r="L2250" s="4" t="s">
        <v>6172</v>
      </c>
    </row>
    <row r="2251" customFormat="false" ht="15.65" hidden="false" customHeight="true" outlineLevel="0" collapsed="false">
      <c r="A2251" s="5" t="str">
        <f aca="false">HYPERLINK("https://www.fabsurplus.com/sdi_catalog/salesItemDetails.do?id=91403")</f>
        <v>https://www.fabsurplus.com/sdi_catalog/salesItemDetails.do?id=91403</v>
      </c>
      <c r="B2251" s="5" t="s">
        <v>6173</v>
      </c>
      <c r="C2251" s="5" t="s">
        <v>6155</v>
      </c>
      <c r="D2251" s="5" t="s">
        <v>6174</v>
      </c>
      <c r="E2251" s="5" t="s">
        <v>6175</v>
      </c>
      <c r="F2251" s="5" t="s">
        <v>16</v>
      </c>
      <c r="G2251" s="5" t="s">
        <v>6176</v>
      </c>
      <c r="H2251" s="5"/>
      <c r="I2251" s="5"/>
      <c r="J2251" s="5" t="s">
        <v>19</v>
      </c>
      <c r="K2251" s="5"/>
      <c r="L2251" s="5" t="s">
        <v>142</v>
      </c>
    </row>
    <row r="2252" customFormat="false" ht="15.65" hidden="false" customHeight="true" outlineLevel="0" collapsed="false">
      <c r="A2252" s="2" t="str">
        <f aca="false">HYPERLINK("https://www.fabsurplus.com/sdi_catalog/salesItemDetails.do?id=60939")</f>
        <v>https://www.fabsurplus.com/sdi_catalog/salesItemDetails.do?id=60939</v>
      </c>
      <c r="B2252" s="2" t="s">
        <v>6177</v>
      </c>
      <c r="C2252" s="2" t="s">
        <v>6155</v>
      </c>
      <c r="D2252" s="2" t="s">
        <v>6178</v>
      </c>
      <c r="E2252" s="2" t="s">
        <v>6179</v>
      </c>
      <c r="F2252" s="2" t="s">
        <v>16</v>
      </c>
      <c r="G2252" s="2"/>
      <c r="H2252" s="2"/>
      <c r="I2252" s="3" t="n">
        <v>35216.9166666667</v>
      </c>
      <c r="J2252" s="2" t="s">
        <v>19</v>
      </c>
      <c r="K2252" s="2"/>
      <c r="L2252" s="2"/>
    </row>
    <row r="2253" customFormat="false" ht="15.65" hidden="false" customHeight="true" outlineLevel="0" collapsed="false">
      <c r="A2253" s="5" t="str">
        <f aca="false">HYPERLINK("https://www.fabsurplus.com/sdi_catalog/salesItemDetails.do?id=91404")</f>
        <v>https://www.fabsurplus.com/sdi_catalog/salesItemDetails.do?id=91404</v>
      </c>
      <c r="B2253" s="5" t="s">
        <v>6180</v>
      </c>
      <c r="C2253" s="5" t="s">
        <v>6155</v>
      </c>
      <c r="D2253" s="5" t="s">
        <v>6174</v>
      </c>
      <c r="E2253" s="5" t="s">
        <v>6175</v>
      </c>
      <c r="F2253" s="5" t="s">
        <v>16</v>
      </c>
      <c r="G2253" s="5" t="s">
        <v>6176</v>
      </c>
      <c r="H2253" s="5"/>
      <c r="I2253" s="5"/>
      <c r="J2253" s="5" t="s">
        <v>19</v>
      </c>
      <c r="K2253" s="5"/>
      <c r="L2253" s="5" t="s">
        <v>142</v>
      </c>
    </row>
    <row r="2254" customFormat="false" ht="15.65" hidden="false" customHeight="true" outlineLevel="0" collapsed="false">
      <c r="A2254" s="2" t="str">
        <f aca="false">HYPERLINK("https://www.fabsurplus.com/sdi_catalog/salesItemDetails.do?id=91405")</f>
        <v>https://www.fabsurplus.com/sdi_catalog/salesItemDetails.do?id=91405</v>
      </c>
      <c r="B2254" s="2" t="s">
        <v>6181</v>
      </c>
      <c r="C2254" s="2" t="s">
        <v>6155</v>
      </c>
      <c r="D2254" s="2" t="s">
        <v>6174</v>
      </c>
      <c r="E2254" s="2" t="s">
        <v>6175</v>
      </c>
      <c r="F2254" s="2" t="s">
        <v>16</v>
      </c>
      <c r="G2254" s="2" t="s">
        <v>6176</v>
      </c>
      <c r="H2254" s="2"/>
      <c r="I2254" s="2"/>
      <c r="J2254" s="2" t="s">
        <v>19</v>
      </c>
      <c r="K2254" s="2"/>
      <c r="L2254" s="2" t="s">
        <v>142</v>
      </c>
    </row>
    <row r="2255" customFormat="false" ht="15.65" hidden="false" customHeight="true" outlineLevel="0" collapsed="false">
      <c r="A2255" s="5" t="str">
        <f aca="false">HYPERLINK("https://www.fabsurplus.com/sdi_catalog/salesItemDetails.do?id=91407")</f>
        <v>https://www.fabsurplus.com/sdi_catalog/salesItemDetails.do?id=91407</v>
      </c>
      <c r="B2255" s="5" t="s">
        <v>6182</v>
      </c>
      <c r="C2255" s="5" t="s">
        <v>6155</v>
      </c>
      <c r="D2255" s="5" t="s">
        <v>6174</v>
      </c>
      <c r="E2255" s="5" t="s">
        <v>6175</v>
      </c>
      <c r="F2255" s="5" t="s">
        <v>16</v>
      </c>
      <c r="G2255" s="5" t="s">
        <v>6176</v>
      </c>
      <c r="H2255" s="5"/>
      <c r="I2255" s="5"/>
      <c r="J2255" s="5" t="s">
        <v>19</v>
      </c>
      <c r="K2255" s="5"/>
      <c r="L2255" s="5" t="s">
        <v>142</v>
      </c>
    </row>
    <row r="2256" customFormat="false" ht="15.65" hidden="false" customHeight="true" outlineLevel="0" collapsed="false">
      <c r="A2256" s="2" t="str">
        <f aca="false">HYPERLINK("https://www.fabsurplus.com/sdi_catalog/salesItemDetails.do?id=91408")</f>
        <v>https://www.fabsurplus.com/sdi_catalog/salesItemDetails.do?id=91408</v>
      </c>
      <c r="B2256" s="2" t="s">
        <v>6183</v>
      </c>
      <c r="C2256" s="2" t="s">
        <v>6155</v>
      </c>
      <c r="D2256" s="2" t="s">
        <v>6174</v>
      </c>
      <c r="E2256" s="2" t="s">
        <v>6175</v>
      </c>
      <c r="F2256" s="2" t="s">
        <v>16</v>
      </c>
      <c r="G2256" s="2" t="s">
        <v>6176</v>
      </c>
      <c r="H2256" s="2"/>
      <c r="I2256" s="2"/>
      <c r="J2256" s="2" t="s">
        <v>19</v>
      </c>
      <c r="K2256" s="2"/>
      <c r="L2256" s="2" t="s">
        <v>142</v>
      </c>
    </row>
    <row r="2257" customFormat="false" ht="15.65" hidden="false" customHeight="true" outlineLevel="0" collapsed="false">
      <c r="A2257" s="5" t="str">
        <f aca="false">HYPERLINK("https://www.fabsurplus.com/sdi_catalog/salesItemDetails.do?id=108568")</f>
        <v>https://www.fabsurplus.com/sdi_catalog/salesItemDetails.do?id=108568</v>
      </c>
      <c r="B2257" s="5" t="s">
        <v>6184</v>
      </c>
      <c r="C2257" s="5" t="s">
        <v>6155</v>
      </c>
      <c r="D2257" s="5" t="s">
        <v>6185</v>
      </c>
      <c r="E2257" s="5" t="s">
        <v>6186</v>
      </c>
      <c r="F2257" s="5" t="s">
        <v>16</v>
      </c>
      <c r="G2257" s="5" t="s">
        <v>84</v>
      </c>
      <c r="H2257" s="5" t="s">
        <v>32</v>
      </c>
      <c r="I2257" s="6" t="n">
        <v>40330</v>
      </c>
      <c r="J2257" s="5" t="s">
        <v>19</v>
      </c>
      <c r="K2257" s="5" t="s">
        <v>20</v>
      </c>
      <c r="L2257" s="5" t="s">
        <v>6187</v>
      </c>
    </row>
    <row r="2258" customFormat="false" ht="15.65" hidden="false" customHeight="true" outlineLevel="0" collapsed="false">
      <c r="A2258" s="2" t="str">
        <f aca="false">HYPERLINK("https://www.fabsurplus.com/sdi_catalog/salesItemDetails.do?id=91417")</f>
        <v>https://www.fabsurplus.com/sdi_catalog/salesItemDetails.do?id=91417</v>
      </c>
      <c r="B2258" s="2" t="s">
        <v>6188</v>
      </c>
      <c r="C2258" s="2" t="s">
        <v>6189</v>
      </c>
      <c r="D2258" s="2" t="s">
        <v>6190</v>
      </c>
      <c r="E2258" s="2" t="s">
        <v>6191</v>
      </c>
      <c r="F2258" s="2" t="s">
        <v>16</v>
      </c>
      <c r="G2258" s="2" t="s">
        <v>61</v>
      </c>
      <c r="H2258" s="2" t="s">
        <v>32</v>
      </c>
      <c r="I2258" s="3" t="n">
        <v>39325.9166666667</v>
      </c>
      <c r="J2258" s="2" t="s">
        <v>19</v>
      </c>
      <c r="K2258" s="2" t="s">
        <v>20</v>
      </c>
      <c r="L2258" s="4" t="s">
        <v>6192</v>
      </c>
    </row>
    <row r="2259" customFormat="false" ht="15.65" hidden="false" customHeight="true" outlineLevel="0" collapsed="false">
      <c r="A2259" s="5" t="str">
        <f aca="false">HYPERLINK("https://www.fabsurplus.com/sdi_catalog/salesItemDetails.do?id=91418")</f>
        <v>https://www.fabsurplus.com/sdi_catalog/salesItemDetails.do?id=91418</v>
      </c>
      <c r="B2259" s="5" t="s">
        <v>6193</v>
      </c>
      <c r="C2259" s="5" t="s">
        <v>6189</v>
      </c>
      <c r="D2259" s="5" t="s">
        <v>6194</v>
      </c>
      <c r="E2259" s="5" t="s">
        <v>6195</v>
      </c>
      <c r="F2259" s="5" t="s">
        <v>16</v>
      </c>
      <c r="G2259" s="5"/>
      <c r="H2259" s="5"/>
      <c r="I2259" s="6" t="n">
        <v>37042.9166666667</v>
      </c>
      <c r="J2259" s="5" t="s">
        <v>19</v>
      </c>
      <c r="K2259" s="5"/>
      <c r="L2259" s="5" t="s">
        <v>142</v>
      </c>
    </row>
    <row r="2260" customFormat="false" ht="15.65" hidden="false" customHeight="true" outlineLevel="0" collapsed="false">
      <c r="A2260" s="2" t="str">
        <f aca="false">HYPERLINK("https://www.fabsurplus.com/sdi_catalog/salesItemDetails.do?id=108068")</f>
        <v>https://www.fabsurplus.com/sdi_catalog/salesItemDetails.do?id=108068</v>
      </c>
      <c r="B2260" s="2" t="s">
        <v>6196</v>
      </c>
      <c r="C2260" s="2" t="s">
        <v>6147</v>
      </c>
      <c r="D2260" s="2" t="s">
        <v>6197</v>
      </c>
      <c r="E2260" s="2" t="s">
        <v>6198</v>
      </c>
      <c r="F2260" s="2" t="s">
        <v>16</v>
      </c>
      <c r="G2260" s="2" t="s">
        <v>1798</v>
      </c>
      <c r="H2260" s="2"/>
      <c r="I2260" s="2"/>
      <c r="J2260" s="2" t="s">
        <v>19</v>
      </c>
      <c r="K2260" s="2"/>
      <c r="L2260" s="2" t="s">
        <v>6199</v>
      </c>
    </row>
    <row r="2261" customFormat="false" ht="15.65" hidden="false" customHeight="true" outlineLevel="0" collapsed="false">
      <c r="A2261" s="5" t="str">
        <f aca="false">HYPERLINK("https://www.fabsurplus.com/sdi_catalog/salesItemDetails.do?id=108069")</f>
        <v>https://www.fabsurplus.com/sdi_catalog/salesItemDetails.do?id=108069</v>
      </c>
      <c r="B2261" s="5" t="s">
        <v>6200</v>
      </c>
      <c r="C2261" s="5" t="s">
        <v>6147</v>
      </c>
      <c r="D2261" s="5" t="s">
        <v>6201</v>
      </c>
      <c r="E2261" s="5" t="s">
        <v>6202</v>
      </c>
      <c r="F2261" s="5" t="s">
        <v>16</v>
      </c>
      <c r="G2261" s="5" t="s">
        <v>1798</v>
      </c>
      <c r="H2261" s="5"/>
      <c r="I2261" s="5"/>
      <c r="J2261" s="5" t="s">
        <v>19</v>
      </c>
      <c r="K2261" s="5"/>
      <c r="L2261" s="5" t="s">
        <v>6203</v>
      </c>
    </row>
    <row r="2262" customFormat="false" ht="15.65" hidden="false" customHeight="true" outlineLevel="0" collapsed="false">
      <c r="A2262" s="2" t="str">
        <f aca="false">HYPERLINK("https://www.fabsurplus.com/sdi_catalog/salesItemDetails.do?id=108070")</f>
        <v>https://www.fabsurplus.com/sdi_catalog/salesItemDetails.do?id=108070</v>
      </c>
      <c r="B2262" s="2" t="s">
        <v>6204</v>
      </c>
      <c r="C2262" s="2" t="s">
        <v>6147</v>
      </c>
      <c r="D2262" s="2" t="s">
        <v>6205</v>
      </c>
      <c r="E2262" s="2" t="s">
        <v>6202</v>
      </c>
      <c r="F2262" s="2" t="s">
        <v>16</v>
      </c>
      <c r="G2262" s="2" t="s">
        <v>1798</v>
      </c>
      <c r="H2262" s="2"/>
      <c r="I2262" s="2"/>
      <c r="J2262" s="2" t="s">
        <v>19</v>
      </c>
      <c r="K2262" s="2"/>
      <c r="L2262" s="2" t="s">
        <v>6203</v>
      </c>
    </row>
    <row r="2263" customFormat="false" ht="15.65" hidden="false" customHeight="true" outlineLevel="0" collapsed="false">
      <c r="A2263" s="5" t="str">
        <f aca="false">HYPERLINK("https://www.fabsurplus.com/sdi_catalog/salesItemDetails.do?id=108071")</f>
        <v>https://www.fabsurplus.com/sdi_catalog/salesItemDetails.do?id=108071</v>
      </c>
      <c r="B2263" s="5" t="s">
        <v>6206</v>
      </c>
      <c r="C2263" s="5" t="s">
        <v>6147</v>
      </c>
      <c r="D2263" s="5" t="s">
        <v>6207</v>
      </c>
      <c r="E2263" s="5" t="s">
        <v>6202</v>
      </c>
      <c r="F2263" s="5" t="s">
        <v>16</v>
      </c>
      <c r="G2263" s="5" t="s">
        <v>1798</v>
      </c>
      <c r="H2263" s="5"/>
      <c r="I2263" s="5"/>
      <c r="J2263" s="5" t="s">
        <v>19</v>
      </c>
      <c r="K2263" s="5"/>
      <c r="L2263" s="5" t="s">
        <v>6203</v>
      </c>
    </row>
    <row r="2264" customFormat="false" ht="15.65" hidden="false" customHeight="true" outlineLevel="0" collapsed="false">
      <c r="A2264" s="2" t="str">
        <f aca="false">HYPERLINK("https://www.fabsurplus.com/sdi_catalog/salesItemDetails.do?id=108072")</f>
        <v>https://www.fabsurplus.com/sdi_catalog/salesItemDetails.do?id=108072</v>
      </c>
      <c r="B2264" s="2" t="s">
        <v>6208</v>
      </c>
      <c r="C2264" s="2" t="s">
        <v>6147</v>
      </c>
      <c r="D2264" s="2" t="s">
        <v>6209</v>
      </c>
      <c r="E2264" s="2" t="s">
        <v>6210</v>
      </c>
      <c r="F2264" s="2" t="s">
        <v>16</v>
      </c>
      <c r="G2264" s="2"/>
      <c r="H2264" s="2"/>
      <c r="I2264" s="2"/>
      <c r="J2264" s="2" t="s">
        <v>19</v>
      </c>
      <c r="K2264" s="2"/>
      <c r="L2264" s="2"/>
    </row>
    <row r="2265" customFormat="false" ht="15.65" hidden="false" customHeight="true" outlineLevel="0" collapsed="false">
      <c r="A2265" s="5" t="str">
        <f aca="false">HYPERLINK("https://www.fabsurplus.com/sdi_catalog/salesItemDetails.do?id=74794")</f>
        <v>https://www.fabsurplus.com/sdi_catalog/salesItemDetails.do?id=74794</v>
      </c>
      <c r="B2265" s="5" t="s">
        <v>6211</v>
      </c>
      <c r="C2265" s="5" t="s">
        <v>6147</v>
      </c>
      <c r="D2265" s="5" t="s">
        <v>6212</v>
      </c>
      <c r="E2265" s="5" t="s">
        <v>6213</v>
      </c>
      <c r="F2265" s="5" t="s">
        <v>16</v>
      </c>
      <c r="G2265" s="5" t="s">
        <v>6214</v>
      </c>
      <c r="H2265" s="5" t="s">
        <v>18</v>
      </c>
      <c r="I2265" s="6" t="n">
        <v>38503.9166666667</v>
      </c>
      <c r="J2265" s="5" t="s">
        <v>19</v>
      </c>
      <c r="K2265" s="5" t="s">
        <v>20</v>
      </c>
      <c r="L2265" s="7" t="s">
        <v>6215</v>
      </c>
    </row>
    <row r="2266" customFormat="false" ht="15.65" hidden="false" customHeight="true" outlineLevel="0" collapsed="false">
      <c r="A2266" s="2" t="str">
        <f aca="false">HYPERLINK("https://www.fabsurplus.com/sdi_catalog/salesItemDetails.do?id=53054")</f>
        <v>https://www.fabsurplus.com/sdi_catalog/salesItemDetails.do?id=53054</v>
      </c>
      <c r="B2266" s="2" t="s">
        <v>6216</v>
      </c>
      <c r="C2266" s="2" t="s">
        <v>6155</v>
      </c>
      <c r="D2266" s="2" t="s">
        <v>6217</v>
      </c>
      <c r="E2266" s="2" t="s">
        <v>6218</v>
      </c>
      <c r="F2266" s="2" t="s">
        <v>16</v>
      </c>
      <c r="G2266" s="2" t="s">
        <v>97</v>
      </c>
      <c r="H2266" s="2" t="s">
        <v>18</v>
      </c>
      <c r="I2266" s="2"/>
      <c r="J2266" s="2" t="s">
        <v>19</v>
      </c>
      <c r="K2266" s="2" t="s">
        <v>20</v>
      </c>
      <c r="L2266" s="2" t="s">
        <v>6219</v>
      </c>
    </row>
    <row r="2267" customFormat="false" ht="15.65" hidden="false" customHeight="true" outlineLevel="0" collapsed="false">
      <c r="A2267" s="5" t="str">
        <f aca="false">HYPERLINK("https://www.fabsurplus.com/sdi_catalog/salesItemDetails.do?id=110662")</f>
        <v>https://www.fabsurplus.com/sdi_catalog/salesItemDetails.do?id=110662</v>
      </c>
      <c r="B2267" s="5" t="s">
        <v>6220</v>
      </c>
      <c r="C2267" s="5" t="s">
        <v>6147</v>
      </c>
      <c r="D2267" s="5" t="s">
        <v>6221</v>
      </c>
      <c r="E2267" s="5" t="s">
        <v>1716</v>
      </c>
      <c r="F2267" s="5" t="s">
        <v>16</v>
      </c>
      <c r="G2267" s="5" t="s">
        <v>61</v>
      </c>
      <c r="H2267" s="5" t="s">
        <v>32</v>
      </c>
      <c r="I2267" s="6" t="n">
        <v>39934</v>
      </c>
      <c r="J2267" s="5" t="s">
        <v>19</v>
      </c>
      <c r="K2267" s="5" t="s">
        <v>20</v>
      </c>
      <c r="L2267" s="7" t="s">
        <v>6222</v>
      </c>
    </row>
    <row r="2268" customFormat="false" ht="15.65" hidden="false" customHeight="true" outlineLevel="0" collapsed="false">
      <c r="A2268" s="2" t="str">
        <f aca="false">HYPERLINK("https://www.fabsurplus.com/sdi_catalog/salesItemDetails.do?id=52301")</f>
        <v>https://www.fabsurplus.com/sdi_catalog/salesItemDetails.do?id=52301</v>
      </c>
      <c r="B2268" s="2" t="s">
        <v>6223</v>
      </c>
      <c r="C2268" s="2" t="s">
        <v>6147</v>
      </c>
      <c r="D2268" s="2" t="s">
        <v>6224</v>
      </c>
      <c r="E2268" s="2" t="s">
        <v>6225</v>
      </c>
      <c r="F2268" s="2" t="s">
        <v>3473</v>
      </c>
      <c r="G2268" s="2" t="s">
        <v>97</v>
      </c>
      <c r="H2268" s="2" t="s">
        <v>18</v>
      </c>
      <c r="I2268" s="2"/>
      <c r="J2268" s="2" t="s">
        <v>19</v>
      </c>
      <c r="K2268" s="2" t="s">
        <v>20</v>
      </c>
      <c r="L2268" s="2" t="s">
        <v>6226</v>
      </c>
    </row>
    <row r="2269" customFormat="false" ht="15.65" hidden="false" customHeight="true" outlineLevel="0" collapsed="false">
      <c r="A2269" s="5" t="str">
        <f aca="false">HYPERLINK("https://www.fabsurplus.com/sdi_catalog/salesItemDetails.do?id=52312")</f>
        <v>https://www.fabsurplus.com/sdi_catalog/salesItemDetails.do?id=52312</v>
      </c>
      <c r="B2269" s="5" t="s">
        <v>6227</v>
      </c>
      <c r="C2269" s="5" t="s">
        <v>6147</v>
      </c>
      <c r="D2269" s="5" t="s">
        <v>6228</v>
      </c>
      <c r="E2269" s="5" t="s">
        <v>6229</v>
      </c>
      <c r="F2269" s="5" t="s">
        <v>16</v>
      </c>
      <c r="G2269" s="5" t="s">
        <v>97</v>
      </c>
      <c r="H2269" s="5" t="s">
        <v>18</v>
      </c>
      <c r="I2269" s="6" t="n">
        <v>34485.9166666667</v>
      </c>
      <c r="J2269" s="5" t="s">
        <v>19</v>
      </c>
      <c r="K2269" s="5" t="s">
        <v>20</v>
      </c>
      <c r="L2269" s="5" t="s">
        <v>6230</v>
      </c>
    </row>
    <row r="2270" customFormat="false" ht="15.65" hidden="false" customHeight="true" outlineLevel="0" collapsed="false">
      <c r="A2270" s="2" t="str">
        <f aca="false">HYPERLINK("https://www.fabsurplus.com/sdi_catalog/salesItemDetails.do?id=108896")</f>
        <v>https://www.fabsurplus.com/sdi_catalog/salesItemDetails.do?id=108896</v>
      </c>
      <c r="B2270" s="2" t="s">
        <v>6231</v>
      </c>
      <c r="C2270" s="2" t="s">
        <v>6147</v>
      </c>
      <c r="D2270" s="2" t="s">
        <v>6232</v>
      </c>
      <c r="E2270" s="2" t="s">
        <v>1628</v>
      </c>
      <c r="F2270" s="2" t="s">
        <v>16</v>
      </c>
      <c r="G2270" s="2" t="s">
        <v>61</v>
      </c>
      <c r="H2270" s="2" t="s">
        <v>18</v>
      </c>
      <c r="I2270" s="3" t="n">
        <v>38869</v>
      </c>
      <c r="J2270" s="2" t="s">
        <v>19</v>
      </c>
      <c r="K2270" s="2" t="s">
        <v>20</v>
      </c>
      <c r="L2270" s="4" t="s">
        <v>6233</v>
      </c>
    </row>
    <row r="2271" customFormat="false" ht="15.65" hidden="false" customHeight="true" outlineLevel="0" collapsed="false">
      <c r="A2271" s="5" t="str">
        <f aca="false">HYPERLINK("https://www.fabsurplus.com/sdi_catalog/salesItemDetails.do?id=103525")</f>
        <v>https://www.fabsurplus.com/sdi_catalog/salesItemDetails.do?id=103525</v>
      </c>
      <c r="B2271" s="5" t="s">
        <v>6234</v>
      </c>
      <c r="C2271" s="5" t="s">
        <v>6155</v>
      </c>
      <c r="D2271" s="5" t="s">
        <v>6235</v>
      </c>
      <c r="E2271" s="5" t="s">
        <v>6236</v>
      </c>
      <c r="F2271" s="5" t="s">
        <v>16</v>
      </c>
      <c r="G2271" s="5" t="s">
        <v>3031</v>
      </c>
      <c r="H2271" s="5" t="s">
        <v>32</v>
      </c>
      <c r="I2271" s="6" t="n">
        <v>38138.9166666667</v>
      </c>
      <c r="J2271" s="5" t="s">
        <v>19</v>
      </c>
      <c r="K2271" s="5" t="s">
        <v>20</v>
      </c>
      <c r="L2271" s="7" t="s">
        <v>1682</v>
      </c>
    </row>
    <row r="2272" customFormat="false" ht="15.65" hidden="false" customHeight="true" outlineLevel="0" collapsed="false">
      <c r="A2272" s="2" t="str">
        <f aca="false">HYPERLINK("https://www.fabsurplus.com/sdi_catalog/salesItemDetails.do?id=103526")</f>
        <v>https://www.fabsurplus.com/sdi_catalog/salesItemDetails.do?id=103526</v>
      </c>
      <c r="B2272" s="2" t="s">
        <v>6237</v>
      </c>
      <c r="C2272" s="2" t="s">
        <v>6189</v>
      </c>
      <c r="D2272" s="2" t="s">
        <v>6238</v>
      </c>
      <c r="E2272" s="2" t="s">
        <v>6239</v>
      </c>
      <c r="F2272" s="2" t="s">
        <v>16</v>
      </c>
      <c r="G2272" s="2" t="s">
        <v>3031</v>
      </c>
      <c r="H2272" s="2" t="s">
        <v>32</v>
      </c>
      <c r="I2272" s="3" t="n">
        <v>37042.9166666667</v>
      </c>
      <c r="J2272" s="2" t="s">
        <v>19</v>
      </c>
      <c r="K2272" s="2" t="s">
        <v>20</v>
      </c>
      <c r="L2272" s="4" t="s">
        <v>1682</v>
      </c>
    </row>
    <row r="2273" customFormat="false" ht="15.65" hidden="false" customHeight="true" outlineLevel="0" collapsed="false">
      <c r="A2273" s="5" t="str">
        <f aca="false">HYPERLINK("https://www.fabsurplus.com/sdi_catalog/salesItemDetails.do?id=108902")</f>
        <v>https://www.fabsurplus.com/sdi_catalog/salesItemDetails.do?id=108902</v>
      </c>
      <c r="B2273" s="5" t="s">
        <v>6240</v>
      </c>
      <c r="C2273" s="5" t="s">
        <v>6147</v>
      </c>
      <c r="D2273" s="5" t="s">
        <v>6232</v>
      </c>
      <c r="E2273" s="5" t="s">
        <v>1628</v>
      </c>
      <c r="F2273" s="5" t="s">
        <v>16</v>
      </c>
      <c r="G2273" s="5" t="s">
        <v>61</v>
      </c>
      <c r="H2273" s="5" t="s">
        <v>18</v>
      </c>
      <c r="I2273" s="6" t="n">
        <v>39203</v>
      </c>
      <c r="J2273" s="5" t="s">
        <v>19</v>
      </c>
      <c r="K2273" s="5" t="s">
        <v>20</v>
      </c>
      <c r="L2273" s="7" t="s">
        <v>6233</v>
      </c>
    </row>
    <row r="2274" customFormat="false" ht="15.65" hidden="false" customHeight="true" outlineLevel="0" collapsed="false">
      <c r="A2274" s="2" t="str">
        <f aca="false">HYPERLINK("https://www.fabsurplus.com/sdi_catalog/salesItemDetails.do?id=103527")</f>
        <v>https://www.fabsurplus.com/sdi_catalog/salesItemDetails.do?id=103527</v>
      </c>
      <c r="B2274" s="2" t="s">
        <v>6241</v>
      </c>
      <c r="C2274" s="2" t="s">
        <v>6189</v>
      </c>
      <c r="D2274" s="2" t="s">
        <v>6238</v>
      </c>
      <c r="E2274" s="2" t="s">
        <v>6242</v>
      </c>
      <c r="F2274" s="2" t="s">
        <v>16</v>
      </c>
      <c r="G2274" s="2" t="s">
        <v>3031</v>
      </c>
      <c r="H2274" s="2" t="s">
        <v>32</v>
      </c>
      <c r="I2274" s="3" t="n">
        <v>37772.9166666667</v>
      </c>
      <c r="J2274" s="2" t="s">
        <v>19</v>
      </c>
      <c r="K2274" s="2" t="s">
        <v>20</v>
      </c>
      <c r="L2274" s="4" t="s">
        <v>1682</v>
      </c>
    </row>
    <row r="2275" customFormat="false" ht="15.65" hidden="false" customHeight="true" outlineLevel="0" collapsed="false">
      <c r="A2275" s="5" t="str">
        <f aca="false">HYPERLINK("https://www.fabsurplus.com/sdi_catalog/salesItemDetails.do?id=52339")</f>
        <v>https://www.fabsurplus.com/sdi_catalog/salesItemDetails.do?id=52339</v>
      </c>
      <c r="B2275" s="5" t="s">
        <v>6243</v>
      </c>
      <c r="C2275" s="5" t="s">
        <v>6147</v>
      </c>
      <c r="D2275" s="5" t="s">
        <v>6244</v>
      </c>
      <c r="E2275" s="5" t="s">
        <v>6245</v>
      </c>
      <c r="F2275" s="5" t="s">
        <v>16</v>
      </c>
      <c r="G2275" s="5" t="s">
        <v>97</v>
      </c>
      <c r="H2275" s="5" t="s">
        <v>18</v>
      </c>
      <c r="I2275" s="6" t="n">
        <v>34485.9166666667</v>
      </c>
      <c r="J2275" s="5" t="s">
        <v>19</v>
      </c>
      <c r="K2275" s="5" t="s">
        <v>20</v>
      </c>
      <c r="L2275" s="5" t="s">
        <v>6246</v>
      </c>
    </row>
    <row r="2276" customFormat="false" ht="15.65" hidden="false" customHeight="true" outlineLevel="0" collapsed="false">
      <c r="A2276" s="2" t="str">
        <f aca="false">HYPERLINK("https://www.fabsurplus.com/sdi_catalog/salesItemDetails.do?id=52340")</f>
        <v>https://www.fabsurplus.com/sdi_catalog/salesItemDetails.do?id=52340</v>
      </c>
      <c r="B2276" s="2" t="s">
        <v>6247</v>
      </c>
      <c r="C2276" s="2" t="s">
        <v>6147</v>
      </c>
      <c r="D2276" s="2" t="s">
        <v>6248</v>
      </c>
      <c r="E2276" s="2" t="s">
        <v>6249</v>
      </c>
      <c r="F2276" s="2" t="s">
        <v>16</v>
      </c>
      <c r="G2276" s="2" t="s">
        <v>97</v>
      </c>
      <c r="H2276" s="2" t="s">
        <v>18</v>
      </c>
      <c r="I2276" s="3" t="n">
        <v>34485.9166666667</v>
      </c>
      <c r="J2276" s="2" t="s">
        <v>19</v>
      </c>
      <c r="K2276" s="2" t="s">
        <v>20</v>
      </c>
      <c r="L2276" s="2" t="s">
        <v>6250</v>
      </c>
    </row>
    <row r="2277" customFormat="false" ht="15.65" hidden="false" customHeight="true" outlineLevel="0" collapsed="false">
      <c r="A2277" s="5" t="str">
        <f aca="false">HYPERLINK("https://www.fabsurplus.com/sdi_catalog/salesItemDetails.do?id=52343")</f>
        <v>https://www.fabsurplus.com/sdi_catalog/salesItemDetails.do?id=52343</v>
      </c>
      <c r="B2277" s="5" t="s">
        <v>6251</v>
      </c>
      <c r="C2277" s="5" t="s">
        <v>6147</v>
      </c>
      <c r="D2277" s="5" t="s">
        <v>6252</v>
      </c>
      <c r="E2277" s="5" t="s">
        <v>6253</v>
      </c>
      <c r="F2277" s="5" t="s">
        <v>16</v>
      </c>
      <c r="G2277" s="5" t="s">
        <v>97</v>
      </c>
      <c r="H2277" s="5" t="s">
        <v>18</v>
      </c>
      <c r="I2277" s="6" t="n">
        <v>34485.9166666667</v>
      </c>
      <c r="J2277" s="5" t="s">
        <v>19</v>
      </c>
      <c r="K2277" s="5" t="s">
        <v>20</v>
      </c>
      <c r="L2277" s="5" t="s">
        <v>6254</v>
      </c>
    </row>
    <row r="2278" customFormat="false" ht="15.65" hidden="false" customHeight="true" outlineLevel="0" collapsed="false">
      <c r="A2278" s="2" t="str">
        <f aca="false">HYPERLINK("https://www.fabsurplus.com/sdi_catalog/salesItemDetails.do?id=108413")</f>
        <v>https://www.fabsurplus.com/sdi_catalog/salesItemDetails.do?id=108413</v>
      </c>
      <c r="B2278" s="2" t="s">
        <v>6255</v>
      </c>
      <c r="C2278" s="2" t="s">
        <v>6147</v>
      </c>
      <c r="D2278" s="2" t="s">
        <v>6256</v>
      </c>
      <c r="E2278" s="2" t="s">
        <v>6257</v>
      </c>
      <c r="F2278" s="2" t="s">
        <v>86</v>
      </c>
      <c r="G2278" s="2" t="s">
        <v>61</v>
      </c>
      <c r="H2278" s="2"/>
      <c r="I2278" s="2"/>
      <c r="J2278" s="2" t="s">
        <v>19</v>
      </c>
      <c r="K2278" s="2"/>
      <c r="L2278" s="2"/>
    </row>
    <row r="2279" customFormat="false" ht="15.65" hidden="false" customHeight="true" outlineLevel="0" collapsed="false">
      <c r="A2279" s="5" t="str">
        <f aca="false">HYPERLINK("https://www.fabsurplus.com/sdi_catalog/salesItemDetails.do?id=108159")</f>
        <v>https://www.fabsurplus.com/sdi_catalog/salesItemDetails.do?id=108159</v>
      </c>
      <c r="B2279" s="5" t="s">
        <v>6258</v>
      </c>
      <c r="C2279" s="5" t="s">
        <v>6155</v>
      </c>
      <c r="D2279" s="5" t="s">
        <v>6259</v>
      </c>
      <c r="E2279" s="5" t="s">
        <v>6260</v>
      </c>
      <c r="F2279" s="5" t="s">
        <v>16</v>
      </c>
      <c r="G2279" s="5"/>
      <c r="H2279" s="5"/>
      <c r="I2279" s="5"/>
      <c r="J2279" s="5" t="s">
        <v>19</v>
      </c>
      <c r="K2279" s="5"/>
      <c r="L2279" s="5" t="s">
        <v>4346</v>
      </c>
    </row>
    <row r="2280" customFormat="false" ht="15.65" hidden="false" customHeight="true" outlineLevel="0" collapsed="false">
      <c r="A2280" s="2" t="str">
        <f aca="false">HYPERLINK("https://www.fabsurplus.com/sdi_catalog/salesItemDetails.do?id=109183")</f>
        <v>https://www.fabsurplus.com/sdi_catalog/salesItemDetails.do?id=109183</v>
      </c>
      <c r="B2280" s="2" t="s">
        <v>6261</v>
      </c>
      <c r="C2280" s="2" t="s">
        <v>6147</v>
      </c>
      <c r="D2280" s="2" t="s">
        <v>6256</v>
      </c>
      <c r="E2280" s="2" t="s">
        <v>6262</v>
      </c>
      <c r="F2280" s="2" t="s">
        <v>16</v>
      </c>
      <c r="G2280" s="2" t="s">
        <v>84</v>
      </c>
      <c r="H2280" s="2"/>
      <c r="I2280" s="2"/>
      <c r="J2280" s="2" t="s">
        <v>19</v>
      </c>
      <c r="K2280" s="2"/>
      <c r="L2280" s="2"/>
    </row>
    <row r="2281" customFormat="false" ht="15.65" hidden="false" customHeight="true" outlineLevel="0" collapsed="false">
      <c r="A2281" s="5" t="str">
        <f aca="false">HYPERLINK("https://www.fabsurplus.com/sdi_catalog/salesItemDetails.do?id=108160")</f>
        <v>https://www.fabsurplus.com/sdi_catalog/salesItemDetails.do?id=108160</v>
      </c>
      <c r="B2281" s="5" t="s">
        <v>6263</v>
      </c>
      <c r="C2281" s="5" t="s">
        <v>6189</v>
      </c>
      <c r="D2281" s="5" t="s">
        <v>6264</v>
      </c>
      <c r="E2281" s="5" t="s">
        <v>6265</v>
      </c>
      <c r="F2281" s="5" t="s">
        <v>16</v>
      </c>
      <c r="G2281" s="5" t="s">
        <v>61</v>
      </c>
      <c r="H2281" s="5"/>
      <c r="I2281" s="6" t="n">
        <v>41791</v>
      </c>
      <c r="J2281" s="5" t="s">
        <v>19</v>
      </c>
      <c r="K2281" s="5"/>
      <c r="L2281" s="5" t="s">
        <v>1480</v>
      </c>
    </row>
    <row r="2282" customFormat="false" ht="15.65" hidden="false" customHeight="true" outlineLevel="0" collapsed="false">
      <c r="A2282" s="2" t="str">
        <f aca="false">HYPERLINK("https://www.fabsurplus.com/sdi_catalog/salesItemDetails.do?id=83849")</f>
        <v>https://www.fabsurplus.com/sdi_catalog/salesItemDetails.do?id=83849</v>
      </c>
      <c r="B2282" s="2" t="s">
        <v>6266</v>
      </c>
      <c r="C2282" s="2" t="s">
        <v>6147</v>
      </c>
      <c r="D2282" s="2" t="s">
        <v>6267</v>
      </c>
      <c r="E2282" s="2" t="s">
        <v>6175</v>
      </c>
      <c r="F2282" s="2" t="s">
        <v>16</v>
      </c>
      <c r="G2282" s="2" t="s">
        <v>3031</v>
      </c>
      <c r="H2282" s="2" t="s">
        <v>32</v>
      </c>
      <c r="I2282" s="3" t="n">
        <v>34820</v>
      </c>
      <c r="J2282" s="2" t="s">
        <v>42</v>
      </c>
      <c r="K2282" s="2" t="s">
        <v>20</v>
      </c>
      <c r="L2282" s="4" t="s">
        <v>6268</v>
      </c>
    </row>
    <row r="2283" customFormat="false" ht="15.65" hidden="false" customHeight="true" outlineLevel="0" collapsed="false">
      <c r="A2283" s="5" t="str">
        <f aca="false">HYPERLINK("https://www.fabsurplus.com/sdi_catalog/salesItemDetails.do?id=36518")</f>
        <v>https://www.fabsurplus.com/sdi_catalog/salesItemDetails.do?id=36518</v>
      </c>
      <c r="B2283" s="5" t="s">
        <v>6269</v>
      </c>
      <c r="C2283" s="5" t="s">
        <v>6155</v>
      </c>
      <c r="D2283" s="5" t="s">
        <v>6174</v>
      </c>
      <c r="E2283" s="5"/>
      <c r="F2283" s="5" t="s">
        <v>16</v>
      </c>
      <c r="G2283" s="5"/>
      <c r="H2283" s="5"/>
      <c r="I2283" s="5"/>
      <c r="J2283" s="5" t="s">
        <v>42</v>
      </c>
      <c r="K2283" s="5"/>
      <c r="L2283" s="5"/>
    </row>
    <row r="2284" customFormat="false" ht="15.65" hidden="false" customHeight="true" outlineLevel="0" collapsed="false">
      <c r="A2284" s="2" t="str">
        <f aca="false">HYPERLINK("https://www.fabsurplus.com/sdi_catalog/salesItemDetails.do?id=106662")</f>
        <v>https://www.fabsurplus.com/sdi_catalog/salesItemDetails.do?id=106662</v>
      </c>
      <c r="B2284" s="2" t="s">
        <v>6270</v>
      </c>
      <c r="C2284" s="2" t="s">
        <v>6155</v>
      </c>
      <c r="D2284" s="2" t="s">
        <v>6271</v>
      </c>
      <c r="E2284" s="2" t="s">
        <v>6272</v>
      </c>
      <c r="F2284" s="2" t="s">
        <v>16</v>
      </c>
      <c r="G2284" s="2" t="s">
        <v>38</v>
      </c>
      <c r="H2284" s="2"/>
      <c r="I2284" s="3" t="n">
        <v>37773</v>
      </c>
      <c r="J2284" s="2" t="s">
        <v>19</v>
      </c>
      <c r="K2284" s="2"/>
      <c r="L2284" s="2" t="s">
        <v>518</v>
      </c>
    </row>
    <row r="2285" customFormat="false" ht="15.65" hidden="false" customHeight="true" outlineLevel="0" collapsed="false">
      <c r="A2285" s="5" t="str">
        <f aca="false">HYPERLINK("https://www.fabsurplus.com/sdi_catalog/salesItemDetails.do?id=106663")</f>
        <v>https://www.fabsurplus.com/sdi_catalog/salesItemDetails.do?id=106663</v>
      </c>
      <c r="B2285" s="5" t="s">
        <v>6273</v>
      </c>
      <c r="C2285" s="5" t="s">
        <v>6155</v>
      </c>
      <c r="D2285" s="5" t="s">
        <v>6274</v>
      </c>
      <c r="E2285" s="5" t="s">
        <v>6275</v>
      </c>
      <c r="F2285" s="5" t="s">
        <v>16</v>
      </c>
      <c r="G2285" s="5" t="s">
        <v>61</v>
      </c>
      <c r="H2285" s="5"/>
      <c r="I2285" s="6" t="n">
        <v>38869</v>
      </c>
      <c r="J2285" s="5" t="s">
        <v>19</v>
      </c>
      <c r="K2285" s="5"/>
      <c r="L2285" s="5" t="s">
        <v>518</v>
      </c>
    </row>
    <row r="2286" customFormat="false" ht="15.65" hidden="false" customHeight="true" outlineLevel="0" collapsed="false">
      <c r="A2286" s="2" t="str">
        <f aca="false">HYPERLINK("https://www.fabsurplus.com/sdi_catalog/salesItemDetails.do?id=106664")</f>
        <v>https://www.fabsurplus.com/sdi_catalog/salesItemDetails.do?id=106664</v>
      </c>
      <c r="B2286" s="2" t="s">
        <v>6276</v>
      </c>
      <c r="C2286" s="2" t="s">
        <v>6155</v>
      </c>
      <c r="D2286" s="2" t="s">
        <v>6277</v>
      </c>
      <c r="E2286" s="2" t="s">
        <v>6275</v>
      </c>
      <c r="F2286" s="2" t="s">
        <v>16</v>
      </c>
      <c r="G2286" s="2" t="s">
        <v>61</v>
      </c>
      <c r="H2286" s="2"/>
      <c r="I2286" s="3" t="n">
        <v>40330</v>
      </c>
      <c r="J2286" s="2" t="s">
        <v>19</v>
      </c>
      <c r="K2286" s="2"/>
      <c r="L2286" s="2" t="s">
        <v>518</v>
      </c>
    </row>
    <row r="2287" customFormat="false" ht="15.65" hidden="false" customHeight="true" outlineLevel="0" collapsed="false">
      <c r="A2287" s="5" t="str">
        <f aca="false">HYPERLINK("https://www.fabsurplus.com/sdi_catalog/salesItemDetails.do?id=106665")</f>
        <v>https://www.fabsurplus.com/sdi_catalog/salesItemDetails.do?id=106665</v>
      </c>
      <c r="B2287" s="5" t="s">
        <v>6278</v>
      </c>
      <c r="C2287" s="5" t="s">
        <v>6155</v>
      </c>
      <c r="D2287" s="5" t="s">
        <v>6185</v>
      </c>
      <c r="E2287" s="5" t="s">
        <v>6279</v>
      </c>
      <c r="F2287" s="5" t="s">
        <v>16</v>
      </c>
      <c r="G2287" s="5" t="s">
        <v>61</v>
      </c>
      <c r="H2287" s="5" t="s">
        <v>32</v>
      </c>
      <c r="I2287" s="6" t="n">
        <v>40330</v>
      </c>
      <c r="J2287" s="5" t="s">
        <v>19</v>
      </c>
      <c r="K2287" s="5"/>
      <c r="L2287" s="5" t="s">
        <v>518</v>
      </c>
    </row>
    <row r="2288" customFormat="false" ht="15.65" hidden="false" customHeight="true" outlineLevel="0" collapsed="false">
      <c r="A2288" s="2" t="str">
        <f aca="false">HYPERLINK("https://www.fabsurplus.com/sdi_catalog/salesItemDetails.do?id=106666")</f>
        <v>https://www.fabsurplus.com/sdi_catalog/salesItemDetails.do?id=106666</v>
      </c>
      <c r="B2288" s="2" t="s">
        <v>6280</v>
      </c>
      <c r="C2288" s="2" t="s">
        <v>6189</v>
      </c>
      <c r="D2288" s="2" t="s">
        <v>6190</v>
      </c>
      <c r="E2288" s="2" t="s">
        <v>6279</v>
      </c>
      <c r="F2288" s="2" t="s">
        <v>16</v>
      </c>
      <c r="G2288" s="2" t="s">
        <v>61</v>
      </c>
      <c r="H2288" s="2"/>
      <c r="I2288" s="3" t="n">
        <v>39234</v>
      </c>
      <c r="J2288" s="2" t="s">
        <v>19</v>
      </c>
      <c r="K2288" s="2"/>
      <c r="L2288" s="2" t="s">
        <v>518</v>
      </c>
    </row>
    <row r="2289" customFormat="false" ht="15.65" hidden="false" customHeight="true" outlineLevel="0" collapsed="false">
      <c r="A2289" s="5" t="str">
        <f aca="false">HYPERLINK("https://www.fabsurplus.com/sdi_catalog/salesItemDetails.do?id=102060")</f>
        <v>https://www.fabsurplus.com/sdi_catalog/salesItemDetails.do?id=102060</v>
      </c>
      <c r="B2289" s="5" t="s">
        <v>6281</v>
      </c>
      <c r="C2289" s="5" t="s">
        <v>6147</v>
      </c>
      <c r="D2289" s="5" t="s">
        <v>6282</v>
      </c>
      <c r="E2289" s="5" t="s">
        <v>6283</v>
      </c>
      <c r="F2289" s="5" t="s">
        <v>3299</v>
      </c>
      <c r="G2289" s="5" t="s">
        <v>104</v>
      </c>
      <c r="H2289" s="5" t="s">
        <v>32</v>
      </c>
      <c r="I2289" s="5"/>
      <c r="J2289" s="5" t="s">
        <v>19</v>
      </c>
      <c r="K2289" s="5" t="s">
        <v>20</v>
      </c>
      <c r="L2289" s="7" t="s">
        <v>6284</v>
      </c>
    </row>
    <row r="2290" customFormat="false" ht="15.65" hidden="false" customHeight="true" outlineLevel="0" collapsed="false">
      <c r="A2290" s="2" t="str">
        <f aca="false">HYPERLINK("https://www.fabsurplus.com/sdi_catalog/salesItemDetails.do?id=106160")</f>
        <v>https://www.fabsurplus.com/sdi_catalog/salesItemDetails.do?id=106160</v>
      </c>
      <c r="B2290" s="2" t="s">
        <v>6285</v>
      </c>
      <c r="C2290" s="2" t="s">
        <v>6155</v>
      </c>
      <c r="D2290" s="2" t="s">
        <v>6286</v>
      </c>
      <c r="E2290" s="2" t="s">
        <v>1628</v>
      </c>
      <c r="F2290" s="2" t="s">
        <v>16</v>
      </c>
      <c r="G2290" s="2" t="s">
        <v>61</v>
      </c>
      <c r="H2290" s="2" t="s">
        <v>32</v>
      </c>
      <c r="I2290" s="3" t="n">
        <v>41426</v>
      </c>
      <c r="J2290" s="2" t="s">
        <v>19</v>
      </c>
      <c r="K2290" s="2" t="s">
        <v>20</v>
      </c>
      <c r="L2290" s="4" t="s">
        <v>6287</v>
      </c>
    </row>
    <row r="2291" customFormat="false" ht="15.65" hidden="false" customHeight="true" outlineLevel="0" collapsed="false">
      <c r="A2291" s="5" t="str">
        <f aca="false">HYPERLINK("https://www.fabsurplus.com/sdi_catalog/salesItemDetails.do?id=52166")</f>
        <v>https://www.fabsurplus.com/sdi_catalog/salesItemDetails.do?id=52166</v>
      </c>
      <c r="B2291" s="5" t="s">
        <v>6288</v>
      </c>
      <c r="C2291" s="5" t="s">
        <v>6147</v>
      </c>
      <c r="D2291" s="5" t="s">
        <v>6289</v>
      </c>
      <c r="E2291" s="5" t="s">
        <v>6290</v>
      </c>
      <c r="F2291" s="5" t="s">
        <v>16</v>
      </c>
      <c r="G2291" s="5" t="s">
        <v>97</v>
      </c>
      <c r="H2291" s="5" t="s">
        <v>18</v>
      </c>
      <c r="I2291" s="5"/>
      <c r="J2291" s="5" t="s">
        <v>19</v>
      </c>
      <c r="K2291" s="5" t="s">
        <v>20</v>
      </c>
      <c r="L2291" s="5" t="s">
        <v>6291</v>
      </c>
    </row>
    <row r="2292" customFormat="false" ht="15.65" hidden="false" customHeight="true" outlineLevel="0" collapsed="false">
      <c r="A2292" s="2" t="str">
        <f aca="false">HYPERLINK("https://www.fabsurplus.com/sdi_catalog/salesItemDetails.do?id=52167")</f>
        <v>https://www.fabsurplus.com/sdi_catalog/salesItemDetails.do?id=52167</v>
      </c>
      <c r="B2292" s="2" t="s">
        <v>6292</v>
      </c>
      <c r="C2292" s="2" t="s">
        <v>6147</v>
      </c>
      <c r="D2292" s="2" t="s">
        <v>6282</v>
      </c>
      <c r="E2292" s="2" t="s">
        <v>6293</v>
      </c>
      <c r="F2292" s="2" t="s">
        <v>16</v>
      </c>
      <c r="G2292" s="2" t="s">
        <v>97</v>
      </c>
      <c r="H2292" s="2" t="s">
        <v>18</v>
      </c>
      <c r="I2292" s="2"/>
      <c r="J2292" s="2" t="s">
        <v>19</v>
      </c>
      <c r="K2292" s="2" t="s">
        <v>20</v>
      </c>
      <c r="L2292" s="4" t="s">
        <v>6294</v>
      </c>
    </row>
    <row r="2293" customFormat="false" ht="15.65" hidden="false" customHeight="true" outlineLevel="0" collapsed="false">
      <c r="A2293" s="5" t="str">
        <f aca="false">HYPERLINK("https://www.fabsurplus.com/sdi_catalog/salesItemDetails.do?id=52168")</f>
        <v>https://www.fabsurplus.com/sdi_catalog/salesItemDetails.do?id=52168</v>
      </c>
      <c r="B2293" s="5" t="s">
        <v>6295</v>
      </c>
      <c r="C2293" s="5" t="s">
        <v>6147</v>
      </c>
      <c r="D2293" s="5" t="s">
        <v>6296</v>
      </c>
      <c r="E2293" s="5" t="s">
        <v>6297</v>
      </c>
      <c r="F2293" s="5" t="s">
        <v>16</v>
      </c>
      <c r="G2293" s="5" t="s">
        <v>104</v>
      </c>
      <c r="H2293" s="5" t="s">
        <v>18</v>
      </c>
      <c r="I2293" s="5"/>
      <c r="J2293" s="5" t="s">
        <v>19</v>
      </c>
      <c r="K2293" s="5" t="s">
        <v>20</v>
      </c>
      <c r="L2293" s="7" t="s">
        <v>6298</v>
      </c>
    </row>
    <row r="2294" customFormat="false" ht="15.65" hidden="false" customHeight="true" outlineLevel="0" collapsed="false">
      <c r="A2294" s="2" t="str">
        <f aca="false">HYPERLINK("https://www.fabsurplus.com/sdi_catalog/salesItemDetails.do?id=108752")</f>
        <v>https://www.fabsurplus.com/sdi_catalog/salesItemDetails.do?id=108752</v>
      </c>
      <c r="B2294" s="2" t="s">
        <v>6299</v>
      </c>
      <c r="C2294" s="2" t="s">
        <v>6155</v>
      </c>
      <c r="D2294" s="2" t="s">
        <v>6300</v>
      </c>
      <c r="E2294" s="2" t="s">
        <v>6210</v>
      </c>
      <c r="F2294" s="2" t="s">
        <v>16</v>
      </c>
      <c r="G2294" s="2" t="s">
        <v>1298</v>
      </c>
      <c r="H2294" s="2" t="s">
        <v>18</v>
      </c>
      <c r="I2294" s="3" t="n">
        <v>32629</v>
      </c>
      <c r="J2294" s="2" t="s">
        <v>19</v>
      </c>
      <c r="K2294" s="2" t="s">
        <v>20</v>
      </c>
      <c r="L2294" s="4" t="s">
        <v>6301</v>
      </c>
    </row>
    <row r="2295" customFormat="false" ht="15.65" hidden="false" customHeight="true" outlineLevel="0" collapsed="false">
      <c r="A2295" s="5" t="str">
        <f aca="false">HYPERLINK("https://www.fabsurplus.com/sdi_catalog/salesItemDetails.do?id=98269")</f>
        <v>https://www.fabsurplus.com/sdi_catalog/salesItemDetails.do?id=98269</v>
      </c>
      <c r="B2295" s="5" t="s">
        <v>6302</v>
      </c>
      <c r="C2295" s="5" t="s">
        <v>6155</v>
      </c>
      <c r="D2295" s="5" t="s">
        <v>6303</v>
      </c>
      <c r="E2295" s="5" t="s">
        <v>1628</v>
      </c>
      <c r="F2295" s="5" t="s">
        <v>16</v>
      </c>
      <c r="G2295" s="5" t="s">
        <v>61</v>
      </c>
      <c r="H2295" s="5" t="s">
        <v>32</v>
      </c>
      <c r="I2295" s="6" t="n">
        <v>37742</v>
      </c>
      <c r="J2295" s="5" t="s">
        <v>19</v>
      </c>
      <c r="K2295" s="5" t="s">
        <v>20</v>
      </c>
      <c r="L2295" s="7" t="s">
        <v>6304</v>
      </c>
    </row>
    <row r="2296" customFormat="false" ht="15.65" hidden="false" customHeight="true" outlineLevel="0" collapsed="false">
      <c r="A2296" s="2" t="str">
        <f aca="false">HYPERLINK("https://www.fabsurplus.com/sdi_catalog/salesItemDetails.do?id=98270")</f>
        <v>https://www.fabsurplus.com/sdi_catalog/salesItemDetails.do?id=98270</v>
      </c>
      <c r="B2296" s="2" t="s">
        <v>6305</v>
      </c>
      <c r="C2296" s="2" t="s">
        <v>6155</v>
      </c>
      <c r="D2296" s="2" t="s">
        <v>6303</v>
      </c>
      <c r="E2296" s="2" t="s">
        <v>1628</v>
      </c>
      <c r="F2296" s="2" t="s">
        <v>16</v>
      </c>
      <c r="G2296" s="2" t="s">
        <v>61</v>
      </c>
      <c r="H2296" s="2" t="s">
        <v>18</v>
      </c>
      <c r="I2296" s="3" t="n">
        <v>37742</v>
      </c>
      <c r="J2296" s="2" t="s">
        <v>19</v>
      </c>
      <c r="K2296" s="2" t="s">
        <v>20</v>
      </c>
      <c r="L2296" s="4" t="s">
        <v>6304</v>
      </c>
    </row>
    <row r="2297" customFormat="false" ht="15.65" hidden="false" customHeight="true" outlineLevel="0" collapsed="false">
      <c r="A2297" s="5" t="str">
        <f aca="false">HYPERLINK("https://www.fabsurplus.com/sdi_catalog/salesItemDetails.do?id=109287")</f>
        <v>https://www.fabsurplus.com/sdi_catalog/salesItemDetails.do?id=109287</v>
      </c>
      <c r="B2297" s="5" t="s">
        <v>6306</v>
      </c>
      <c r="C2297" s="5" t="s">
        <v>6147</v>
      </c>
      <c r="D2297" s="5" t="s">
        <v>6307</v>
      </c>
      <c r="E2297" s="5" t="s">
        <v>6308</v>
      </c>
      <c r="F2297" s="5" t="s">
        <v>16</v>
      </c>
      <c r="G2297" s="5" t="s">
        <v>6309</v>
      </c>
      <c r="H2297" s="5" t="s">
        <v>18</v>
      </c>
      <c r="I2297" s="6" t="n">
        <v>39234</v>
      </c>
      <c r="J2297" s="5" t="s">
        <v>19</v>
      </c>
      <c r="K2297" s="5" t="s">
        <v>20</v>
      </c>
      <c r="L2297" s="7" t="s">
        <v>6310</v>
      </c>
    </row>
    <row r="2298" customFormat="false" ht="15.65" hidden="false" customHeight="true" outlineLevel="0" collapsed="false">
      <c r="A2298" s="2" t="str">
        <f aca="false">HYPERLINK("https://www.fabsurplus.com/sdi_catalog/salesItemDetails.do?id=18925")</f>
        <v>https://www.fabsurplus.com/sdi_catalog/salesItemDetails.do?id=18925</v>
      </c>
      <c r="B2298" s="2" t="s">
        <v>6311</v>
      </c>
      <c r="C2298" s="2" t="s">
        <v>6155</v>
      </c>
      <c r="D2298" s="2" t="s">
        <v>6312</v>
      </c>
      <c r="E2298" s="2" t="s">
        <v>6313</v>
      </c>
      <c r="F2298" s="2" t="s">
        <v>16</v>
      </c>
      <c r="G2298" s="2"/>
      <c r="H2298" s="2"/>
      <c r="I2298" s="2"/>
      <c r="J2298" s="2" t="s">
        <v>19</v>
      </c>
      <c r="K2298" s="2"/>
      <c r="L2298" s="2"/>
    </row>
    <row r="2299" customFormat="false" ht="15.65" hidden="false" customHeight="true" outlineLevel="0" collapsed="false">
      <c r="A2299" s="5" t="str">
        <f aca="false">HYPERLINK("https://www.fabsurplus.com/sdi_catalog/salesItemDetails.do?id=18926")</f>
        <v>https://www.fabsurplus.com/sdi_catalog/salesItemDetails.do?id=18926</v>
      </c>
      <c r="B2299" s="5" t="s">
        <v>6314</v>
      </c>
      <c r="C2299" s="5" t="s">
        <v>6155</v>
      </c>
      <c r="D2299" s="5" t="s">
        <v>6315</v>
      </c>
      <c r="E2299" s="5" t="s">
        <v>6316</v>
      </c>
      <c r="F2299" s="5" t="s">
        <v>16</v>
      </c>
      <c r="G2299" s="5"/>
      <c r="H2299" s="5"/>
      <c r="I2299" s="5"/>
      <c r="J2299" s="5" t="s">
        <v>19</v>
      </c>
      <c r="K2299" s="5"/>
      <c r="L2299" s="5"/>
    </row>
    <row r="2300" customFormat="false" ht="15.65" hidden="false" customHeight="true" outlineLevel="0" collapsed="false">
      <c r="A2300" s="2" t="str">
        <f aca="false">HYPERLINK("https://www.fabsurplus.com/sdi_catalog/salesItemDetails.do?id=109555")</f>
        <v>https://www.fabsurplus.com/sdi_catalog/salesItemDetails.do?id=109555</v>
      </c>
      <c r="B2300" s="2" t="s">
        <v>6317</v>
      </c>
      <c r="C2300" s="2" t="s">
        <v>6147</v>
      </c>
      <c r="D2300" s="2" t="s">
        <v>6318</v>
      </c>
      <c r="E2300" s="2" t="s">
        <v>6319</v>
      </c>
      <c r="F2300" s="2" t="s">
        <v>16</v>
      </c>
      <c r="G2300" s="2" t="s">
        <v>61</v>
      </c>
      <c r="H2300" s="2" t="s">
        <v>32</v>
      </c>
      <c r="I2300" s="3" t="n">
        <v>39203</v>
      </c>
      <c r="J2300" s="2" t="s">
        <v>19</v>
      </c>
      <c r="K2300" s="2"/>
      <c r="L2300" s="4" t="s">
        <v>6320</v>
      </c>
    </row>
    <row r="2301" customFormat="false" ht="15.65" hidden="false" customHeight="true" outlineLevel="0" collapsed="false">
      <c r="A2301" s="5" t="str">
        <f aca="false">HYPERLINK("https://www.fabsurplus.com/sdi_catalog/salesItemDetails.do?id=109556")</f>
        <v>https://www.fabsurplus.com/sdi_catalog/salesItemDetails.do?id=109556</v>
      </c>
      <c r="B2301" s="5" t="s">
        <v>6321</v>
      </c>
      <c r="C2301" s="5" t="s">
        <v>6147</v>
      </c>
      <c r="D2301" s="5" t="s">
        <v>6322</v>
      </c>
      <c r="E2301" s="5" t="s">
        <v>6323</v>
      </c>
      <c r="F2301" s="5" t="s">
        <v>16</v>
      </c>
      <c r="G2301" s="5" t="s">
        <v>3031</v>
      </c>
      <c r="H2301" s="5" t="s">
        <v>32</v>
      </c>
      <c r="I2301" s="6" t="n">
        <v>38869</v>
      </c>
      <c r="J2301" s="5" t="s">
        <v>19</v>
      </c>
      <c r="K2301" s="5" t="s">
        <v>20</v>
      </c>
      <c r="L2301" s="7" t="s">
        <v>6324</v>
      </c>
    </row>
    <row r="2302" customFormat="false" ht="15.65" hidden="false" customHeight="true" outlineLevel="0" collapsed="false">
      <c r="A2302" s="2" t="str">
        <f aca="false">HYPERLINK("https://www.fabsurplus.com/sdi_catalog/salesItemDetails.do?id=109047")</f>
        <v>https://www.fabsurplus.com/sdi_catalog/salesItemDetails.do?id=109047</v>
      </c>
      <c r="B2302" s="2" t="s">
        <v>6325</v>
      </c>
      <c r="C2302" s="2" t="s">
        <v>6147</v>
      </c>
      <c r="D2302" s="2" t="s">
        <v>6326</v>
      </c>
      <c r="E2302" s="2" t="s">
        <v>6327</v>
      </c>
      <c r="F2302" s="2" t="s">
        <v>16</v>
      </c>
      <c r="G2302" s="2" t="s">
        <v>61</v>
      </c>
      <c r="H2302" s="2" t="s">
        <v>32</v>
      </c>
      <c r="I2302" s="3" t="n">
        <v>39995</v>
      </c>
      <c r="J2302" s="2" t="s">
        <v>19</v>
      </c>
      <c r="K2302" s="2" t="s">
        <v>20</v>
      </c>
      <c r="L2302" s="4" t="s">
        <v>6328</v>
      </c>
    </row>
    <row r="2303" customFormat="false" ht="15.65" hidden="false" customHeight="true" outlineLevel="0" collapsed="false">
      <c r="A2303" s="5" t="str">
        <f aca="false">HYPERLINK("https://www.fabsurplus.com/sdi_catalog/salesItemDetails.do?id=109561")</f>
        <v>https://www.fabsurplus.com/sdi_catalog/salesItemDetails.do?id=109561</v>
      </c>
      <c r="B2303" s="5" t="s">
        <v>6329</v>
      </c>
      <c r="C2303" s="5" t="s">
        <v>6147</v>
      </c>
      <c r="D2303" s="5" t="s">
        <v>6330</v>
      </c>
      <c r="E2303" s="5" t="s">
        <v>6331</v>
      </c>
      <c r="F2303" s="5" t="s">
        <v>16</v>
      </c>
      <c r="G2303" s="5" t="s">
        <v>3031</v>
      </c>
      <c r="H2303" s="5" t="s">
        <v>18</v>
      </c>
      <c r="I2303" s="6" t="n">
        <v>41791</v>
      </c>
      <c r="J2303" s="5" t="s">
        <v>19</v>
      </c>
      <c r="K2303" s="5" t="s">
        <v>20</v>
      </c>
      <c r="L2303" s="7" t="s">
        <v>6332</v>
      </c>
    </row>
    <row r="2304" customFormat="false" ht="15.65" hidden="false" customHeight="true" outlineLevel="0" collapsed="false">
      <c r="A2304" s="2" t="str">
        <f aca="false">HYPERLINK("https://www.fabsurplus.com/sdi_catalog/salesItemDetails.do?id=108027")</f>
        <v>https://www.fabsurplus.com/sdi_catalog/salesItemDetails.do?id=108027</v>
      </c>
      <c r="B2304" s="2" t="s">
        <v>6333</v>
      </c>
      <c r="C2304" s="2" t="s">
        <v>6155</v>
      </c>
      <c r="D2304" s="2" t="s">
        <v>6334</v>
      </c>
      <c r="E2304" s="2" t="s">
        <v>6335</v>
      </c>
      <c r="F2304" s="2" t="s">
        <v>16</v>
      </c>
      <c r="G2304" s="2" t="s">
        <v>3031</v>
      </c>
      <c r="H2304" s="2"/>
      <c r="I2304" s="3" t="n">
        <v>39326</v>
      </c>
      <c r="J2304" s="2" t="s">
        <v>19</v>
      </c>
      <c r="K2304" s="2"/>
      <c r="L2304" s="2" t="s">
        <v>142</v>
      </c>
    </row>
    <row r="2305" customFormat="false" ht="15.65" hidden="false" customHeight="true" outlineLevel="0" collapsed="false">
      <c r="A2305" s="5" t="str">
        <f aca="false">HYPERLINK("https://www.fabsurplus.com/sdi_catalog/salesItemDetails.do?id=109114")</f>
        <v>https://www.fabsurplus.com/sdi_catalog/salesItemDetails.do?id=109114</v>
      </c>
      <c r="B2305" s="5" t="s">
        <v>6336</v>
      </c>
      <c r="C2305" s="5" t="s">
        <v>6337</v>
      </c>
      <c r="D2305" s="5" t="s">
        <v>6338</v>
      </c>
      <c r="E2305" s="5" t="s">
        <v>6339</v>
      </c>
      <c r="F2305" s="5" t="s">
        <v>151</v>
      </c>
      <c r="G2305" s="5" t="s">
        <v>61</v>
      </c>
      <c r="H2305" s="5" t="s">
        <v>18</v>
      </c>
      <c r="I2305" s="6" t="n">
        <v>40330</v>
      </c>
      <c r="J2305" s="5" t="s">
        <v>19</v>
      </c>
      <c r="K2305" s="5" t="s">
        <v>20</v>
      </c>
      <c r="L2305" s="5" t="s">
        <v>6340</v>
      </c>
    </row>
    <row r="2306" customFormat="false" ht="15.65" hidden="false" customHeight="true" outlineLevel="0" collapsed="false">
      <c r="A2306" s="2" t="str">
        <f aca="false">HYPERLINK("https://www.fabsurplus.com/sdi_catalog/salesItemDetails.do?id=109115")</f>
        <v>https://www.fabsurplus.com/sdi_catalog/salesItemDetails.do?id=109115</v>
      </c>
      <c r="B2306" s="2" t="s">
        <v>6341</v>
      </c>
      <c r="C2306" s="2" t="s">
        <v>6337</v>
      </c>
      <c r="D2306" s="2" t="s">
        <v>6342</v>
      </c>
      <c r="E2306" s="2" t="s">
        <v>6339</v>
      </c>
      <c r="F2306" s="2" t="s">
        <v>151</v>
      </c>
      <c r="G2306" s="2" t="s">
        <v>61</v>
      </c>
      <c r="H2306" s="2" t="s">
        <v>18</v>
      </c>
      <c r="I2306" s="3" t="n">
        <v>40330</v>
      </c>
      <c r="J2306" s="2" t="s">
        <v>19</v>
      </c>
      <c r="K2306" s="2" t="s">
        <v>20</v>
      </c>
      <c r="L2306" s="4" t="s">
        <v>6343</v>
      </c>
    </row>
    <row r="2307" customFormat="false" ht="15.65" hidden="false" customHeight="true" outlineLevel="0" collapsed="false">
      <c r="A2307" s="5" t="str">
        <f aca="false">HYPERLINK("https://www.fabsurplus.com/sdi_catalog/salesItemDetails.do?id=109179")</f>
        <v>https://www.fabsurplus.com/sdi_catalog/salesItemDetails.do?id=109179</v>
      </c>
      <c r="B2307" s="5" t="s">
        <v>6344</v>
      </c>
      <c r="C2307" s="5" t="s">
        <v>6337</v>
      </c>
      <c r="D2307" s="5" t="s">
        <v>6345</v>
      </c>
      <c r="E2307" s="5" t="s">
        <v>6346</v>
      </c>
      <c r="F2307" s="5" t="s">
        <v>16</v>
      </c>
      <c r="G2307" s="5" t="s">
        <v>84</v>
      </c>
      <c r="H2307" s="5"/>
      <c r="I2307" s="5"/>
      <c r="J2307" s="5" t="s">
        <v>19</v>
      </c>
      <c r="K2307" s="5"/>
      <c r="L2307" s="5"/>
    </row>
    <row r="2308" customFormat="false" ht="15.65" hidden="false" customHeight="true" outlineLevel="0" collapsed="false">
      <c r="A2308" s="2" t="str">
        <f aca="false">HYPERLINK("https://www.fabsurplus.com/sdi_catalog/salesItemDetails.do?id=109180")</f>
        <v>https://www.fabsurplus.com/sdi_catalog/salesItemDetails.do?id=109180</v>
      </c>
      <c r="B2308" s="2" t="s">
        <v>6347</v>
      </c>
      <c r="C2308" s="2" t="s">
        <v>6337</v>
      </c>
      <c r="D2308" s="2" t="s">
        <v>6348</v>
      </c>
      <c r="E2308" s="2" t="s">
        <v>6346</v>
      </c>
      <c r="F2308" s="2" t="s">
        <v>16</v>
      </c>
      <c r="G2308" s="2" t="s">
        <v>84</v>
      </c>
      <c r="H2308" s="2"/>
      <c r="I2308" s="2"/>
      <c r="J2308" s="2" t="s">
        <v>19</v>
      </c>
      <c r="K2308" s="2"/>
      <c r="L2308" s="2"/>
    </row>
    <row r="2309" customFormat="false" ht="15.65" hidden="false" customHeight="true" outlineLevel="0" collapsed="false">
      <c r="A2309" s="5" t="str">
        <f aca="false">HYPERLINK("https://www.fabsurplus.com/sdi_catalog/salesItemDetails.do?id=109181")</f>
        <v>https://www.fabsurplus.com/sdi_catalog/salesItemDetails.do?id=109181</v>
      </c>
      <c r="B2309" s="5" t="s">
        <v>6349</v>
      </c>
      <c r="C2309" s="5" t="s">
        <v>6337</v>
      </c>
      <c r="D2309" s="5" t="s">
        <v>6350</v>
      </c>
      <c r="E2309" s="5" t="s">
        <v>6346</v>
      </c>
      <c r="F2309" s="5" t="s">
        <v>16</v>
      </c>
      <c r="G2309" s="5" t="s">
        <v>84</v>
      </c>
      <c r="H2309" s="5"/>
      <c r="I2309" s="5"/>
      <c r="J2309" s="5" t="s">
        <v>19</v>
      </c>
      <c r="K2309" s="5"/>
      <c r="L2309" s="5"/>
    </row>
    <row r="2310" customFormat="false" ht="15.65" hidden="false" customHeight="true" outlineLevel="0" collapsed="false">
      <c r="A2310" s="2" t="str">
        <f aca="false">HYPERLINK("https://www.fabsurplus.com/sdi_catalog/salesItemDetails.do?id=109182")</f>
        <v>https://www.fabsurplus.com/sdi_catalog/salesItemDetails.do?id=109182</v>
      </c>
      <c r="B2310" s="2" t="s">
        <v>6351</v>
      </c>
      <c r="C2310" s="2" t="s">
        <v>6337</v>
      </c>
      <c r="D2310" s="2" t="s">
        <v>6350</v>
      </c>
      <c r="E2310" s="2" t="s">
        <v>6346</v>
      </c>
      <c r="F2310" s="2" t="s">
        <v>16</v>
      </c>
      <c r="G2310" s="2" t="s">
        <v>84</v>
      </c>
      <c r="H2310" s="2"/>
      <c r="I2310" s="2"/>
      <c r="J2310" s="2" t="s">
        <v>19</v>
      </c>
      <c r="K2310" s="2"/>
      <c r="L2310" s="2"/>
    </row>
    <row r="2311" customFormat="false" ht="15.65" hidden="false" customHeight="true" outlineLevel="0" collapsed="false">
      <c r="A2311" s="5" t="str">
        <f aca="false">HYPERLINK("https://www.fabsurplus.com/sdi_catalog/salesItemDetails.do?id=77264")</f>
        <v>https://www.fabsurplus.com/sdi_catalog/salesItemDetails.do?id=77264</v>
      </c>
      <c r="B2311" s="5" t="s">
        <v>6352</v>
      </c>
      <c r="C2311" s="5" t="s">
        <v>6353</v>
      </c>
      <c r="D2311" s="5" t="s">
        <v>6354</v>
      </c>
      <c r="E2311" s="5" t="s">
        <v>6355</v>
      </c>
      <c r="F2311" s="5" t="s">
        <v>151</v>
      </c>
      <c r="G2311" s="5" t="s">
        <v>3031</v>
      </c>
      <c r="H2311" s="5" t="s">
        <v>18</v>
      </c>
      <c r="I2311" s="5"/>
      <c r="J2311" s="5" t="s">
        <v>19</v>
      </c>
      <c r="K2311" s="5" t="s">
        <v>20</v>
      </c>
      <c r="L2311" s="7" t="s">
        <v>6356</v>
      </c>
    </row>
    <row r="2312" customFormat="false" ht="15.65" hidden="false" customHeight="true" outlineLevel="0" collapsed="false">
      <c r="A2312" s="2" t="str">
        <f aca="false">HYPERLINK("https://www.fabsurplus.com/sdi_catalog/salesItemDetails.do?id=108161")</f>
        <v>https://www.fabsurplus.com/sdi_catalog/salesItemDetails.do?id=108161</v>
      </c>
      <c r="B2312" s="2" t="s">
        <v>6357</v>
      </c>
      <c r="C2312" s="2" t="s">
        <v>6358</v>
      </c>
      <c r="D2312" s="2" t="s">
        <v>6359</v>
      </c>
      <c r="E2312" s="2" t="s">
        <v>6360</v>
      </c>
      <c r="F2312" s="2" t="s">
        <v>16</v>
      </c>
      <c r="G2312" s="2"/>
      <c r="H2312" s="2"/>
      <c r="I2312" s="2"/>
      <c r="J2312" s="2" t="s">
        <v>19</v>
      </c>
      <c r="K2312" s="2"/>
      <c r="L2312" s="2" t="s">
        <v>1480</v>
      </c>
    </row>
    <row r="2313" customFormat="false" ht="15.65" hidden="false" customHeight="true" outlineLevel="0" collapsed="false">
      <c r="A2313" s="5" t="str">
        <f aca="false">HYPERLINK("https://www.fabsurplus.com/sdi_catalog/salesItemDetails.do?id=110616")</f>
        <v>https://www.fabsurplus.com/sdi_catalog/salesItemDetails.do?id=110616</v>
      </c>
      <c r="B2313" s="5" t="s">
        <v>6361</v>
      </c>
      <c r="C2313" s="5" t="s">
        <v>6362</v>
      </c>
      <c r="D2313" s="5" t="s">
        <v>6363</v>
      </c>
      <c r="E2313" s="5" t="s">
        <v>490</v>
      </c>
      <c r="F2313" s="5" t="s">
        <v>16</v>
      </c>
      <c r="G2313" s="5" t="s">
        <v>392</v>
      </c>
      <c r="H2313" s="5" t="s">
        <v>32</v>
      </c>
      <c r="I2313" s="5"/>
      <c r="J2313" s="5" t="s">
        <v>19</v>
      </c>
      <c r="K2313" s="5" t="s">
        <v>20</v>
      </c>
      <c r="L2313" s="7" t="s">
        <v>4203</v>
      </c>
    </row>
    <row r="2314" customFormat="false" ht="15.65" hidden="false" customHeight="true" outlineLevel="0" collapsed="false">
      <c r="A2314" s="2" t="str">
        <f aca="false">HYPERLINK("https://www.fabsurplus.com/sdi_catalog/salesItemDetails.do?id=108753")</f>
        <v>https://www.fabsurplus.com/sdi_catalog/salesItemDetails.do?id=108753</v>
      </c>
      <c r="B2314" s="2" t="s">
        <v>6364</v>
      </c>
      <c r="C2314" s="2" t="s">
        <v>6362</v>
      </c>
      <c r="D2314" s="2" t="s">
        <v>6365</v>
      </c>
      <c r="E2314" s="2" t="s">
        <v>6366</v>
      </c>
      <c r="F2314" s="2" t="s">
        <v>16</v>
      </c>
      <c r="G2314" s="2" t="s">
        <v>1236</v>
      </c>
      <c r="H2314" s="2" t="s">
        <v>18</v>
      </c>
      <c r="I2314" s="2"/>
      <c r="J2314" s="2" t="s">
        <v>19</v>
      </c>
      <c r="K2314" s="2" t="s">
        <v>20</v>
      </c>
      <c r="L2314" s="4" t="s">
        <v>6367</v>
      </c>
    </row>
    <row r="2315" customFormat="false" ht="15.65" hidden="false" customHeight="true" outlineLevel="0" collapsed="false">
      <c r="A2315" s="5" t="str">
        <f aca="false">HYPERLINK("https://www.fabsurplus.com/sdi_catalog/salesItemDetails.do?id=83579")</f>
        <v>https://www.fabsurplus.com/sdi_catalog/salesItemDetails.do?id=83579</v>
      </c>
      <c r="B2315" s="5" t="s">
        <v>6368</v>
      </c>
      <c r="C2315" s="5" t="s">
        <v>6369</v>
      </c>
      <c r="D2315" s="5" t="s">
        <v>6370</v>
      </c>
      <c r="E2315" s="5" t="s">
        <v>6371</v>
      </c>
      <c r="F2315" s="5" t="s">
        <v>16</v>
      </c>
      <c r="G2315" s="5" t="s">
        <v>6372</v>
      </c>
      <c r="H2315" s="5" t="s">
        <v>18</v>
      </c>
      <c r="I2315" s="6" t="n">
        <v>32932.9583333333</v>
      </c>
      <c r="J2315" s="5" t="s">
        <v>19</v>
      </c>
      <c r="K2315" s="5" t="s">
        <v>20</v>
      </c>
      <c r="L2315" s="7" t="s">
        <v>6373</v>
      </c>
    </row>
    <row r="2316" customFormat="false" ht="15.65" hidden="false" customHeight="true" outlineLevel="0" collapsed="false">
      <c r="A2316" s="2" t="str">
        <f aca="false">HYPERLINK("https://www.fabsurplus.com/sdi_catalog/salesItemDetails.do?id=82181")</f>
        <v>https://www.fabsurplus.com/sdi_catalog/salesItemDetails.do?id=82181</v>
      </c>
      <c r="B2316" s="2" t="s">
        <v>6374</v>
      </c>
      <c r="C2316" s="2" t="s">
        <v>6375</v>
      </c>
      <c r="D2316" s="2" t="s">
        <v>6376</v>
      </c>
      <c r="E2316" s="2" t="s">
        <v>6377</v>
      </c>
      <c r="F2316" s="2" t="s">
        <v>16</v>
      </c>
      <c r="G2316" s="2"/>
      <c r="H2316" s="2" t="s">
        <v>18</v>
      </c>
      <c r="I2316" s="2"/>
      <c r="J2316" s="2" t="s">
        <v>19</v>
      </c>
      <c r="K2316" s="2" t="s">
        <v>20</v>
      </c>
      <c r="L2316" s="4" t="s">
        <v>6378</v>
      </c>
    </row>
    <row r="2317" customFormat="false" ht="15.65" hidden="false" customHeight="true" outlineLevel="0" collapsed="false">
      <c r="A2317" s="5" t="str">
        <f aca="false">HYPERLINK("https://www.fabsurplus.com/sdi_catalog/salesItemDetails.do?id=106667")</f>
        <v>https://www.fabsurplus.com/sdi_catalog/salesItemDetails.do?id=106667</v>
      </c>
      <c r="B2317" s="5" t="s">
        <v>6379</v>
      </c>
      <c r="C2317" s="5" t="s">
        <v>6380</v>
      </c>
      <c r="D2317" s="5" t="s">
        <v>6381</v>
      </c>
      <c r="E2317" s="5" t="s">
        <v>6382</v>
      </c>
      <c r="F2317" s="5" t="s">
        <v>16</v>
      </c>
      <c r="G2317" s="5" t="s">
        <v>61</v>
      </c>
      <c r="H2317" s="5"/>
      <c r="I2317" s="5"/>
      <c r="J2317" s="5" t="s">
        <v>19</v>
      </c>
      <c r="K2317" s="5"/>
      <c r="L2317" s="5" t="s">
        <v>518</v>
      </c>
    </row>
    <row r="2318" customFormat="false" ht="15.65" hidden="false" customHeight="true" outlineLevel="0" collapsed="false">
      <c r="A2318" s="2" t="str">
        <f aca="false">HYPERLINK("https://www.fabsurplus.com/sdi_catalog/salesItemDetails.do?id=102559")</f>
        <v>https://www.fabsurplus.com/sdi_catalog/salesItemDetails.do?id=102559</v>
      </c>
      <c r="B2318" s="2" t="s">
        <v>6383</v>
      </c>
      <c r="C2318" s="2" t="s">
        <v>6384</v>
      </c>
      <c r="D2318" s="2" t="s">
        <v>6385</v>
      </c>
      <c r="E2318" s="2" t="s">
        <v>6386</v>
      </c>
      <c r="F2318" s="2" t="s">
        <v>16</v>
      </c>
      <c r="G2318" s="2" t="s">
        <v>61</v>
      </c>
      <c r="H2318" s="2" t="s">
        <v>18</v>
      </c>
      <c r="I2318" s="2"/>
      <c r="J2318" s="2" t="s">
        <v>19</v>
      </c>
      <c r="K2318" s="2" t="s">
        <v>20</v>
      </c>
      <c r="L2318" s="2"/>
    </row>
    <row r="2319" customFormat="false" ht="15.65" hidden="false" customHeight="true" outlineLevel="0" collapsed="false">
      <c r="A2319" s="5" t="str">
        <f aca="false">HYPERLINK("https://www.fabsurplus.com/sdi_catalog/salesItemDetails.do?id=77156")</f>
        <v>https://www.fabsurplus.com/sdi_catalog/salesItemDetails.do?id=77156</v>
      </c>
      <c r="B2319" s="5" t="s">
        <v>6387</v>
      </c>
      <c r="C2319" s="5" t="s">
        <v>6388</v>
      </c>
      <c r="D2319" s="5" t="s">
        <v>6389</v>
      </c>
      <c r="E2319" s="5" t="s">
        <v>6390</v>
      </c>
      <c r="F2319" s="5" t="s">
        <v>16</v>
      </c>
      <c r="G2319" s="5" t="s">
        <v>104</v>
      </c>
      <c r="H2319" s="5" t="s">
        <v>1395</v>
      </c>
      <c r="I2319" s="5"/>
      <c r="J2319" s="5" t="s">
        <v>19</v>
      </c>
      <c r="K2319" s="5" t="s">
        <v>20</v>
      </c>
      <c r="L2319" s="7" t="s">
        <v>6391</v>
      </c>
    </row>
    <row r="2320" customFormat="false" ht="15.65" hidden="false" customHeight="true" outlineLevel="0" collapsed="false">
      <c r="A2320" s="2" t="str">
        <f aca="false">HYPERLINK("https://www.fabsurplus.com/sdi_catalog/salesItemDetails.do?id=77145")</f>
        <v>https://www.fabsurplus.com/sdi_catalog/salesItemDetails.do?id=77145</v>
      </c>
      <c r="B2320" s="2" t="s">
        <v>6392</v>
      </c>
      <c r="C2320" s="2" t="s">
        <v>6393</v>
      </c>
      <c r="D2320" s="2" t="s">
        <v>6394</v>
      </c>
      <c r="E2320" s="2" t="s">
        <v>6395</v>
      </c>
      <c r="F2320" s="2" t="s">
        <v>16</v>
      </c>
      <c r="G2320" s="2" t="s">
        <v>6396</v>
      </c>
      <c r="H2320" s="2" t="s">
        <v>18</v>
      </c>
      <c r="I2320" s="2"/>
      <c r="J2320" s="2" t="s">
        <v>19</v>
      </c>
      <c r="K2320" s="2" t="s">
        <v>20</v>
      </c>
      <c r="L2320" s="4" t="s">
        <v>6397</v>
      </c>
    </row>
    <row r="2321" customFormat="false" ht="15.65" hidden="false" customHeight="true" outlineLevel="0" collapsed="false">
      <c r="A2321" s="5" t="str">
        <f aca="false">HYPERLINK("https://www.fabsurplus.com/sdi_catalog/salesItemDetails.do?id=107687")</f>
        <v>https://www.fabsurplus.com/sdi_catalog/salesItemDetails.do?id=107687</v>
      </c>
      <c r="B2321" s="5" t="s">
        <v>6398</v>
      </c>
      <c r="C2321" s="5" t="s">
        <v>6399</v>
      </c>
      <c r="D2321" s="5" t="s">
        <v>6400</v>
      </c>
      <c r="E2321" s="5" t="s">
        <v>279</v>
      </c>
      <c r="F2321" s="5" t="s">
        <v>16</v>
      </c>
      <c r="G2321" s="5" t="s">
        <v>104</v>
      </c>
      <c r="H2321" s="5" t="s">
        <v>275</v>
      </c>
      <c r="I2321" s="5"/>
      <c r="J2321" s="5" t="s">
        <v>19</v>
      </c>
      <c r="K2321" s="5" t="s">
        <v>20</v>
      </c>
      <c r="L2321" s="5" t="s">
        <v>6401</v>
      </c>
    </row>
    <row r="2322" customFormat="false" ht="15.65" hidden="false" customHeight="true" outlineLevel="0" collapsed="false">
      <c r="A2322" s="2" t="str">
        <f aca="false">HYPERLINK("https://www.fabsurplus.com/sdi_catalog/salesItemDetails.do?id=110322")</f>
        <v>https://www.fabsurplus.com/sdi_catalog/salesItemDetails.do?id=110322</v>
      </c>
      <c r="B2322" s="2" t="s">
        <v>6402</v>
      </c>
      <c r="C2322" s="2" t="s">
        <v>6399</v>
      </c>
      <c r="D2322" s="2" t="s">
        <v>6400</v>
      </c>
      <c r="E2322" s="2" t="s">
        <v>170</v>
      </c>
      <c r="F2322" s="2" t="s">
        <v>16</v>
      </c>
      <c r="G2322" s="2" t="s">
        <v>165</v>
      </c>
      <c r="H2322" s="2"/>
      <c r="I2322" s="2"/>
      <c r="J2322" s="2" t="s">
        <v>42</v>
      </c>
      <c r="K2322" s="2"/>
      <c r="L2322" s="2" t="s">
        <v>6403</v>
      </c>
    </row>
    <row r="2323" customFormat="false" ht="15.65" hidden="false" customHeight="true" outlineLevel="0" collapsed="false">
      <c r="A2323" s="5" t="str">
        <f aca="false">HYPERLINK("https://www.fabsurplus.com/sdi_catalog/salesItemDetails.do?id=110323")</f>
        <v>https://www.fabsurplus.com/sdi_catalog/salesItemDetails.do?id=110323</v>
      </c>
      <c r="B2323" s="5" t="s">
        <v>6404</v>
      </c>
      <c r="C2323" s="5" t="s">
        <v>6405</v>
      </c>
      <c r="D2323" s="5" t="s">
        <v>6406</v>
      </c>
      <c r="E2323" s="5" t="s">
        <v>763</v>
      </c>
      <c r="F2323" s="5" t="s">
        <v>16</v>
      </c>
      <c r="G2323" s="5" t="s">
        <v>165</v>
      </c>
      <c r="H2323" s="5"/>
      <c r="I2323" s="5"/>
      <c r="J2323" s="5" t="s">
        <v>42</v>
      </c>
      <c r="K2323" s="5"/>
      <c r="L2323" s="5" t="s">
        <v>6407</v>
      </c>
    </row>
    <row r="2324" customFormat="false" ht="15.65" hidden="false" customHeight="true" outlineLevel="0" collapsed="false">
      <c r="A2324" s="2" t="str">
        <f aca="false">HYPERLINK("https://www.fabsurplus.com/sdi_catalog/salesItemDetails.do?id=108162")</f>
        <v>https://www.fabsurplus.com/sdi_catalog/salesItemDetails.do?id=108162</v>
      </c>
      <c r="B2324" s="2" t="s">
        <v>6408</v>
      </c>
      <c r="C2324" s="2" t="s">
        <v>6409</v>
      </c>
      <c r="D2324" s="2" t="s">
        <v>6410</v>
      </c>
      <c r="E2324" s="2" t="s">
        <v>6411</v>
      </c>
      <c r="F2324" s="2" t="s">
        <v>16</v>
      </c>
      <c r="G2324" s="2" t="s">
        <v>1293</v>
      </c>
      <c r="H2324" s="2"/>
      <c r="I2324" s="2"/>
      <c r="J2324" s="2" t="s">
        <v>19</v>
      </c>
      <c r="K2324" s="2"/>
      <c r="L2324" s="2" t="s">
        <v>1480</v>
      </c>
    </row>
    <row r="2325" customFormat="false" ht="15.65" hidden="false" customHeight="true" outlineLevel="0" collapsed="false">
      <c r="A2325" s="5" t="str">
        <f aca="false">HYPERLINK("https://www.fabsurplus.com/sdi_catalog/salesItemDetails.do?id=108819")</f>
        <v>https://www.fabsurplus.com/sdi_catalog/salesItemDetails.do?id=108819</v>
      </c>
      <c r="B2325" s="5" t="s">
        <v>6412</v>
      </c>
      <c r="C2325" s="5" t="s">
        <v>6413</v>
      </c>
      <c r="D2325" s="5" t="s">
        <v>6414</v>
      </c>
      <c r="E2325" s="5" t="s">
        <v>6415</v>
      </c>
      <c r="F2325" s="5" t="s">
        <v>16</v>
      </c>
      <c r="G2325" s="5"/>
      <c r="H2325" s="5"/>
      <c r="I2325" s="5"/>
      <c r="J2325" s="5" t="s">
        <v>42</v>
      </c>
      <c r="K2325" s="5"/>
      <c r="L2325" s="5" t="s">
        <v>131</v>
      </c>
    </row>
    <row r="2326" customFormat="false" ht="15.65" hidden="false" customHeight="true" outlineLevel="0" collapsed="false">
      <c r="A2326" s="2" t="str">
        <f aca="false">HYPERLINK("https://www.fabsurplus.com/sdi_catalog/salesItemDetails.do?id=110324")</f>
        <v>https://www.fabsurplus.com/sdi_catalog/salesItemDetails.do?id=110324</v>
      </c>
      <c r="B2326" s="2" t="s">
        <v>6416</v>
      </c>
      <c r="C2326" s="2" t="s">
        <v>6417</v>
      </c>
      <c r="D2326" s="2" t="s">
        <v>6418</v>
      </c>
      <c r="E2326" s="2" t="s">
        <v>763</v>
      </c>
      <c r="F2326" s="2" t="s">
        <v>16</v>
      </c>
      <c r="G2326" s="2" t="s">
        <v>165</v>
      </c>
      <c r="H2326" s="2"/>
      <c r="I2326" s="2"/>
      <c r="J2326" s="2" t="s">
        <v>42</v>
      </c>
      <c r="K2326" s="2"/>
      <c r="L2326" s="2" t="s">
        <v>686</v>
      </c>
    </row>
    <row r="2327" customFormat="false" ht="15.65" hidden="false" customHeight="true" outlineLevel="0" collapsed="false">
      <c r="A2327" s="5" t="str">
        <f aca="false">HYPERLINK("https://www.fabsurplus.com/sdi_catalog/salesItemDetails.do?id=74236")</f>
        <v>https://www.fabsurplus.com/sdi_catalog/salesItemDetails.do?id=74236</v>
      </c>
      <c r="B2327" s="5" t="s">
        <v>6419</v>
      </c>
      <c r="C2327" s="5" t="s">
        <v>6420</v>
      </c>
      <c r="D2327" s="5" t="s">
        <v>6421</v>
      </c>
      <c r="E2327" s="5" t="s">
        <v>6422</v>
      </c>
      <c r="F2327" s="5" t="s">
        <v>151</v>
      </c>
      <c r="G2327" s="5"/>
      <c r="H2327" s="5"/>
      <c r="I2327" s="6" t="n">
        <v>39448</v>
      </c>
      <c r="J2327" s="5" t="s">
        <v>19</v>
      </c>
      <c r="K2327" s="5"/>
      <c r="L2327" s="7" t="s">
        <v>6423</v>
      </c>
    </row>
    <row r="2328" customFormat="false" ht="15.65" hidden="false" customHeight="true" outlineLevel="0" collapsed="false">
      <c r="A2328" s="2" t="str">
        <f aca="false">HYPERLINK("https://www.fabsurplus.com/sdi_catalog/salesItemDetails.do?id=77004")</f>
        <v>https://www.fabsurplus.com/sdi_catalog/salesItemDetails.do?id=77004</v>
      </c>
      <c r="B2328" s="2" t="s">
        <v>6424</v>
      </c>
      <c r="C2328" s="2" t="s">
        <v>6425</v>
      </c>
      <c r="D2328" s="2" t="s">
        <v>6426</v>
      </c>
      <c r="E2328" s="2" t="s">
        <v>6427</v>
      </c>
      <c r="F2328" s="2" t="s">
        <v>151</v>
      </c>
      <c r="G2328" s="2" t="s">
        <v>104</v>
      </c>
      <c r="H2328" s="2" t="s">
        <v>1395</v>
      </c>
      <c r="I2328" s="3" t="n">
        <v>38718</v>
      </c>
      <c r="J2328" s="2" t="s">
        <v>19</v>
      </c>
      <c r="K2328" s="2" t="s">
        <v>20</v>
      </c>
      <c r="L2328" s="2" t="s">
        <v>6428</v>
      </c>
    </row>
    <row r="2329" customFormat="false" ht="15.65" hidden="false" customHeight="true" outlineLevel="0" collapsed="false">
      <c r="A2329" s="5" t="str">
        <f aca="false">HYPERLINK("https://www.fabsurplus.com/sdi_catalog/salesItemDetails.do?id=84238")</f>
        <v>https://www.fabsurplus.com/sdi_catalog/salesItemDetails.do?id=84238</v>
      </c>
      <c r="B2329" s="5" t="s">
        <v>6429</v>
      </c>
      <c r="C2329" s="5" t="s">
        <v>6430</v>
      </c>
      <c r="D2329" s="5" t="s">
        <v>6431</v>
      </c>
      <c r="E2329" s="5" t="s">
        <v>6432</v>
      </c>
      <c r="F2329" s="5" t="s">
        <v>16</v>
      </c>
      <c r="G2329" s="5" t="s">
        <v>104</v>
      </c>
      <c r="H2329" s="5" t="s">
        <v>32</v>
      </c>
      <c r="I2329" s="5"/>
      <c r="J2329" s="5" t="s">
        <v>19</v>
      </c>
      <c r="K2329" s="5" t="s">
        <v>20</v>
      </c>
      <c r="L2329" s="7" t="s">
        <v>6433</v>
      </c>
    </row>
    <row r="2330" customFormat="false" ht="15.65" hidden="false" customHeight="true" outlineLevel="0" collapsed="false">
      <c r="A2330" s="2" t="str">
        <f aca="false">HYPERLINK("https://www.fabsurplus.com/sdi_catalog/salesItemDetails.do?id=13025")</f>
        <v>https://www.fabsurplus.com/sdi_catalog/salesItemDetails.do?id=13025</v>
      </c>
      <c r="B2330" s="2" t="s">
        <v>6434</v>
      </c>
      <c r="C2330" s="2" t="s">
        <v>6435</v>
      </c>
      <c r="D2330" s="2" t="s">
        <v>6436</v>
      </c>
      <c r="E2330" s="2" t="s">
        <v>6437</v>
      </c>
      <c r="F2330" s="2" t="s">
        <v>108</v>
      </c>
      <c r="G2330" s="2" t="s">
        <v>104</v>
      </c>
      <c r="H2330" s="2" t="s">
        <v>98</v>
      </c>
      <c r="I2330" s="2"/>
      <c r="J2330" s="2" t="s">
        <v>19</v>
      </c>
      <c r="K2330" s="2" t="s">
        <v>20</v>
      </c>
      <c r="L2330" s="2" t="s">
        <v>6438</v>
      </c>
    </row>
    <row r="2331" customFormat="false" ht="15.65" hidden="false" customHeight="true" outlineLevel="0" collapsed="false">
      <c r="A2331" s="5" t="str">
        <f aca="false">HYPERLINK("https://www.fabsurplus.com/sdi_catalog/salesItemDetails.do?id=83617")</f>
        <v>https://www.fabsurplus.com/sdi_catalog/salesItemDetails.do?id=83617</v>
      </c>
      <c r="B2331" s="5" t="s">
        <v>6439</v>
      </c>
      <c r="C2331" s="5" t="s">
        <v>6440</v>
      </c>
      <c r="D2331" s="5" t="s">
        <v>6441</v>
      </c>
      <c r="E2331" s="5" t="s">
        <v>6442</v>
      </c>
      <c r="F2331" s="5" t="s">
        <v>16</v>
      </c>
      <c r="G2331" s="5"/>
      <c r="H2331" s="5" t="s">
        <v>98</v>
      </c>
      <c r="I2331" s="6" t="n">
        <v>39782.9583333333</v>
      </c>
      <c r="J2331" s="5" t="s">
        <v>19</v>
      </c>
      <c r="K2331" s="5" t="s">
        <v>20</v>
      </c>
      <c r="L2331" s="7" t="s">
        <v>6443</v>
      </c>
    </row>
    <row r="2332" customFormat="false" ht="15.65" hidden="false" customHeight="true" outlineLevel="0" collapsed="false">
      <c r="A2332" s="2" t="str">
        <f aca="false">HYPERLINK("https://www.fabsurplus.com/sdi_catalog/salesItemDetails.do?id=83618")</f>
        <v>https://www.fabsurplus.com/sdi_catalog/salesItemDetails.do?id=83618</v>
      </c>
      <c r="B2332" s="2" t="s">
        <v>6444</v>
      </c>
      <c r="C2332" s="2" t="s">
        <v>6440</v>
      </c>
      <c r="D2332" s="2" t="s">
        <v>6445</v>
      </c>
      <c r="E2332" s="2" t="s">
        <v>6442</v>
      </c>
      <c r="F2332" s="2" t="s">
        <v>16</v>
      </c>
      <c r="G2332" s="2"/>
      <c r="H2332" s="2" t="s">
        <v>98</v>
      </c>
      <c r="I2332" s="3" t="n">
        <v>39782.9583333333</v>
      </c>
      <c r="J2332" s="2" t="s">
        <v>19</v>
      </c>
      <c r="K2332" s="2" t="s">
        <v>20</v>
      </c>
      <c r="L2332" s="4" t="s">
        <v>6446</v>
      </c>
    </row>
    <row r="2333" customFormat="false" ht="15.65" hidden="false" customHeight="true" outlineLevel="0" collapsed="false">
      <c r="A2333" s="5" t="str">
        <f aca="false">HYPERLINK("https://www.fabsurplus.com/sdi_catalog/salesItemDetails.do?id=83619")</f>
        <v>https://www.fabsurplus.com/sdi_catalog/salesItemDetails.do?id=83619</v>
      </c>
      <c r="B2333" s="5" t="s">
        <v>6447</v>
      </c>
      <c r="C2333" s="5" t="s">
        <v>6440</v>
      </c>
      <c r="D2333" s="5" t="s">
        <v>6448</v>
      </c>
      <c r="E2333" s="5" t="s">
        <v>6442</v>
      </c>
      <c r="F2333" s="5" t="s">
        <v>16</v>
      </c>
      <c r="G2333" s="5"/>
      <c r="H2333" s="5" t="s">
        <v>98</v>
      </c>
      <c r="I2333" s="6" t="n">
        <v>37955.9583333333</v>
      </c>
      <c r="J2333" s="5" t="s">
        <v>19</v>
      </c>
      <c r="K2333" s="5" t="s">
        <v>20</v>
      </c>
      <c r="L2333" s="7" t="s">
        <v>6449</v>
      </c>
    </row>
    <row r="2334" customFormat="false" ht="15.65" hidden="false" customHeight="true" outlineLevel="0" collapsed="false">
      <c r="A2334" s="2" t="str">
        <f aca="false">HYPERLINK("https://www.fabsurplus.com/sdi_catalog/salesItemDetails.do?id=83626")</f>
        <v>https://www.fabsurplus.com/sdi_catalog/salesItemDetails.do?id=83626</v>
      </c>
      <c r="B2334" s="2" t="s">
        <v>6450</v>
      </c>
      <c r="C2334" s="2" t="s">
        <v>6440</v>
      </c>
      <c r="D2334" s="2" t="s">
        <v>6451</v>
      </c>
      <c r="E2334" s="2" t="s">
        <v>6452</v>
      </c>
      <c r="F2334" s="2" t="s">
        <v>16</v>
      </c>
      <c r="G2334" s="2"/>
      <c r="H2334" s="2" t="s">
        <v>98</v>
      </c>
      <c r="I2334" s="3" t="n">
        <v>37955.9583333333</v>
      </c>
      <c r="J2334" s="2" t="s">
        <v>19</v>
      </c>
      <c r="K2334" s="2" t="s">
        <v>20</v>
      </c>
      <c r="L2334" s="4" t="s">
        <v>6453</v>
      </c>
    </row>
    <row r="2335" customFormat="false" ht="15.65" hidden="false" customHeight="true" outlineLevel="0" collapsed="false">
      <c r="A2335" s="5" t="str">
        <f aca="false">HYPERLINK("https://www.fabsurplus.com/sdi_catalog/salesItemDetails.do?id=84222")</f>
        <v>https://www.fabsurplus.com/sdi_catalog/salesItemDetails.do?id=84222</v>
      </c>
      <c r="B2335" s="5" t="s">
        <v>6454</v>
      </c>
      <c r="C2335" s="5" t="s">
        <v>6440</v>
      </c>
      <c r="D2335" s="5" t="s">
        <v>6455</v>
      </c>
      <c r="E2335" s="5" t="s">
        <v>6442</v>
      </c>
      <c r="F2335" s="5" t="s">
        <v>16</v>
      </c>
      <c r="G2335" s="5" t="s">
        <v>104</v>
      </c>
      <c r="H2335" s="5" t="s">
        <v>98</v>
      </c>
      <c r="I2335" s="6" t="n">
        <v>39753</v>
      </c>
      <c r="J2335" s="5" t="s">
        <v>19</v>
      </c>
      <c r="K2335" s="5" t="s">
        <v>20</v>
      </c>
      <c r="L2335" s="7" t="s">
        <v>6456</v>
      </c>
    </row>
    <row r="2336" customFormat="false" ht="15.65" hidden="false" customHeight="true" outlineLevel="0" collapsed="false">
      <c r="A2336" s="2" t="str">
        <f aca="false">HYPERLINK("https://www.fabsurplus.com/sdi_catalog/salesItemDetails.do?id=108820")</f>
        <v>https://www.fabsurplus.com/sdi_catalog/salesItemDetails.do?id=108820</v>
      </c>
      <c r="B2336" s="2" t="s">
        <v>6457</v>
      </c>
      <c r="C2336" s="2" t="s">
        <v>6458</v>
      </c>
      <c r="D2336" s="2" t="s">
        <v>6459</v>
      </c>
      <c r="E2336" s="2" t="s">
        <v>6460</v>
      </c>
      <c r="F2336" s="2" t="s">
        <v>16</v>
      </c>
      <c r="G2336" s="2" t="s">
        <v>165</v>
      </c>
      <c r="H2336" s="2"/>
      <c r="I2336" s="2"/>
      <c r="J2336" s="2" t="s">
        <v>42</v>
      </c>
      <c r="K2336" s="2"/>
      <c r="L2336" s="2" t="s">
        <v>131</v>
      </c>
    </row>
    <row r="2337" customFormat="false" ht="15.65" hidden="false" customHeight="true" outlineLevel="0" collapsed="false">
      <c r="A2337" s="5" t="str">
        <f aca="false">HYPERLINK("https://www.fabsurplus.com/sdi_catalog/salesItemDetails.do?id=83583")</f>
        <v>https://www.fabsurplus.com/sdi_catalog/salesItemDetails.do?id=83583</v>
      </c>
      <c r="B2337" s="5" t="s">
        <v>6461</v>
      </c>
      <c r="C2337" s="5" t="s">
        <v>6458</v>
      </c>
      <c r="D2337" s="5" t="s">
        <v>6462</v>
      </c>
      <c r="E2337" s="5" t="s">
        <v>6463</v>
      </c>
      <c r="F2337" s="5" t="s">
        <v>16</v>
      </c>
      <c r="G2337" s="5" t="s">
        <v>6464</v>
      </c>
      <c r="H2337" s="5" t="s">
        <v>18</v>
      </c>
      <c r="I2337" s="5"/>
      <c r="J2337" s="5" t="s">
        <v>19</v>
      </c>
      <c r="K2337" s="5" t="s">
        <v>20</v>
      </c>
      <c r="L2337" s="5" t="s">
        <v>6463</v>
      </c>
    </row>
    <row r="2338" customFormat="false" ht="15.65" hidden="false" customHeight="true" outlineLevel="0" collapsed="false">
      <c r="A2338" s="2" t="str">
        <f aca="false">HYPERLINK("https://www.fabsurplus.com/sdi_catalog/salesItemDetails.do?id=77151")</f>
        <v>https://www.fabsurplus.com/sdi_catalog/salesItemDetails.do?id=77151</v>
      </c>
      <c r="B2338" s="2" t="s">
        <v>6465</v>
      </c>
      <c r="C2338" s="2" t="s">
        <v>6466</v>
      </c>
      <c r="D2338" s="2" t="s">
        <v>6467</v>
      </c>
      <c r="E2338" s="2" t="s">
        <v>6468</v>
      </c>
      <c r="F2338" s="2" t="s">
        <v>16</v>
      </c>
      <c r="G2338" s="2" t="s">
        <v>104</v>
      </c>
      <c r="H2338" s="2" t="s">
        <v>98</v>
      </c>
      <c r="I2338" s="3" t="n">
        <v>39448</v>
      </c>
      <c r="J2338" s="2" t="s">
        <v>19</v>
      </c>
      <c r="K2338" s="2" t="s">
        <v>20</v>
      </c>
      <c r="L2338" s="4" t="s">
        <v>6469</v>
      </c>
    </row>
    <row r="2339" customFormat="false" ht="15.65" hidden="false" customHeight="true" outlineLevel="0" collapsed="false">
      <c r="A2339" s="5" t="str">
        <f aca="false">HYPERLINK("https://www.fabsurplus.com/sdi_catalog/salesItemDetails.do?id=108821")</f>
        <v>https://www.fabsurplus.com/sdi_catalog/salesItemDetails.do?id=108821</v>
      </c>
      <c r="B2339" s="5" t="s">
        <v>6470</v>
      </c>
      <c r="C2339" s="5" t="s">
        <v>6471</v>
      </c>
      <c r="D2339" s="5" t="s">
        <v>6472</v>
      </c>
      <c r="E2339" s="5" t="s">
        <v>6473</v>
      </c>
      <c r="F2339" s="5" t="s">
        <v>16</v>
      </c>
      <c r="G2339" s="5" t="s">
        <v>6474</v>
      </c>
      <c r="H2339" s="5"/>
      <c r="I2339" s="5"/>
      <c r="J2339" s="5" t="s">
        <v>42</v>
      </c>
      <c r="K2339" s="5"/>
      <c r="L2339" s="5" t="s">
        <v>131</v>
      </c>
    </row>
    <row r="2340" customFormat="false" ht="15.65" hidden="false" customHeight="true" outlineLevel="0" collapsed="false">
      <c r="A2340" s="2" t="str">
        <f aca="false">HYPERLINK("https://www.fabsurplus.com/sdi_catalog/salesItemDetails.do?id=56141")</f>
        <v>https://www.fabsurplus.com/sdi_catalog/salesItemDetails.do?id=56141</v>
      </c>
      <c r="B2340" s="2" t="s">
        <v>6475</v>
      </c>
      <c r="C2340" s="2" t="s">
        <v>6476</v>
      </c>
      <c r="D2340" s="2" t="s">
        <v>6477</v>
      </c>
      <c r="E2340" s="2" t="s">
        <v>6478</v>
      </c>
      <c r="F2340" s="2" t="s">
        <v>16</v>
      </c>
      <c r="G2340" s="2" t="s">
        <v>17</v>
      </c>
      <c r="H2340" s="2" t="s">
        <v>18</v>
      </c>
      <c r="I2340" s="3" t="n">
        <v>39022</v>
      </c>
      <c r="J2340" s="2" t="s">
        <v>19</v>
      </c>
      <c r="K2340" s="2" t="s">
        <v>20</v>
      </c>
      <c r="L2340" s="4" t="s">
        <v>6479</v>
      </c>
    </row>
    <row r="2341" customFormat="false" ht="15.65" hidden="false" customHeight="true" outlineLevel="0" collapsed="false">
      <c r="A2341" s="5" t="str">
        <f aca="false">HYPERLINK("https://www.fabsurplus.com/sdi_catalog/salesItemDetails.do?id=86677")</f>
        <v>https://www.fabsurplus.com/sdi_catalog/salesItemDetails.do?id=86677</v>
      </c>
      <c r="B2341" s="5" t="s">
        <v>6480</v>
      </c>
      <c r="C2341" s="5" t="s">
        <v>6481</v>
      </c>
      <c r="D2341" s="5" t="s">
        <v>6482</v>
      </c>
      <c r="E2341" s="5" t="s">
        <v>6483</v>
      </c>
      <c r="F2341" s="5" t="s">
        <v>16</v>
      </c>
      <c r="G2341" s="5" t="s">
        <v>104</v>
      </c>
      <c r="H2341" s="5" t="s">
        <v>18</v>
      </c>
      <c r="I2341" s="6" t="n">
        <v>39233.9166666667</v>
      </c>
      <c r="J2341" s="5" t="s">
        <v>19</v>
      </c>
      <c r="K2341" s="5" t="s">
        <v>20</v>
      </c>
      <c r="L2341" s="7" t="s">
        <v>6484</v>
      </c>
    </row>
    <row r="2342" customFormat="false" ht="15.65" hidden="false" customHeight="true" outlineLevel="0" collapsed="false">
      <c r="A2342" s="2" t="str">
        <f aca="false">HYPERLINK("https://www.fabsurplus.com/sdi_catalog/salesItemDetails.do?id=109070")</f>
        <v>https://www.fabsurplus.com/sdi_catalog/salesItemDetails.do?id=109070</v>
      </c>
      <c r="B2342" s="2" t="s">
        <v>6485</v>
      </c>
      <c r="C2342" s="2" t="s">
        <v>6486</v>
      </c>
      <c r="D2342" s="2" t="s">
        <v>6487</v>
      </c>
      <c r="E2342" s="2" t="s">
        <v>6488</v>
      </c>
      <c r="F2342" s="2" t="s">
        <v>3473</v>
      </c>
      <c r="G2342" s="2"/>
      <c r="H2342" s="2" t="s">
        <v>18</v>
      </c>
      <c r="I2342" s="2"/>
      <c r="J2342" s="2" t="s">
        <v>19</v>
      </c>
      <c r="K2342" s="2" t="s">
        <v>20</v>
      </c>
      <c r="L2342" s="2"/>
    </row>
    <row r="2343" customFormat="false" ht="15.65" hidden="false" customHeight="true" outlineLevel="0" collapsed="false">
      <c r="A2343" s="5" t="str">
        <f aca="false">HYPERLINK("https://www.fabsurplus.com/sdi_catalog/salesItemDetails.do?id=109069")</f>
        <v>https://www.fabsurplus.com/sdi_catalog/salesItemDetails.do?id=109069</v>
      </c>
      <c r="B2343" s="5" t="s">
        <v>6489</v>
      </c>
      <c r="C2343" s="5" t="s">
        <v>6490</v>
      </c>
      <c r="D2343" s="5" t="s">
        <v>6491</v>
      </c>
      <c r="E2343" s="5" t="s">
        <v>6492</v>
      </c>
      <c r="F2343" s="5" t="s">
        <v>3473</v>
      </c>
      <c r="G2343" s="5"/>
      <c r="H2343" s="5" t="s">
        <v>18</v>
      </c>
      <c r="I2343" s="5"/>
      <c r="J2343" s="5" t="s">
        <v>19</v>
      </c>
      <c r="K2343" s="5" t="s">
        <v>20</v>
      </c>
      <c r="L2343" s="5"/>
    </row>
    <row r="2344" customFormat="false" ht="15.65" hidden="false" customHeight="true" outlineLevel="0" collapsed="false">
      <c r="A2344" s="2" t="str">
        <f aca="false">HYPERLINK("https://www.fabsurplus.com/sdi_catalog/salesItemDetails.do?id=109074")</f>
        <v>https://www.fabsurplus.com/sdi_catalog/salesItemDetails.do?id=109074</v>
      </c>
      <c r="B2344" s="2" t="s">
        <v>6493</v>
      </c>
      <c r="C2344" s="2" t="s">
        <v>6494</v>
      </c>
      <c r="D2344" s="2" t="s">
        <v>6495</v>
      </c>
      <c r="E2344" s="2" t="s">
        <v>6496</v>
      </c>
      <c r="F2344" s="2" t="s">
        <v>16</v>
      </c>
      <c r="G2344" s="2"/>
      <c r="H2344" s="2" t="s">
        <v>32</v>
      </c>
      <c r="I2344" s="3" t="n">
        <v>41061</v>
      </c>
      <c r="J2344" s="2" t="s">
        <v>19</v>
      </c>
      <c r="K2344" s="2"/>
      <c r="L2344" s="2"/>
    </row>
    <row r="2345" customFormat="false" ht="15.65" hidden="false" customHeight="true" outlineLevel="0" collapsed="false">
      <c r="A2345" s="5" t="str">
        <f aca="false">HYPERLINK("https://www.fabsurplus.com/sdi_catalog/salesItemDetails.do?id=107956")</f>
        <v>https://www.fabsurplus.com/sdi_catalog/salesItemDetails.do?id=107956</v>
      </c>
      <c r="B2345" s="5" t="s">
        <v>6497</v>
      </c>
      <c r="C2345" s="5" t="s">
        <v>6498</v>
      </c>
      <c r="D2345" s="5" t="s">
        <v>6499</v>
      </c>
      <c r="E2345" s="5" t="s">
        <v>279</v>
      </c>
      <c r="F2345" s="5" t="s">
        <v>16</v>
      </c>
      <c r="G2345" s="5" t="s">
        <v>104</v>
      </c>
      <c r="H2345" s="5" t="s">
        <v>32</v>
      </c>
      <c r="I2345" s="5"/>
      <c r="J2345" s="5" t="s">
        <v>19</v>
      </c>
      <c r="K2345" s="5" t="s">
        <v>20</v>
      </c>
      <c r="L2345" s="5" t="s">
        <v>6500</v>
      </c>
    </row>
    <row r="2346" customFormat="false" ht="15.65" hidden="false" customHeight="true" outlineLevel="0" collapsed="false">
      <c r="A2346" s="2" t="str">
        <f aca="false">HYPERLINK("https://www.fabsurplus.com/sdi_catalog/salesItemDetails.do?id=109184")</f>
        <v>https://www.fabsurplus.com/sdi_catalog/salesItemDetails.do?id=109184</v>
      </c>
      <c r="B2346" s="2" t="s">
        <v>6501</v>
      </c>
      <c r="C2346" s="2" t="s">
        <v>6502</v>
      </c>
      <c r="D2346" s="2" t="s">
        <v>6503</v>
      </c>
      <c r="E2346" s="2" t="s">
        <v>6504</v>
      </c>
      <c r="F2346" s="2" t="s">
        <v>16</v>
      </c>
      <c r="G2346" s="2" t="s">
        <v>1803</v>
      </c>
      <c r="H2346" s="2"/>
      <c r="I2346" s="2"/>
      <c r="J2346" s="2" t="s">
        <v>19</v>
      </c>
      <c r="K2346" s="2"/>
      <c r="L2346" s="2"/>
    </row>
    <row r="2347" customFormat="false" ht="15.65" hidden="false" customHeight="true" outlineLevel="0" collapsed="false">
      <c r="A2347" s="5" t="str">
        <f aca="false">HYPERLINK("https://www.fabsurplus.com/sdi_catalog/salesItemDetails.do?id=98465")</f>
        <v>https://www.fabsurplus.com/sdi_catalog/salesItemDetails.do?id=98465</v>
      </c>
      <c r="B2347" s="5" t="s">
        <v>6505</v>
      </c>
      <c r="C2347" s="5" t="s">
        <v>6502</v>
      </c>
      <c r="D2347" s="5" t="s">
        <v>6506</v>
      </c>
      <c r="E2347" s="5" t="s">
        <v>6507</v>
      </c>
      <c r="F2347" s="5" t="s">
        <v>86</v>
      </c>
      <c r="G2347" s="5" t="s">
        <v>6508</v>
      </c>
      <c r="H2347" s="5" t="s">
        <v>32</v>
      </c>
      <c r="I2347" s="5"/>
      <c r="J2347" s="5" t="s">
        <v>19</v>
      </c>
      <c r="K2347" s="5" t="s">
        <v>20</v>
      </c>
      <c r="L2347" s="7" t="s">
        <v>6509</v>
      </c>
    </row>
    <row r="2348" customFormat="false" ht="15.65" hidden="false" customHeight="true" outlineLevel="0" collapsed="false">
      <c r="A2348" s="2" t="str">
        <f aca="false">HYPERLINK("https://www.fabsurplus.com/sdi_catalog/salesItemDetails.do?id=98466")</f>
        <v>https://www.fabsurplus.com/sdi_catalog/salesItemDetails.do?id=98466</v>
      </c>
      <c r="B2348" s="2" t="s">
        <v>6510</v>
      </c>
      <c r="C2348" s="2" t="s">
        <v>6502</v>
      </c>
      <c r="D2348" s="2" t="s">
        <v>6506</v>
      </c>
      <c r="E2348" s="2" t="s">
        <v>6511</v>
      </c>
      <c r="F2348" s="2" t="s">
        <v>151</v>
      </c>
      <c r="G2348" s="2" t="s">
        <v>1293</v>
      </c>
      <c r="H2348" s="2" t="s">
        <v>275</v>
      </c>
      <c r="I2348" s="2"/>
      <c r="J2348" s="2" t="s">
        <v>19</v>
      </c>
      <c r="K2348" s="2" t="s">
        <v>20</v>
      </c>
      <c r="L2348" s="4" t="s">
        <v>6512</v>
      </c>
    </row>
    <row r="2349" customFormat="false" ht="15.65" hidden="false" customHeight="true" outlineLevel="0" collapsed="false">
      <c r="A2349" s="5" t="str">
        <f aca="false">HYPERLINK("https://www.fabsurplus.com/sdi_catalog/salesItemDetails.do?id=109235")</f>
        <v>https://www.fabsurplus.com/sdi_catalog/salesItemDetails.do?id=109235</v>
      </c>
      <c r="B2349" s="5" t="s">
        <v>6513</v>
      </c>
      <c r="C2349" s="5" t="s">
        <v>6502</v>
      </c>
      <c r="D2349" s="5" t="s">
        <v>6506</v>
      </c>
      <c r="E2349" s="5" t="s">
        <v>6504</v>
      </c>
      <c r="F2349" s="5" t="s">
        <v>16</v>
      </c>
      <c r="G2349" s="5" t="s">
        <v>2357</v>
      </c>
      <c r="H2349" s="5"/>
      <c r="I2349" s="5"/>
      <c r="J2349" s="5" t="s">
        <v>19</v>
      </c>
      <c r="K2349" s="5"/>
      <c r="L2349" s="5"/>
    </row>
    <row r="2350" customFormat="false" ht="15.65" hidden="false" customHeight="true" outlineLevel="0" collapsed="false">
      <c r="A2350" s="2" t="str">
        <f aca="false">HYPERLINK("https://www.fabsurplus.com/sdi_catalog/salesItemDetails.do?id=106504")</f>
        <v>https://www.fabsurplus.com/sdi_catalog/salesItemDetails.do?id=106504</v>
      </c>
      <c r="B2350" s="2" t="s">
        <v>6514</v>
      </c>
      <c r="C2350" s="2" t="s">
        <v>6515</v>
      </c>
      <c r="D2350" s="2" t="s">
        <v>6516</v>
      </c>
      <c r="E2350" s="2" t="s">
        <v>6517</v>
      </c>
      <c r="F2350" s="2" t="s">
        <v>16</v>
      </c>
      <c r="G2350" s="2" t="s">
        <v>38</v>
      </c>
      <c r="H2350" s="2" t="s">
        <v>32</v>
      </c>
      <c r="I2350" s="3" t="n">
        <v>33025</v>
      </c>
      <c r="J2350" s="2" t="s">
        <v>19</v>
      </c>
      <c r="K2350" s="2" t="s">
        <v>20</v>
      </c>
      <c r="L2350" s="2" t="s">
        <v>4017</v>
      </c>
    </row>
    <row r="2351" customFormat="false" ht="15.65" hidden="false" customHeight="true" outlineLevel="0" collapsed="false">
      <c r="A2351" s="5" t="str">
        <f aca="false">HYPERLINK("https://www.fabsurplus.com/sdi_catalog/salesItemDetails.do?id=108970")</f>
        <v>https://www.fabsurplus.com/sdi_catalog/salesItemDetails.do?id=108970</v>
      </c>
      <c r="B2351" s="5" t="s">
        <v>6518</v>
      </c>
      <c r="C2351" s="5" t="s">
        <v>6519</v>
      </c>
      <c r="D2351" s="5" t="s">
        <v>6520</v>
      </c>
      <c r="E2351" s="5" t="s">
        <v>6521</v>
      </c>
      <c r="F2351" s="5" t="s">
        <v>16</v>
      </c>
      <c r="G2351" s="5" t="s">
        <v>392</v>
      </c>
      <c r="H2351" s="5" t="s">
        <v>18</v>
      </c>
      <c r="I2351" s="6" t="n">
        <v>40695</v>
      </c>
      <c r="J2351" s="5" t="s">
        <v>19</v>
      </c>
      <c r="K2351" s="5" t="s">
        <v>20</v>
      </c>
      <c r="L2351" s="7" t="s">
        <v>6522</v>
      </c>
    </row>
    <row r="2352" customFormat="false" ht="15.65" hidden="false" customHeight="true" outlineLevel="0" collapsed="false">
      <c r="A2352" s="2" t="str">
        <f aca="false">HYPERLINK("https://www.fabsurplus.com/sdi_catalog/salesItemDetails.do?id=108754")</f>
        <v>https://www.fabsurplus.com/sdi_catalog/salesItemDetails.do?id=108754</v>
      </c>
      <c r="B2352" s="2" t="s">
        <v>6523</v>
      </c>
      <c r="C2352" s="2" t="s">
        <v>6524</v>
      </c>
      <c r="D2352" s="2" t="s">
        <v>6525</v>
      </c>
      <c r="E2352" s="2" t="s">
        <v>6526</v>
      </c>
      <c r="F2352" s="2" t="s">
        <v>16</v>
      </c>
      <c r="G2352" s="2"/>
      <c r="H2352" s="2"/>
      <c r="I2352" s="2"/>
      <c r="J2352" s="2" t="s">
        <v>42</v>
      </c>
      <c r="K2352" s="2"/>
      <c r="L2352" s="2"/>
    </row>
    <row r="2353" customFormat="false" ht="15.65" hidden="false" customHeight="true" outlineLevel="0" collapsed="false">
      <c r="A2353" s="5" t="str">
        <f aca="false">HYPERLINK("https://www.fabsurplus.com/sdi_catalog/salesItemDetails.do?id=108163")</f>
        <v>https://www.fabsurplus.com/sdi_catalog/salesItemDetails.do?id=108163</v>
      </c>
      <c r="B2353" s="5" t="s">
        <v>6527</v>
      </c>
      <c r="C2353" s="5" t="s">
        <v>6528</v>
      </c>
      <c r="D2353" s="5" t="s">
        <v>6529</v>
      </c>
      <c r="E2353" s="5" t="s">
        <v>6530</v>
      </c>
      <c r="F2353" s="5" t="s">
        <v>16</v>
      </c>
      <c r="G2353" s="5"/>
      <c r="H2353" s="5"/>
      <c r="I2353" s="5"/>
      <c r="J2353" s="5" t="s">
        <v>19</v>
      </c>
      <c r="K2353" s="5"/>
      <c r="L2353" s="5" t="s">
        <v>1480</v>
      </c>
    </row>
    <row r="2354" customFormat="false" ht="15.65" hidden="false" customHeight="true" outlineLevel="0" collapsed="false">
      <c r="A2354" s="2" t="str">
        <f aca="false">HYPERLINK("https://www.fabsurplus.com/sdi_catalog/salesItemDetails.do?id=91419")</f>
        <v>https://www.fabsurplus.com/sdi_catalog/salesItemDetails.do?id=91419</v>
      </c>
      <c r="B2354" s="2" t="s">
        <v>6531</v>
      </c>
      <c r="C2354" s="2" t="s">
        <v>6532</v>
      </c>
      <c r="D2354" s="2" t="s">
        <v>6533</v>
      </c>
      <c r="E2354" s="2" t="s">
        <v>6534</v>
      </c>
      <c r="F2354" s="2" t="s">
        <v>16</v>
      </c>
      <c r="G2354" s="2" t="s">
        <v>61</v>
      </c>
      <c r="H2354" s="2"/>
      <c r="I2354" s="2"/>
      <c r="J2354" s="2" t="s">
        <v>19</v>
      </c>
      <c r="K2354" s="2"/>
      <c r="L2354" s="2" t="s">
        <v>142</v>
      </c>
    </row>
    <row r="2355" customFormat="false" ht="15.65" hidden="false" customHeight="true" outlineLevel="0" collapsed="false">
      <c r="A2355" s="5" t="str">
        <f aca="false">HYPERLINK("https://www.fabsurplus.com/sdi_catalog/salesItemDetails.do?id=91420")</f>
        <v>https://www.fabsurplus.com/sdi_catalog/salesItemDetails.do?id=91420</v>
      </c>
      <c r="B2355" s="5" t="s">
        <v>6535</v>
      </c>
      <c r="C2355" s="5" t="s">
        <v>6532</v>
      </c>
      <c r="D2355" s="5" t="s">
        <v>6536</v>
      </c>
      <c r="E2355" s="5" t="s">
        <v>6534</v>
      </c>
      <c r="F2355" s="5" t="s">
        <v>16</v>
      </c>
      <c r="G2355" s="5" t="s">
        <v>38</v>
      </c>
      <c r="H2355" s="5"/>
      <c r="I2355" s="6" t="n">
        <v>37042.9166666667</v>
      </c>
      <c r="J2355" s="5" t="s">
        <v>19</v>
      </c>
      <c r="K2355" s="5"/>
      <c r="L2355" s="5" t="s">
        <v>142</v>
      </c>
    </row>
    <row r="2356" customFormat="false" ht="15.65" hidden="false" customHeight="true" outlineLevel="0" collapsed="false">
      <c r="A2356" s="2" t="str">
        <f aca="false">HYPERLINK("https://www.fabsurplus.com/sdi_catalog/salesItemDetails.do?id=101047")</f>
        <v>https://www.fabsurplus.com/sdi_catalog/salesItemDetails.do?id=101047</v>
      </c>
      <c r="B2356" s="2" t="s">
        <v>6537</v>
      </c>
      <c r="C2356" s="2" t="s">
        <v>6538</v>
      </c>
      <c r="D2356" s="2" t="s">
        <v>6539</v>
      </c>
      <c r="E2356" s="2" t="s">
        <v>6540</v>
      </c>
      <c r="F2356" s="2" t="s">
        <v>16</v>
      </c>
      <c r="G2356" s="2" t="s">
        <v>104</v>
      </c>
      <c r="H2356" s="2" t="s">
        <v>18</v>
      </c>
      <c r="I2356" s="3" t="n">
        <v>41790.9166666667</v>
      </c>
      <c r="J2356" s="2" t="s">
        <v>19</v>
      </c>
      <c r="K2356" s="2" t="s">
        <v>20</v>
      </c>
      <c r="L2356" s="4" t="s">
        <v>6541</v>
      </c>
    </row>
    <row r="2357" customFormat="false" ht="15.65" hidden="false" customHeight="true" outlineLevel="0" collapsed="false">
      <c r="A2357" s="5" t="str">
        <f aca="false">HYPERLINK("https://www.fabsurplus.com/sdi_catalog/salesItemDetails.do?id=108822")</f>
        <v>https://www.fabsurplus.com/sdi_catalog/salesItemDetails.do?id=108822</v>
      </c>
      <c r="B2357" s="5" t="s">
        <v>6542</v>
      </c>
      <c r="C2357" s="5" t="s">
        <v>6543</v>
      </c>
      <c r="D2357" s="5" t="s">
        <v>6544</v>
      </c>
      <c r="E2357" s="5" t="s">
        <v>6236</v>
      </c>
      <c r="F2357" s="5" t="s">
        <v>16</v>
      </c>
      <c r="G2357" s="5"/>
      <c r="H2357" s="5"/>
      <c r="I2357" s="5"/>
      <c r="J2357" s="5" t="s">
        <v>42</v>
      </c>
      <c r="K2357" s="5"/>
      <c r="L2357" s="5" t="s">
        <v>131</v>
      </c>
    </row>
    <row r="2358" customFormat="false" ht="15.65" hidden="false" customHeight="true" outlineLevel="0" collapsed="false">
      <c r="A2358" s="2" t="str">
        <f aca="false">HYPERLINK("https://www.fabsurplus.com/sdi_catalog/salesItemDetails.do?id=91422")</f>
        <v>https://www.fabsurplus.com/sdi_catalog/salesItemDetails.do?id=91422</v>
      </c>
      <c r="B2358" s="2" t="s">
        <v>6545</v>
      </c>
      <c r="C2358" s="2" t="s">
        <v>6543</v>
      </c>
      <c r="D2358" s="2" t="s">
        <v>6546</v>
      </c>
      <c r="E2358" s="2" t="s">
        <v>6175</v>
      </c>
      <c r="F2358" s="2" t="s">
        <v>16</v>
      </c>
      <c r="G2358" s="2"/>
      <c r="H2358" s="2"/>
      <c r="I2358" s="3" t="n">
        <v>36311.9166666667</v>
      </c>
      <c r="J2358" s="2" t="s">
        <v>19</v>
      </c>
      <c r="K2358" s="2"/>
      <c r="L2358" s="2" t="s">
        <v>142</v>
      </c>
    </row>
    <row r="2359" customFormat="false" ht="15.65" hidden="false" customHeight="true" outlineLevel="0" collapsed="false">
      <c r="A2359" s="5" t="str">
        <f aca="false">HYPERLINK("https://www.fabsurplus.com/sdi_catalog/salesItemDetails.do?id=91424")</f>
        <v>https://www.fabsurplus.com/sdi_catalog/salesItemDetails.do?id=91424</v>
      </c>
      <c r="B2359" s="5" t="s">
        <v>6547</v>
      </c>
      <c r="C2359" s="5" t="s">
        <v>6543</v>
      </c>
      <c r="D2359" s="5" t="s">
        <v>6548</v>
      </c>
      <c r="E2359" s="5" t="s">
        <v>6175</v>
      </c>
      <c r="F2359" s="5" t="s">
        <v>16</v>
      </c>
      <c r="G2359" s="5"/>
      <c r="H2359" s="5"/>
      <c r="I2359" s="5"/>
      <c r="J2359" s="5" t="s">
        <v>19</v>
      </c>
      <c r="K2359" s="5"/>
      <c r="L2359" s="5" t="s">
        <v>142</v>
      </c>
    </row>
    <row r="2360" customFormat="false" ht="15.65" hidden="false" customHeight="true" outlineLevel="0" collapsed="false">
      <c r="A2360" s="2" t="str">
        <f aca="false">HYPERLINK("https://www.fabsurplus.com/sdi_catalog/salesItemDetails.do?id=108323")</f>
        <v>https://www.fabsurplus.com/sdi_catalog/salesItemDetails.do?id=108323</v>
      </c>
      <c r="B2360" s="2" t="s">
        <v>6549</v>
      </c>
      <c r="C2360" s="2" t="s">
        <v>6543</v>
      </c>
      <c r="D2360" s="2" t="s">
        <v>6550</v>
      </c>
      <c r="E2360" s="2" t="s">
        <v>6551</v>
      </c>
      <c r="F2360" s="2" t="s">
        <v>16</v>
      </c>
      <c r="G2360" s="2" t="s">
        <v>1803</v>
      </c>
      <c r="H2360" s="2" t="s">
        <v>32</v>
      </c>
      <c r="I2360" s="3" t="n">
        <v>36647</v>
      </c>
      <c r="J2360" s="2" t="s">
        <v>19</v>
      </c>
      <c r="K2360" s="2" t="s">
        <v>20</v>
      </c>
      <c r="L2360" s="4" t="s">
        <v>6552</v>
      </c>
    </row>
    <row r="2361" customFormat="false" ht="15.65" hidden="false" customHeight="true" outlineLevel="0" collapsed="false">
      <c r="A2361" s="5" t="str">
        <f aca="false">HYPERLINK("https://www.fabsurplus.com/sdi_catalog/salesItemDetails.do?id=110627")</f>
        <v>https://www.fabsurplus.com/sdi_catalog/salesItemDetails.do?id=110627</v>
      </c>
      <c r="B2361" s="5" t="s">
        <v>6553</v>
      </c>
      <c r="C2361" s="5" t="s">
        <v>6543</v>
      </c>
      <c r="D2361" s="5" t="s">
        <v>6554</v>
      </c>
      <c r="E2361" s="5" t="s">
        <v>6236</v>
      </c>
      <c r="F2361" s="5" t="s">
        <v>16</v>
      </c>
      <c r="G2361" s="5" t="s">
        <v>3031</v>
      </c>
      <c r="H2361" s="5"/>
      <c r="I2361" s="5"/>
      <c r="J2361" s="5" t="s">
        <v>19</v>
      </c>
      <c r="K2361" s="5"/>
      <c r="L2361" s="7" t="s">
        <v>1617</v>
      </c>
    </row>
    <row r="2362" customFormat="false" ht="15.65" hidden="false" customHeight="true" outlineLevel="0" collapsed="false">
      <c r="A2362" s="2" t="str">
        <f aca="false">HYPERLINK("https://www.fabsurplus.com/sdi_catalog/salesItemDetails.do?id=108324")</f>
        <v>https://www.fabsurplus.com/sdi_catalog/salesItemDetails.do?id=108324</v>
      </c>
      <c r="B2362" s="2" t="s">
        <v>6555</v>
      </c>
      <c r="C2362" s="2" t="s">
        <v>6543</v>
      </c>
      <c r="D2362" s="2" t="s">
        <v>6556</v>
      </c>
      <c r="E2362" s="2" t="s">
        <v>6557</v>
      </c>
      <c r="F2362" s="2" t="s">
        <v>16</v>
      </c>
      <c r="G2362" s="2" t="s">
        <v>1803</v>
      </c>
      <c r="H2362" s="2" t="s">
        <v>32</v>
      </c>
      <c r="I2362" s="2"/>
      <c r="J2362" s="2" t="s">
        <v>19</v>
      </c>
      <c r="K2362" s="2" t="s">
        <v>20</v>
      </c>
      <c r="L2362" s="2" t="s">
        <v>4652</v>
      </c>
    </row>
    <row r="2363" customFormat="false" ht="15.65" hidden="false" customHeight="true" outlineLevel="0" collapsed="false">
      <c r="A2363" s="5" t="str">
        <f aca="false">HYPERLINK("https://www.fabsurplus.com/sdi_catalog/salesItemDetails.do?id=108907")</f>
        <v>https://www.fabsurplus.com/sdi_catalog/salesItemDetails.do?id=108907</v>
      </c>
      <c r="B2363" s="5" t="s">
        <v>6558</v>
      </c>
      <c r="C2363" s="5" t="s">
        <v>6543</v>
      </c>
      <c r="D2363" s="5" t="s">
        <v>6559</v>
      </c>
      <c r="E2363" s="5" t="s">
        <v>6560</v>
      </c>
      <c r="F2363" s="5" t="s">
        <v>16</v>
      </c>
      <c r="G2363" s="5" t="s">
        <v>3031</v>
      </c>
      <c r="H2363" s="5" t="s">
        <v>32</v>
      </c>
      <c r="I2363" s="6" t="n">
        <v>38838</v>
      </c>
      <c r="J2363" s="5" t="s">
        <v>19</v>
      </c>
      <c r="K2363" s="5" t="s">
        <v>20</v>
      </c>
      <c r="L2363" s="7" t="s">
        <v>6561</v>
      </c>
    </row>
    <row r="2364" customFormat="false" ht="15.65" hidden="false" customHeight="true" outlineLevel="0" collapsed="false">
      <c r="A2364" s="2" t="str">
        <f aca="false">HYPERLINK("https://www.fabsurplus.com/sdi_catalog/salesItemDetails.do?id=109185")</f>
        <v>https://www.fabsurplus.com/sdi_catalog/salesItemDetails.do?id=109185</v>
      </c>
      <c r="B2364" s="2" t="s">
        <v>6562</v>
      </c>
      <c r="C2364" s="2" t="s">
        <v>6543</v>
      </c>
      <c r="D2364" s="2" t="s">
        <v>6563</v>
      </c>
      <c r="E2364" s="2" t="s">
        <v>6564</v>
      </c>
      <c r="F2364" s="2" t="s">
        <v>16</v>
      </c>
      <c r="G2364" s="2" t="s">
        <v>3031</v>
      </c>
      <c r="H2364" s="2"/>
      <c r="I2364" s="2"/>
      <c r="J2364" s="2" t="s">
        <v>19</v>
      </c>
      <c r="K2364" s="2"/>
      <c r="L2364" s="2"/>
    </row>
    <row r="2365" customFormat="false" ht="15.65" hidden="false" customHeight="true" outlineLevel="0" collapsed="false">
      <c r="A2365" s="5" t="str">
        <f aca="false">HYPERLINK("https://www.fabsurplus.com/sdi_catalog/salesItemDetails.do?id=109186")</f>
        <v>https://www.fabsurplus.com/sdi_catalog/salesItemDetails.do?id=109186</v>
      </c>
      <c r="B2365" s="5" t="s">
        <v>6565</v>
      </c>
      <c r="C2365" s="5" t="s">
        <v>6543</v>
      </c>
      <c r="D2365" s="5" t="s">
        <v>6566</v>
      </c>
      <c r="E2365" s="5" t="s">
        <v>6551</v>
      </c>
      <c r="F2365" s="5" t="s">
        <v>16</v>
      </c>
      <c r="G2365" s="5" t="s">
        <v>1803</v>
      </c>
      <c r="H2365" s="5"/>
      <c r="I2365" s="5"/>
      <c r="J2365" s="5" t="s">
        <v>19</v>
      </c>
      <c r="K2365" s="5"/>
      <c r="L2365" s="5"/>
    </row>
    <row r="2366" customFormat="false" ht="15.65" hidden="false" customHeight="true" outlineLevel="0" collapsed="false">
      <c r="A2366" s="2" t="str">
        <f aca="false">HYPERLINK("https://www.fabsurplus.com/sdi_catalog/salesItemDetails.do?id=109187")</f>
        <v>https://www.fabsurplus.com/sdi_catalog/salesItemDetails.do?id=109187</v>
      </c>
      <c r="B2366" s="2" t="s">
        <v>6567</v>
      </c>
      <c r="C2366" s="2" t="s">
        <v>6543</v>
      </c>
      <c r="D2366" s="2" t="s">
        <v>6568</v>
      </c>
      <c r="E2366" s="2" t="s">
        <v>6175</v>
      </c>
      <c r="F2366" s="2" t="s">
        <v>16</v>
      </c>
      <c r="G2366" s="2" t="s">
        <v>3031</v>
      </c>
      <c r="H2366" s="2"/>
      <c r="I2366" s="2"/>
      <c r="J2366" s="2" t="s">
        <v>19</v>
      </c>
      <c r="K2366" s="2"/>
      <c r="L2366" s="2"/>
    </row>
    <row r="2367" customFormat="false" ht="15.65" hidden="false" customHeight="true" outlineLevel="0" collapsed="false">
      <c r="A2367" s="5" t="str">
        <f aca="false">HYPERLINK("https://www.fabsurplus.com/sdi_catalog/salesItemDetails.do?id=108164")</f>
        <v>https://www.fabsurplus.com/sdi_catalog/salesItemDetails.do?id=108164</v>
      </c>
      <c r="B2367" s="5" t="s">
        <v>6569</v>
      </c>
      <c r="C2367" s="5" t="s">
        <v>6543</v>
      </c>
      <c r="D2367" s="5" t="s">
        <v>6570</v>
      </c>
      <c r="E2367" s="5" t="s">
        <v>6571</v>
      </c>
      <c r="F2367" s="5" t="s">
        <v>16</v>
      </c>
      <c r="G2367" s="5"/>
      <c r="H2367" s="5"/>
      <c r="I2367" s="5"/>
      <c r="J2367" s="5" t="s">
        <v>19</v>
      </c>
      <c r="K2367" s="5"/>
      <c r="L2367" s="5" t="s">
        <v>1480</v>
      </c>
    </row>
    <row r="2368" customFormat="false" ht="15.65" hidden="false" customHeight="true" outlineLevel="0" collapsed="false">
      <c r="A2368" s="2" t="str">
        <f aca="false">HYPERLINK("https://www.fabsurplus.com/sdi_catalog/salesItemDetails.do?id=109188")</f>
        <v>https://www.fabsurplus.com/sdi_catalog/salesItemDetails.do?id=109188</v>
      </c>
      <c r="B2368" s="2" t="s">
        <v>6572</v>
      </c>
      <c r="C2368" s="2" t="s">
        <v>6543</v>
      </c>
      <c r="D2368" s="2" t="s">
        <v>6573</v>
      </c>
      <c r="E2368" s="2" t="s">
        <v>6574</v>
      </c>
      <c r="F2368" s="2" t="s">
        <v>16</v>
      </c>
      <c r="G2368" s="2" t="s">
        <v>1798</v>
      </c>
      <c r="H2368" s="2"/>
      <c r="I2368" s="2"/>
      <c r="J2368" s="2" t="s">
        <v>19</v>
      </c>
      <c r="K2368" s="2"/>
      <c r="L2368" s="2"/>
    </row>
    <row r="2369" customFormat="false" ht="15.65" hidden="false" customHeight="true" outlineLevel="0" collapsed="false">
      <c r="A2369" s="5" t="str">
        <f aca="false">HYPERLINK("https://www.fabsurplus.com/sdi_catalog/salesItemDetails.do?id=106668")</f>
        <v>https://www.fabsurplus.com/sdi_catalog/salesItemDetails.do?id=106668</v>
      </c>
      <c r="B2369" s="5" t="s">
        <v>6575</v>
      </c>
      <c r="C2369" s="5" t="s">
        <v>6543</v>
      </c>
      <c r="D2369" s="5" t="s">
        <v>6576</v>
      </c>
      <c r="E2369" s="5" t="s">
        <v>6577</v>
      </c>
      <c r="F2369" s="5" t="s">
        <v>16</v>
      </c>
      <c r="G2369" s="5" t="s">
        <v>38</v>
      </c>
      <c r="H2369" s="5"/>
      <c r="I2369" s="5"/>
      <c r="J2369" s="5" t="s">
        <v>19</v>
      </c>
      <c r="K2369" s="5"/>
      <c r="L2369" s="5" t="s">
        <v>518</v>
      </c>
    </row>
    <row r="2370" customFormat="false" ht="15.65" hidden="false" customHeight="true" outlineLevel="0" collapsed="false">
      <c r="A2370" s="2" t="str">
        <f aca="false">HYPERLINK("https://www.fabsurplus.com/sdi_catalog/salesItemDetails.do?id=36564")</f>
        <v>https://www.fabsurplus.com/sdi_catalog/salesItemDetails.do?id=36564</v>
      </c>
      <c r="B2370" s="2" t="s">
        <v>6578</v>
      </c>
      <c r="C2370" s="2" t="s">
        <v>6543</v>
      </c>
      <c r="D2370" s="2" t="s">
        <v>6579</v>
      </c>
      <c r="E2370" s="2" t="s">
        <v>6543</v>
      </c>
      <c r="F2370" s="2" t="s">
        <v>16</v>
      </c>
      <c r="G2370" s="2"/>
      <c r="H2370" s="2"/>
      <c r="I2370" s="2"/>
      <c r="J2370" s="2" t="s">
        <v>42</v>
      </c>
      <c r="K2370" s="2"/>
      <c r="L2370" s="2"/>
    </row>
    <row r="2371" customFormat="false" ht="15.65" hidden="false" customHeight="true" outlineLevel="0" collapsed="false">
      <c r="A2371" s="5" t="str">
        <f aca="false">HYPERLINK("https://www.fabsurplus.com/sdi_catalog/salesItemDetails.do?id=109558")</f>
        <v>https://www.fabsurplus.com/sdi_catalog/salesItemDetails.do?id=109558</v>
      </c>
      <c r="B2371" s="5" t="s">
        <v>6580</v>
      </c>
      <c r="C2371" s="5" t="s">
        <v>6543</v>
      </c>
      <c r="D2371" s="5" t="s">
        <v>6581</v>
      </c>
      <c r="E2371" s="5" t="s">
        <v>6257</v>
      </c>
      <c r="F2371" s="5" t="s">
        <v>16</v>
      </c>
      <c r="G2371" s="5" t="s">
        <v>3031</v>
      </c>
      <c r="H2371" s="5"/>
      <c r="I2371" s="6" t="n">
        <v>39934</v>
      </c>
      <c r="J2371" s="5" t="s">
        <v>19</v>
      </c>
      <c r="K2371" s="5" t="s">
        <v>20</v>
      </c>
      <c r="L2371" s="5"/>
    </row>
    <row r="2372" customFormat="false" ht="15.65" hidden="false" customHeight="true" outlineLevel="0" collapsed="false">
      <c r="A2372" s="2" t="str">
        <f aca="false">HYPERLINK("https://www.fabsurplus.com/sdi_catalog/salesItemDetails.do?id=98726")</f>
        <v>https://www.fabsurplus.com/sdi_catalog/salesItemDetails.do?id=98726</v>
      </c>
      <c r="B2372" s="2" t="s">
        <v>6582</v>
      </c>
      <c r="C2372" s="2" t="s">
        <v>6583</v>
      </c>
      <c r="D2372" s="2" t="s">
        <v>6584</v>
      </c>
      <c r="E2372" s="2" t="s">
        <v>6585</v>
      </c>
      <c r="F2372" s="2" t="s">
        <v>16</v>
      </c>
      <c r="G2372" s="2" t="s">
        <v>31</v>
      </c>
      <c r="H2372" s="2" t="s">
        <v>32</v>
      </c>
      <c r="I2372" s="3" t="n">
        <v>39599.9166666667</v>
      </c>
      <c r="J2372" s="2" t="s">
        <v>19</v>
      </c>
      <c r="K2372" s="2" t="s">
        <v>20</v>
      </c>
      <c r="L2372" s="2" t="s">
        <v>6586</v>
      </c>
    </row>
    <row r="2373" customFormat="false" ht="15.65" hidden="false" customHeight="true" outlineLevel="0" collapsed="false">
      <c r="A2373" s="5" t="str">
        <f aca="false">HYPERLINK("https://www.fabsurplus.com/sdi_catalog/salesItemDetails.do?id=98727")</f>
        <v>https://www.fabsurplus.com/sdi_catalog/salesItemDetails.do?id=98727</v>
      </c>
      <c r="B2373" s="5" t="s">
        <v>6587</v>
      </c>
      <c r="C2373" s="5" t="s">
        <v>6583</v>
      </c>
      <c r="D2373" s="5" t="s">
        <v>6588</v>
      </c>
      <c r="E2373" s="5" t="s">
        <v>6589</v>
      </c>
      <c r="F2373" s="5" t="s">
        <v>16</v>
      </c>
      <c r="G2373" s="5" t="s">
        <v>31</v>
      </c>
      <c r="H2373" s="5" t="s">
        <v>32</v>
      </c>
      <c r="I2373" s="6" t="n">
        <v>39569</v>
      </c>
      <c r="J2373" s="5" t="s">
        <v>19</v>
      </c>
      <c r="K2373" s="5" t="s">
        <v>20</v>
      </c>
      <c r="L2373" s="7" t="s">
        <v>6590</v>
      </c>
    </row>
    <row r="2374" customFormat="false" ht="15.65" hidden="false" customHeight="true" outlineLevel="0" collapsed="false">
      <c r="A2374" s="2" t="str">
        <f aca="false">HYPERLINK("https://www.fabsurplus.com/sdi_catalog/salesItemDetails.do?id=98728")</f>
        <v>https://www.fabsurplus.com/sdi_catalog/salesItemDetails.do?id=98728</v>
      </c>
      <c r="B2374" s="2" t="s">
        <v>6591</v>
      </c>
      <c r="C2374" s="2" t="s">
        <v>6583</v>
      </c>
      <c r="D2374" s="2" t="s">
        <v>6592</v>
      </c>
      <c r="E2374" s="2" t="s">
        <v>6593</v>
      </c>
      <c r="F2374" s="2" t="s">
        <v>16</v>
      </c>
      <c r="G2374" s="2" t="s">
        <v>31</v>
      </c>
      <c r="H2374" s="2" t="s">
        <v>32</v>
      </c>
      <c r="I2374" s="3" t="n">
        <v>39569</v>
      </c>
      <c r="J2374" s="2" t="s">
        <v>19</v>
      </c>
      <c r="K2374" s="2" t="s">
        <v>20</v>
      </c>
      <c r="L2374" s="2" t="s">
        <v>6594</v>
      </c>
    </row>
    <row r="2375" customFormat="false" ht="15.65" hidden="false" customHeight="true" outlineLevel="0" collapsed="false">
      <c r="A2375" s="5" t="str">
        <f aca="false">HYPERLINK("https://www.fabsurplus.com/sdi_catalog/salesItemDetails.do?id=77014")</f>
        <v>https://www.fabsurplus.com/sdi_catalog/salesItemDetails.do?id=77014</v>
      </c>
      <c r="B2375" s="5" t="s">
        <v>6595</v>
      </c>
      <c r="C2375" s="5" t="s">
        <v>6583</v>
      </c>
      <c r="D2375" s="5" t="s">
        <v>6596</v>
      </c>
      <c r="E2375" s="5" t="s">
        <v>6597</v>
      </c>
      <c r="F2375" s="5" t="s">
        <v>16</v>
      </c>
      <c r="G2375" s="5" t="s">
        <v>17</v>
      </c>
      <c r="H2375" s="5" t="s">
        <v>18</v>
      </c>
      <c r="I2375" s="6" t="n">
        <v>38869</v>
      </c>
      <c r="J2375" s="5" t="s">
        <v>19</v>
      </c>
      <c r="K2375" s="5" t="s">
        <v>20</v>
      </c>
      <c r="L2375" s="7" t="s">
        <v>6598</v>
      </c>
    </row>
    <row r="2376" customFormat="false" ht="15.65" hidden="false" customHeight="true" outlineLevel="0" collapsed="false">
      <c r="A2376" s="2" t="str">
        <f aca="false">HYPERLINK("https://www.fabsurplus.com/sdi_catalog/salesItemDetails.do?id=56310")</f>
        <v>https://www.fabsurplus.com/sdi_catalog/salesItemDetails.do?id=56310</v>
      </c>
      <c r="B2376" s="2" t="s">
        <v>6599</v>
      </c>
      <c r="C2376" s="2" t="s">
        <v>6583</v>
      </c>
      <c r="D2376" s="2" t="s">
        <v>6600</v>
      </c>
      <c r="E2376" s="2" t="s">
        <v>6601</v>
      </c>
      <c r="F2376" s="2" t="s">
        <v>16</v>
      </c>
      <c r="G2376" s="2" t="s">
        <v>6602</v>
      </c>
      <c r="H2376" s="2" t="s">
        <v>18</v>
      </c>
      <c r="I2376" s="3" t="n">
        <v>37772.9166666667</v>
      </c>
      <c r="J2376" s="2" t="s">
        <v>19</v>
      </c>
      <c r="K2376" s="2" t="s">
        <v>20</v>
      </c>
      <c r="L2376" s="4" t="s">
        <v>6603</v>
      </c>
    </row>
    <row r="2377" customFormat="false" ht="15.65" hidden="false" customHeight="true" outlineLevel="0" collapsed="false">
      <c r="A2377" s="5" t="str">
        <f aca="false">HYPERLINK("https://www.fabsurplus.com/sdi_catalog/salesItemDetails.do?id=91427")</f>
        <v>https://www.fabsurplus.com/sdi_catalog/salesItemDetails.do?id=91427</v>
      </c>
      <c r="B2377" s="5" t="s">
        <v>6604</v>
      </c>
      <c r="C2377" s="5" t="s">
        <v>6605</v>
      </c>
      <c r="D2377" s="5" t="s">
        <v>6606</v>
      </c>
      <c r="E2377" s="5" t="s">
        <v>6607</v>
      </c>
      <c r="F2377" s="5" t="s">
        <v>16</v>
      </c>
      <c r="G2377" s="5" t="s">
        <v>61</v>
      </c>
      <c r="H2377" s="5"/>
      <c r="I2377" s="5"/>
      <c r="J2377" s="5" t="s">
        <v>19</v>
      </c>
      <c r="K2377" s="5"/>
      <c r="L2377" s="5" t="s">
        <v>142</v>
      </c>
    </row>
    <row r="2378" customFormat="false" ht="15.65" hidden="false" customHeight="true" outlineLevel="0" collapsed="false">
      <c r="A2378" s="2" t="str">
        <f aca="false">HYPERLINK("https://www.fabsurplus.com/sdi_catalog/salesItemDetails.do?id=100917")</f>
        <v>https://www.fabsurplus.com/sdi_catalog/salesItemDetails.do?id=100917</v>
      </c>
      <c r="B2378" s="2" t="s">
        <v>6608</v>
      </c>
      <c r="C2378" s="2" t="s">
        <v>6605</v>
      </c>
      <c r="D2378" s="2" t="s">
        <v>6609</v>
      </c>
      <c r="E2378" s="2" t="s">
        <v>6610</v>
      </c>
      <c r="F2378" s="2" t="s">
        <v>16</v>
      </c>
      <c r="G2378" s="2" t="s">
        <v>61</v>
      </c>
      <c r="H2378" s="2"/>
      <c r="I2378" s="3" t="n">
        <v>40329.9166666667</v>
      </c>
      <c r="J2378" s="2" t="s">
        <v>19</v>
      </c>
      <c r="K2378" s="2"/>
      <c r="L2378" s="2" t="s">
        <v>1539</v>
      </c>
    </row>
    <row r="2379" customFormat="false" ht="15.65" hidden="false" customHeight="true" outlineLevel="0" collapsed="false">
      <c r="A2379" s="5" t="str">
        <f aca="false">HYPERLINK("https://www.fabsurplus.com/sdi_catalog/salesItemDetails.do?id=99830")</f>
        <v>https://www.fabsurplus.com/sdi_catalog/salesItemDetails.do?id=99830</v>
      </c>
      <c r="B2379" s="5" t="s">
        <v>6611</v>
      </c>
      <c r="C2379" s="5" t="s">
        <v>6612</v>
      </c>
      <c r="D2379" s="5" t="s">
        <v>6613</v>
      </c>
      <c r="E2379" s="5" t="s">
        <v>6614</v>
      </c>
      <c r="F2379" s="5" t="s">
        <v>16</v>
      </c>
      <c r="G2379" s="5" t="s">
        <v>61</v>
      </c>
      <c r="H2379" s="5" t="s">
        <v>32</v>
      </c>
      <c r="I2379" s="6" t="n">
        <v>40602.9583333333</v>
      </c>
      <c r="J2379" s="5" t="s">
        <v>19</v>
      </c>
      <c r="K2379" s="5" t="s">
        <v>20</v>
      </c>
      <c r="L2379" s="7" t="s">
        <v>6615</v>
      </c>
    </row>
    <row r="2380" customFormat="false" ht="15.65" hidden="false" customHeight="true" outlineLevel="0" collapsed="false">
      <c r="A2380" s="2" t="str">
        <f aca="false">HYPERLINK("https://www.fabsurplus.com/sdi_catalog/salesItemDetails.do?id=108415")</f>
        <v>https://www.fabsurplus.com/sdi_catalog/salesItemDetails.do?id=108415</v>
      </c>
      <c r="B2380" s="2" t="s">
        <v>6616</v>
      </c>
      <c r="C2380" s="2" t="s">
        <v>6617</v>
      </c>
      <c r="D2380" s="2" t="s">
        <v>6618</v>
      </c>
      <c r="E2380" s="2" t="s">
        <v>6619</v>
      </c>
      <c r="F2380" s="2" t="s">
        <v>16</v>
      </c>
      <c r="G2380" s="2" t="s">
        <v>61</v>
      </c>
      <c r="H2380" s="2"/>
      <c r="I2380" s="2"/>
      <c r="J2380" s="2" t="s">
        <v>19</v>
      </c>
      <c r="K2380" s="2"/>
      <c r="L2380" s="2"/>
    </row>
    <row r="2381" customFormat="false" ht="15.65" hidden="false" customHeight="true" outlineLevel="0" collapsed="false">
      <c r="A2381" s="5" t="str">
        <f aca="false">HYPERLINK("https://www.fabsurplus.com/sdi_catalog/salesItemDetails.do?id=84552")</f>
        <v>https://www.fabsurplus.com/sdi_catalog/salesItemDetails.do?id=84552</v>
      </c>
      <c r="B2381" s="5" t="s">
        <v>6620</v>
      </c>
      <c r="C2381" s="5" t="s">
        <v>6621</v>
      </c>
      <c r="D2381" s="5" t="s">
        <v>6622</v>
      </c>
      <c r="E2381" s="5" t="s">
        <v>877</v>
      </c>
      <c r="F2381" s="5" t="s">
        <v>16</v>
      </c>
      <c r="G2381" s="5" t="s">
        <v>97</v>
      </c>
      <c r="H2381" s="5" t="s">
        <v>32</v>
      </c>
      <c r="I2381" s="5"/>
      <c r="J2381" s="5" t="s">
        <v>19</v>
      </c>
      <c r="K2381" s="5" t="s">
        <v>20</v>
      </c>
      <c r="L2381" s="7" t="s">
        <v>6623</v>
      </c>
    </row>
    <row r="2382" customFormat="false" ht="15.65" hidden="false" customHeight="true" outlineLevel="0" collapsed="false">
      <c r="A2382" s="2" t="str">
        <f aca="false">HYPERLINK("https://www.fabsurplus.com/sdi_catalog/salesItemDetails.do?id=109042")</f>
        <v>https://www.fabsurplus.com/sdi_catalog/salesItemDetails.do?id=109042</v>
      </c>
      <c r="B2382" s="2" t="s">
        <v>6624</v>
      </c>
      <c r="C2382" s="2" t="s">
        <v>6625</v>
      </c>
      <c r="D2382" s="2" t="s">
        <v>6626</v>
      </c>
      <c r="E2382" s="2" t="s">
        <v>6627</v>
      </c>
      <c r="F2382" s="2" t="s">
        <v>16</v>
      </c>
      <c r="G2382" s="2" t="s">
        <v>38</v>
      </c>
      <c r="H2382" s="2" t="s">
        <v>32</v>
      </c>
      <c r="I2382" s="3" t="n">
        <v>38687</v>
      </c>
      <c r="J2382" s="2" t="s">
        <v>19</v>
      </c>
      <c r="K2382" s="2" t="s">
        <v>20</v>
      </c>
      <c r="L2382" s="4" t="s">
        <v>6628</v>
      </c>
    </row>
    <row r="2383" customFormat="false" ht="15.65" hidden="false" customHeight="true" outlineLevel="0" collapsed="false">
      <c r="A2383" s="5" t="str">
        <f aca="false">HYPERLINK("https://www.fabsurplus.com/sdi_catalog/salesItemDetails.do?id=106917")</f>
        <v>https://www.fabsurplus.com/sdi_catalog/salesItemDetails.do?id=106917</v>
      </c>
      <c r="B2383" s="5" t="s">
        <v>6629</v>
      </c>
      <c r="C2383" s="5" t="s">
        <v>6630</v>
      </c>
      <c r="D2383" s="5" t="s">
        <v>6631</v>
      </c>
      <c r="E2383" s="5" t="s">
        <v>6632</v>
      </c>
      <c r="F2383" s="5" t="s">
        <v>16</v>
      </c>
      <c r="G2383" s="5" t="s">
        <v>2327</v>
      </c>
      <c r="H2383" s="5" t="s">
        <v>32</v>
      </c>
      <c r="I2383" s="5"/>
      <c r="J2383" s="5" t="s">
        <v>19</v>
      </c>
      <c r="K2383" s="5" t="s">
        <v>20</v>
      </c>
      <c r="L2383" s="7" t="s">
        <v>6633</v>
      </c>
    </row>
    <row r="2384" customFormat="false" ht="15.65" hidden="false" customHeight="true" outlineLevel="0" collapsed="false">
      <c r="A2384" s="2" t="str">
        <f aca="false">HYPERLINK("https://www.fabsurplus.com/sdi_catalog/salesItemDetails.do?id=18866")</f>
        <v>https://www.fabsurplus.com/sdi_catalog/salesItemDetails.do?id=18866</v>
      </c>
      <c r="B2384" s="2" t="s">
        <v>6634</v>
      </c>
      <c r="C2384" s="2" t="s">
        <v>6630</v>
      </c>
      <c r="D2384" s="2" t="s">
        <v>6635</v>
      </c>
      <c r="E2384" s="2" t="s">
        <v>6636</v>
      </c>
      <c r="F2384" s="2" t="s">
        <v>16</v>
      </c>
      <c r="G2384" s="2"/>
      <c r="H2384" s="2"/>
      <c r="I2384" s="2"/>
      <c r="J2384" s="2" t="s">
        <v>19</v>
      </c>
      <c r="K2384" s="2"/>
      <c r="L2384" s="2"/>
    </row>
    <row r="2385" customFormat="false" ht="15.65" hidden="false" customHeight="true" outlineLevel="0" collapsed="false">
      <c r="A2385" s="5" t="str">
        <f aca="false">HYPERLINK("https://www.fabsurplus.com/sdi_catalog/salesItemDetails.do?id=109028")</f>
        <v>https://www.fabsurplus.com/sdi_catalog/salesItemDetails.do?id=109028</v>
      </c>
      <c r="B2385" s="5" t="s">
        <v>6637</v>
      </c>
      <c r="C2385" s="5" t="s">
        <v>6630</v>
      </c>
      <c r="D2385" s="5" t="s">
        <v>6638</v>
      </c>
      <c r="E2385" s="5" t="s">
        <v>6639</v>
      </c>
      <c r="F2385" s="5" t="s">
        <v>16</v>
      </c>
      <c r="G2385" s="5" t="s">
        <v>1362</v>
      </c>
      <c r="H2385" s="5" t="s">
        <v>32</v>
      </c>
      <c r="I2385" s="6" t="n">
        <v>36586</v>
      </c>
      <c r="J2385" s="5" t="s">
        <v>19</v>
      </c>
      <c r="K2385" s="5" t="s">
        <v>20</v>
      </c>
      <c r="L2385" s="7" t="s">
        <v>2388</v>
      </c>
    </row>
    <row r="2386" customFormat="false" ht="15.65" hidden="false" customHeight="true" outlineLevel="0" collapsed="false">
      <c r="A2386" s="2" t="str">
        <f aca="false">HYPERLINK("https://www.fabsurplus.com/sdi_catalog/salesItemDetails.do?id=79595")</f>
        <v>https://www.fabsurplus.com/sdi_catalog/salesItemDetails.do?id=79595</v>
      </c>
      <c r="B2386" s="2" t="s">
        <v>6640</v>
      </c>
      <c r="C2386" s="2" t="s">
        <v>6641</v>
      </c>
      <c r="D2386" s="2" t="s">
        <v>6642</v>
      </c>
      <c r="E2386" s="2" t="s">
        <v>6643</v>
      </c>
      <c r="F2386" s="2" t="s">
        <v>16</v>
      </c>
      <c r="G2386" s="2" t="s">
        <v>1362</v>
      </c>
      <c r="H2386" s="2" t="s">
        <v>18</v>
      </c>
      <c r="I2386" s="3" t="n">
        <v>40329.9166666667</v>
      </c>
      <c r="J2386" s="2" t="s">
        <v>19</v>
      </c>
      <c r="K2386" s="2" t="s">
        <v>20</v>
      </c>
      <c r="L2386" s="4" t="s">
        <v>6644</v>
      </c>
    </row>
    <row r="2387" customFormat="false" ht="15.65" hidden="false" customHeight="true" outlineLevel="0" collapsed="false">
      <c r="A2387" s="5" t="str">
        <f aca="false">HYPERLINK("https://www.fabsurplus.com/sdi_catalog/salesItemDetails.do?id=108823")</f>
        <v>https://www.fabsurplus.com/sdi_catalog/salesItemDetails.do?id=108823</v>
      </c>
      <c r="B2387" s="5" t="s">
        <v>6645</v>
      </c>
      <c r="C2387" s="5" t="s">
        <v>6646</v>
      </c>
      <c r="D2387" s="5" t="s">
        <v>6647</v>
      </c>
      <c r="E2387" s="5" t="s">
        <v>6648</v>
      </c>
      <c r="F2387" s="5" t="s">
        <v>16</v>
      </c>
      <c r="G2387" s="5" t="s">
        <v>2327</v>
      </c>
      <c r="H2387" s="5"/>
      <c r="I2387" s="5"/>
      <c r="J2387" s="5" t="s">
        <v>42</v>
      </c>
      <c r="K2387" s="5"/>
      <c r="L2387" s="5" t="s">
        <v>131</v>
      </c>
    </row>
    <row r="2388" customFormat="false" ht="15.65" hidden="false" customHeight="true" outlineLevel="0" collapsed="false">
      <c r="A2388" s="2" t="str">
        <f aca="false">HYPERLINK("https://www.fabsurplus.com/sdi_catalog/salesItemDetails.do?id=108824")</f>
        <v>https://www.fabsurplus.com/sdi_catalog/salesItemDetails.do?id=108824</v>
      </c>
      <c r="B2388" s="2" t="s">
        <v>6649</v>
      </c>
      <c r="C2388" s="2" t="s">
        <v>6646</v>
      </c>
      <c r="D2388" s="2" t="s">
        <v>6650</v>
      </c>
      <c r="E2388" s="2" t="s">
        <v>6651</v>
      </c>
      <c r="F2388" s="2" t="s">
        <v>16</v>
      </c>
      <c r="G2388" s="2" t="s">
        <v>2327</v>
      </c>
      <c r="H2388" s="2"/>
      <c r="I2388" s="2"/>
      <c r="J2388" s="2" t="s">
        <v>42</v>
      </c>
      <c r="K2388" s="2"/>
      <c r="L2388" s="2" t="s">
        <v>131</v>
      </c>
    </row>
    <row r="2389" customFormat="false" ht="15.65" hidden="false" customHeight="true" outlineLevel="0" collapsed="false">
      <c r="A2389" s="5" t="str">
        <f aca="false">HYPERLINK("https://www.fabsurplus.com/sdi_catalog/salesItemDetails.do?id=108825")</f>
        <v>https://www.fabsurplus.com/sdi_catalog/salesItemDetails.do?id=108825</v>
      </c>
      <c r="B2389" s="5" t="s">
        <v>6652</v>
      </c>
      <c r="C2389" s="5" t="s">
        <v>6646</v>
      </c>
      <c r="D2389" s="5" t="s">
        <v>6653</v>
      </c>
      <c r="E2389" s="5" t="s">
        <v>6654</v>
      </c>
      <c r="F2389" s="5" t="s">
        <v>16</v>
      </c>
      <c r="G2389" s="5" t="s">
        <v>2327</v>
      </c>
      <c r="H2389" s="5" t="s">
        <v>18</v>
      </c>
      <c r="I2389" s="5"/>
      <c r="J2389" s="5" t="s">
        <v>286</v>
      </c>
      <c r="K2389" s="5"/>
      <c r="L2389" s="7" t="s">
        <v>6655</v>
      </c>
    </row>
    <row r="2390" customFormat="false" ht="15.65" hidden="false" customHeight="true" outlineLevel="0" collapsed="false">
      <c r="A2390" s="2" t="str">
        <f aca="false">HYPERLINK("https://www.fabsurplus.com/sdi_catalog/salesItemDetails.do?id=108826")</f>
        <v>https://www.fabsurplus.com/sdi_catalog/salesItemDetails.do?id=108826</v>
      </c>
      <c r="B2390" s="2" t="s">
        <v>6656</v>
      </c>
      <c r="C2390" s="2" t="s">
        <v>6646</v>
      </c>
      <c r="D2390" s="2" t="s">
        <v>6657</v>
      </c>
      <c r="E2390" s="2" t="s">
        <v>6658</v>
      </c>
      <c r="F2390" s="2" t="s">
        <v>16</v>
      </c>
      <c r="G2390" s="2" t="s">
        <v>2327</v>
      </c>
      <c r="H2390" s="2"/>
      <c r="I2390" s="2"/>
      <c r="J2390" s="2" t="s">
        <v>42</v>
      </c>
      <c r="K2390" s="2"/>
      <c r="L2390" s="2" t="s">
        <v>131</v>
      </c>
    </row>
    <row r="2391" customFormat="false" ht="15.65" hidden="false" customHeight="true" outlineLevel="0" collapsed="false">
      <c r="A2391" s="5" t="str">
        <f aca="false">HYPERLINK("https://www.fabsurplus.com/sdi_catalog/salesItemDetails.do?id=108827")</f>
        <v>https://www.fabsurplus.com/sdi_catalog/salesItemDetails.do?id=108827</v>
      </c>
      <c r="B2391" s="5" t="s">
        <v>6659</v>
      </c>
      <c r="C2391" s="5" t="s">
        <v>6646</v>
      </c>
      <c r="D2391" s="5" t="s">
        <v>6660</v>
      </c>
      <c r="E2391" s="5" t="s">
        <v>6661</v>
      </c>
      <c r="F2391" s="5" t="s">
        <v>16</v>
      </c>
      <c r="G2391" s="5" t="s">
        <v>2327</v>
      </c>
      <c r="H2391" s="5" t="s">
        <v>18</v>
      </c>
      <c r="I2391" s="5"/>
      <c r="J2391" s="5" t="s">
        <v>286</v>
      </c>
      <c r="K2391" s="5" t="s">
        <v>1560</v>
      </c>
      <c r="L2391" s="7" t="s">
        <v>6662</v>
      </c>
    </row>
    <row r="2392" customFormat="false" ht="15.65" hidden="false" customHeight="true" outlineLevel="0" collapsed="false">
      <c r="A2392" s="2" t="str">
        <f aca="false">HYPERLINK("https://www.fabsurplus.com/sdi_catalog/salesItemDetails.do?id=108828")</f>
        <v>https://www.fabsurplus.com/sdi_catalog/salesItemDetails.do?id=108828</v>
      </c>
      <c r="B2392" s="2" t="s">
        <v>6663</v>
      </c>
      <c r="C2392" s="2" t="s">
        <v>6646</v>
      </c>
      <c r="D2392" s="2" t="s">
        <v>6664</v>
      </c>
      <c r="E2392" s="2" t="s">
        <v>6639</v>
      </c>
      <c r="F2392" s="2" t="s">
        <v>16</v>
      </c>
      <c r="G2392" s="2" t="s">
        <v>2327</v>
      </c>
      <c r="H2392" s="2"/>
      <c r="I2392" s="2"/>
      <c r="J2392" s="2" t="s">
        <v>42</v>
      </c>
      <c r="K2392" s="2"/>
      <c r="L2392" s="2" t="s">
        <v>131</v>
      </c>
    </row>
    <row r="2393" customFormat="false" ht="15.65" hidden="false" customHeight="true" outlineLevel="0" collapsed="false">
      <c r="A2393" s="5" t="str">
        <f aca="false">HYPERLINK("https://www.fabsurplus.com/sdi_catalog/salesItemDetails.do?id=108829")</f>
        <v>https://www.fabsurplus.com/sdi_catalog/salesItemDetails.do?id=108829</v>
      </c>
      <c r="B2393" s="5" t="s">
        <v>6665</v>
      </c>
      <c r="C2393" s="5" t="s">
        <v>6646</v>
      </c>
      <c r="D2393" s="5" t="s">
        <v>6638</v>
      </c>
      <c r="E2393" s="5" t="s">
        <v>6639</v>
      </c>
      <c r="F2393" s="5" t="s">
        <v>16</v>
      </c>
      <c r="G2393" s="5" t="s">
        <v>2327</v>
      </c>
      <c r="H2393" s="5"/>
      <c r="I2393" s="5"/>
      <c r="J2393" s="5" t="s">
        <v>42</v>
      </c>
      <c r="K2393" s="5"/>
      <c r="L2393" s="5" t="s">
        <v>131</v>
      </c>
    </row>
    <row r="2394" customFormat="false" ht="15.65" hidden="false" customHeight="true" outlineLevel="0" collapsed="false">
      <c r="A2394" s="2" t="str">
        <f aca="false">HYPERLINK("https://www.fabsurplus.com/sdi_catalog/salesItemDetails.do?id=108830")</f>
        <v>https://www.fabsurplus.com/sdi_catalog/salesItemDetails.do?id=108830</v>
      </c>
      <c r="B2394" s="2" t="s">
        <v>6666</v>
      </c>
      <c r="C2394" s="2" t="s">
        <v>6646</v>
      </c>
      <c r="D2394" s="2" t="s">
        <v>6667</v>
      </c>
      <c r="E2394" s="2" t="s">
        <v>6668</v>
      </c>
      <c r="F2394" s="2" t="s">
        <v>16</v>
      </c>
      <c r="G2394" s="2" t="s">
        <v>2327</v>
      </c>
      <c r="H2394" s="2"/>
      <c r="I2394" s="2"/>
      <c r="J2394" s="2" t="s">
        <v>42</v>
      </c>
      <c r="K2394" s="2"/>
      <c r="L2394" s="2" t="s">
        <v>131</v>
      </c>
    </row>
    <row r="2395" customFormat="false" ht="15.65" hidden="false" customHeight="true" outlineLevel="0" collapsed="false">
      <c r="A2395" s="5" t="str">
        <f aca="false">HYPERLINK("https://www.fabsurplus.com/sdi_catalog/salesItemDetails.do?id=108832")</f>
        <v>https://www.fabsurplus.com/sdi_catalog/salesItemDetails.do?id=108832</v>
      </c>
      <c r="B2395" s="5" t="s">
        <v>6669</v>
      </c>
      <c r="C2395" s="5" t="s">
        <v>6646</v>
      </c>
      <c r="D2395" s="5" t="s">
        <v>6670</v>
      </c>
      <c r="E2395" s="5" t="s">
        <v>6651</v>
      </c>
      <c r="F2395" s="5" t="s">
        <v>16</v>
      </c>
      <c r="G2395" s="5" t="s">
        <v>2327</v>
      </c>
      <c r="H2395" s="5"/>
      <c r="I2395" s="5"/>
      <c r="J2395" s="5" t="s">
        <v>42</v>
      </c>
      <c r="K2395" s="5"/>
      <c r="L2395" s="5" t="s">
        <v>131</v>
      </c>
    </row>
    <row r="2396" customFormat="false" ht="15.65" hidden="false" customHeight="true" outlineLevel="0" collapsed="false">
      <c r="A2396" s="2" t="str">
        <f aca="false">HYPERLINK("https://www.fabsurplus.com/sdi_catalog/salesItemDetails.do?id=108755")</f>
        <v>https://www.fabsurplus.com/sdi_catalog/salesItemDetails.do?id=108755</v>
      </c>
      <c r="B2396" s="2" t="s">
        <v>6671</v>
      </c>
      <c r="C2396" s="2" t="s">
        <v>6646</v>
      </c>
      <c r="D2396" s="2" t="s">
        <v>6672</v>
      </c>
      <c r="E2396" s="2" t="s">
        <v>6673</v>
      </c>
      <c r="F2396" s="2" t="s">
        <v>16</v>
      </c>
      <c r="G2396" s="2"/>
      <c r="H2396" s="2"/>
      <c r="I2396" s="2"/>
      <c r="J2396" s="2" t="s">
        <v>19</v>
      </c>
      <c r="K2396" s="2"/>
      <c r="L2396" s="2"/>
    </row>
    <row r="2397" customFormat="false" ht="15.65" hidden="false" customHeight="true" outlineLevel="0" collapsed="false">
      <c r="A2397" s="5" t="str">
        <f aca="false">HYPERLINK("https://www.fabsurplus.com/sdi_catalog/salesItemDetails.do?id=108756")</f>
        <v>https://www.fabsurplus.com/sdi_catalog/salesItemDetails.do?id=108756</v>
      </c>
      <c r="B2397" s="5" t="s">
        <v>6674</v>
      </c>
      <c r="C2397" s="5" t="s">
        <v>6646</v>
      </c>
      <c r="D2397" s="5" t="s">
        <v>6675</v>
      </c>
      <c r="E2397" s="5" t="s">
        <v>6676</v>
      </c>
      <c r="F2397" s="5" t="s">
        <v>151</v>
      </c>
      <c r="G2397" s="5" t="s">
        <v>1362</v>
      </c>
      <c r="H2397" s="5" t="s">
        <v>18</v>
      </c>
      <c r="I2397" s="5"/>
      <c r="J2397" s="5" t="s">
        <v>19</v>
      </c>
      <c r="K2397" s="5" t="s">
        <v>20</v>
      </c>
      <c r="L2397" s="5" t="s">
        <v>6677</v>
      </c>
    </row>
    <row r="2398" customFormat="false" ht="15.65" hidden="false" customHeight="true" outlineLevel="0" collapsed="false">
      <c r="A2398" s="2" t="str">
        <f aca="false">HYPERLINK("https://www.fabsurplus.com/sdi_catalog/salesItemDetails.do?id=108757")</f>
        <v>https://www.fabsurplus.com/sdi_catalog/salesItemDetails.do?id=108757</v>
      </c>
      <c r="B2398" s="2" t="s">
        <v>6678</v>
      </c>
      <c r="C2398" s="2" t="s">
        <v>6646</v>
      </c>
      <c r="D2398" s="2" t="s">
        <v>6679</v>
      </c>
      <c r="E2398" s="2" t="s">
        <v>6680</v>
      </c>
      <c r="F2398" s="2" t="s">
        <v>16</v>
      </c>
      <c r="G2398" s="2" t="s">
        <v>1362</v>
      </c>
      <c r="H2398" s="2" t="s">
        <v>32</v>
      </c>
      <c r="I2398" s="3" t="n">
        <v>35551</v>
      </c>
      <c r="J2398" s="2" t="s">
        <v>19</v>
      </c>
      <c r="K2398" s="2" t="s">
        <v>20</v>
      </c>
      <c r="L2398" s="4" t="s">
        <v>6681</v>
      </c>
    </row>
    <row r="2399" customFormat="false" ht="15.65" hidden="false" customHeight="true" outlineLevel="0" collapsed="false">
      <c r="A2399" s="5" t="str">
        <f aca="false">HYPERLINK("https://www.fabsurplus.com/sdi_catalog/salesItemDetails.do?id=84231")</f>
        <v>https://www.fabsurplus.com/sdi_catalog/salesItemDetails.do?id=84231</v>
      </c>
      <c r="B2399" s="5" t="s">
        <v>6682</v>
      </c>
      <c r="C2399" s="5" t="s">
        <v>6683</v>
      </c>
      <c r="D2399" s="5" t="s">
        <v>6684</v>
      </c>
      <c r="E2399" s="5" t="s">
        <v>6685</v>
      </c>
      <c r="F2399" s="5" t="s">
        <v>151</v>
      </c>
      <c r="G2399" s="5" t="s">
        <v>104</v>
      </c>
      <c r="H2399" s="5" t="s">
        <v>32</v>
      </c>
      <c r="I2399" s="5"/>
      <c r="J2399" s="5" t="s">
        <v>19</v>
      </c>
      <c r="K2399" s="5" t="s">
        <v>20</v>
      </c>
      <c r="L2399" s="7" t="s">
        <v>6686</v>
      </c>
    </row>
    <row r="2400" customFormat="false" ht="15.65" hidden="false" customHeight="true" outlineLevel="0" collapsed="false">
      <c r="A2400" s="2" t="str">
        <f aca="false">HYPERLINK("https://www.fabsurplus.com/sdi_catalog/salesItemDetails.do?id=110605")</f>
        <v>https://www.fabsurplus.com/sdi_catalog/salesItemDetails.do?id=110605</v>
      </c>
      <c r="B2400" s="2" t="s">
        <v>6687</v>
      </c>
      <c r="C2400" s="2" t="s">
        <v>6688</v>
      </c>
      <c r="D2400" s="2" t="s">
        <v>6689</v>
      </c>
      <c r="E2400" s="2" t="s">
        <v>6690</v>
      </c>
      <c r="F2400" s="2" t="s">
        <v>16</v>
      </c>
      <c r="G2400" s="2" t="s">
        <v>3718</v>
      </c>
      <c r="H2400" s="2" t="s">
        <v>275</v>
      </c>
      <c r="I2400" s="3" t="n">
        <v>36312</v>
      </c>
      <c r="J2400" s="2" t="s">
        <v>42</v>
      </c>
      <c r="K2400" s="2" t="s">
        <v>20</v>
      </c>
      <c r="L2400" s="4" t="s">
        <v>6691</v>
      </c>
    </row>
    <row r="2401" customFormat="false" ht="15.65" hidden="false" customHeight="true" outlineLevel="0" collapsed="false">
      <c r="A2401" s="5" t="str">
        <f aca="false">HYPERLINK("https://www.fabsurplus.com/sdi_catalog/salesItemDetails.do?id=110606")</f>
        <v>https://www.fabsurplus.com/sdi_catalog/salesItemDetails.do?id=110606</v>
      </c>
      <c r="B2401" s="5" t="s">
        <v>6692</v>
      </c>
      <c r="C2401" s="5" t="s">
        <v>6693</v>
      </c>
      <c r="D2401" s="5" t="s">
        <v>6694</v>
      </c>
      <c r="E2401" s="5" t="s">
        <v>6695</v>
      </c>
      <c r="F2401" s="5" t="s">
        <v>16</v>
      </c>
      <c r="G2401" s="5" t="s">
        <v>2877</v>
      </c>
      <c r="H2401" s="5" t="s">
        <v>275</v>
      </c>
      <c r="I2401" s="6" t="n">
        <v>36678</v>
      </c>
      <c r="J2401" s="5" t="s">
        <v>19</v>
      </c>
      <c r="K2401" s="5" t="s">
        <v>20</v>
      </c>
      <c r="L2401" s="7" t="s">
        <v>6696</v>
      </c>
    </row>
    <row r="2402" customFormat="false" ht="15.65" hidden="false" customHeight="true" outlineLevel="0" collapsed="false">
      <c r="A2402" s="2" t="str">
        <f aca="false">HYPERLINK("https://www.fabsurplus.com/sdi_catalog/salesItemDetails.do?id=110607")</f>
        <v>https://www.fabsurplus.com/sdi_catalog/salesItemDetails.do?id=110607</v>
      </c>
      <c r="B2402" s="2" t="s">
        <v>6697</v>
      </c>
      <c r="C2402" s="2" t="s">
        <v>6688</v>
      </c>
      <c r="D2402" s="2" t="s">
        <v>6698</v>
      </c>
      <c r="E2402" s="2" t="s">
        <v>6695</v>
      </c>
      <c r="F2402" s="2" t="s">
        <v>16</v>
      </c>
      <c r="G2402" s="2" t="s">
        <v>6699</v>
      </c>
      <c r="H2402" s="2" t="s">
        <v>18</v>
      </c>
      <c r="I2402" s="2"/>
      <c r="J2402" s="2" t="s">
        <v>42</v>
      </c>
      <c r="K2402" s="2" t="s">
        <v>20</v>
      </c>
      <c r="L2402" s="4" t="s">
        <v>6700</v>
      </c>
    </row>
    <row r="2403" customFormat="false" ht="15.65" hidden="false" customHeight="true" outlineLevel="0" collapsed="false">
      <c r="A2403" s="5" t="str">
        <f aca="false">HYPERLINK("https://www.fabsurplus.com/sdi_catalog/salesItemDetails.do?id=110609")</f>
        <v>https://www.fabsurplus.com/sdi_catalog/salesItemDetails.do?id=110609</v>
      </c>
      <c r="B2403" s="5" t="s">
        <v>6701</v>
      </c>
      <c r="C2403" s="5" t="s">
        <v>6693</v>
      </c>
      <c r="D2403" s="5" t="s">
        <v>6689</v>
      </c>
      <c r="E2403" s="5" t="s">
        <v>6702</v>
      </c>
      <c r="F2403" s="5" t="s">
        <v>16</v>
      </c>
      <c r="G2403" s="5" t="s">
        <v>38</v>
      </c>
      <c r="H2403" s="5" t="s">
        <v>32</v>
      </c>
      <c r="I2403" s="5"/>
      <c r="J2403" s="5" t="s">
        <v>19</v>
      </c>
      <c r="K2403" s="5" t="s">
        <v>20</v>
      </c>
      <c r="L2403" s="7" t="s">
        <v>6703</v>
      </c>
    </row>
    <row r="2404" customFormat="false" ht="15.65" hidden="false" customHeight="true" outlineLevel="0" collapsed="false">
      <c r="A2404" s="2" t="str">
        <f aca="false">HYPERLINK("https://www.fabsurplus.com/sdi_catalog/salesItemDetails.do?id=110611")</f>
        <v>https://www.fabsurplus.com/sdi_catalog/salesItemDetails.do?id=110611</v>
      </c>
      <c r="B2404" s="2" t="s">
        <v>6704</v>
      </c>
      <c r="C2404" s="2" t="s">
        <v>6688</v>
      </c>
      <c r="D2404" s="2" t="s">
        <v>6705</v>
      </c>
      <c r="E2404" s="2" t="s">
        <v>6695</v>
      </c>
      <c r="F2404" s="2" t="s">
        <v>16</v>
      </c>
      <c r="G2404" s="2"/>
      <c r="H2404" s="2" t="s">
        <v>32</v>
      </c>
      <c r="I2404" s="2"/>
      <c r="J2404" s="2" t="s">
        <v>19</v>
      </c>
      <c r="K2404" s="2" t="s">
        <v>20</v>
      </c>
      <c r="L2404" s="4" t="s">
        <v>6706</v>
      </c>
    </row>
    <row r="2405" customFormat="false" ht="15.65" hidden="false" customHeight="true" outlineLevel="0" collapsed="false">
      <c r="A2405" s="5" t="str">
        <f aca="false">HYPERLINK("https://www.fabsurplus.com/sdi_catalog/salesItemDetails.do?id=110612")</f>
        <v>https://www.fabsurplus.com/sdi_catalog/salesItemDetails.do?id=110612</v>
      </c>
      <c r="B2405" s="5" t="s">
        <v>6707</v>
      </c>
      <c r="C2405" s="5" t="s">
        <v>6688</v>
      </c>
      <c r="D2405" s="5" t="s">
        <v>6708</v>
      </c>
      <c r="E2405" s="5" t="s">
        <v>6695</v>
      </c>
      <c r="F2405" s="5" t="s">
        <v>16</v>
      </c>
      <c r="G2405" s="5"/>
      <c r="H2405" s="5" t="s">
        <v>32</v>
      </c>
      <c r="I2405" s="5"/>
      <c r="J2405" s="5" t="s">
        <v>19</v>
      </c>
      <c r="K2405" s="5" t="s">
        <v>20</v>
      </c>
      <c r="L2405" s="7" t="s">
        <v>6709</v>
      </c>
    </row>
    <row r="2406" customFormat="false" ht="15.65" hidden="false" customHeight="true" outlineLevel="0" collapsed="false">
      <c r="A2406" s="2" t="str">
        <f aca="false">HYPERLINK("https://www.fabsurplus.com/sdi_catalog/salesItemDetails.do?id=110619")</f>
        <v>https://www.fabsurplus.com/sdi_catalog/salesItemDetails.do?id=110619</v>
      </c>
      <c r="B2406" s="2" t="s">
        <v>6710</v>
      </c>
      <c r="C2406" s="2" t="s">
        <v>6688</v>
      </c>
      <c r="D2406" s="2" t="s">
        <v>6711</v>
      </c>
      <c r="E2406" s="2" t="s">
        <v>59</v>
      </c>
      <c r="F2406" s="2" t="s">
        <v>16</v>
      </c>
      <c r="G2406" s="2" t="s">
        <v>38</v>
      </c>
      <c r="H2406" s="2"/>
      <c r="I2406" s="2"/>
      <c r="J2406" s="2" t="s">
        <v>19</v>
      </c>
      <c r="K2406" s="2"/>
      <c r="L2406" s="4" t="s">
        <v>1617</v>
      </c>
    </row>
    <row r="2407" customFormat="false" ht="15.65" hidden="false" customHeight="true" outlineLevel="0" collapsed="false">
      <c r="A2407" s="5" t="str">
        <f aca="false">HYPERLINK("https://www.fabsurplus.com/sdi_catalog/salesItemDetails.do?id=109597")</f>
        <v>https://www.fabsurplus.com/sdi_catalog/salesItemDetails.do?id=109597</v>
      </c>
      <c r="B2407" s="5" t="s">
        <v>6712</v>
      </c>
      <c r="C2407" s="5" t="s">
        <v>6693</v>
      </c>
      <c r="D2407" s="5" t="s">
        <v>6713</v>
      </c>
      <c r="E2407" s="5" t="s">
        <v>6714</v>
      </c>
      <c r="F2407" s="5" t="s">
        <v>16</v>
      </c>
      <c r="G2407" s="5" t="s">
        <v>1293</v>
      </c>
      <c r="H2407" s="5"/>
      <c r="I2407" s="6" t="n">
        <v>39234</v>
      </c>
      <c r="J2407" s="5" t="s">
        <v>42</v>
      </c>
      <c r="K2407" s="5"/>
      <c r="L2407" s="5" t="s">
        <v>5550</v>
      </c>
    </row>
    <row r="2408" customFormat="false" ht="15.65" hidden="false" customHeight="true" outlineLevel="0" collapsed="false">
      <c r="A2408" s="2" t="str">
        <f aca="false">HYPERLINK("https://www.fabsurplus.com/sdi_catalog/salesItemDetails.do?id=108833")</f>
        <v>https://www.fabsurplus.com/sdi_catalog/salesItemDetails.do?id=108833</v>
      </c>
      <c r="B2408" s="2" t="s">
        <v>6715</v>
      </c>
      <c r="C2408" s="2" t="s">
        <v>6688</v>
      </c>
      <c r="D2408" s="2" t="s">
        <v>6716</v>
      </c>
      <c r="E2408" s="2" t="s">
        <v>6717</v>
      </c>
      <c r="F2408" s="2" t="s">
        <v>16</v>
      </c>
      <c r="G2408" s="2"/>
      <c r="H2408" s="2"/>
      <c r="I2408" s="2"/>
      <c r="J2408" s="2" t="s">
        <v>42</v>
      </c>
      <c r="K2408" s="2"/>
      <c r="L2408" s="2" t="s">
        <v>131</v>
      </c>
    </row>
    <row r="2409" customFormat="false" ht="15.65" hidden="false" customHeight="true" outlineLevel="0" collapsed="false">
      <c r="A2409" s="5" t="str">
        <f aca="false">HYPERLINK("https://www.fabsurplus.com/sdi_catalog/salesItemDetails.do?id=108834")</f>
        <v>https://www.fabsurplus.com/sdi_catalog/salesItemDetails.do?id=108834</v>
      </c>
      <c r="B2409" s="5" t="s">
        <v>6718</v>
      </c>
      <c r="C2409" s="5" t="s">
        <v>6688</v>
      </c>
      <c r="D2409" s="5" t="s">
        <v>6719</v>
      </c>
      <c r="E2409" s="5" t="s">
        <v>6720</v>
      </c>
      <c r="F2409" s="5" t="s">
        <v>16</v>
      </c>
      <c r="G2409" s="5"/>
      <c r="H2409" s="5"/>
      <c r="I2409" s="5"/>
      <c r="J2409" s="5" t="s">
        <v>42</v>
      </c>
      <c r="K2409" s="5"/>
      <c r="L2409" s="5" t="s">
        <v>131</v>
      </c>
    </row>
    <row r="2410" customFormat="false" ht="15.65" hidden="false" customHeight="true" outlineLevel="0" collapsed="false">
      <c r="A2410" s="2" t="str">
        <f aca="false">HYPERLINK("https://www.fabsurplus.com/sdi_catalog/salesItemDetails.do?id=109602")</f>
        <v>https://www.fabsurplus.com/sdi_catalog/salesItemDetails.do?id=109602</v>
      </c>
      <c r="B2410" s="2" t="s">
        <v>6721</v>
      </c>
      <c r="C2410" s="2" t="s">
        <v>6693</v>
      </c>
      <c r="D2410" s="2" t="s">
        <v>6722</v>
      </c>
      <c r="E2410" s="2" t="s">
        <v>6723</v>
      </c>
      <c r="F2410" s="2" t="s">
        <v>16</v>
      </c>
      <c r="G2410" s="2" t="s">
        <v>6724</v>
      </c>
      <c r="H2410" s="2"/>
      <c r="I2410" s="2"/>
      <c r="J2410" s="2" t="s">
        <v>42</v>
      </c>
      <c r="K2410" s="2"/>
      <c r="L2410" s="2" t="s">
        <v>5550</v>
      </c>
    </row>
    <row r="2411" customFormat="false" ht="15.65" hidden="false" customHeight="true" outlineLevel="0" collapsed="false">
      <c r="A2411" s="5" t="str">
        <f aca="false">HYPERLINK("https://www.fabsurplus.com/sdi_catalog/salesItemDetails.do?id=108835")</f>
        <v>https://www.fabsurplus.com/sdi_catalog/salesItemDetails.do?id=108835</v>
      </c>
      <c r="B2411" s="5" t="s">
        <v>6725</v>
      </c>
      <c r="C2411" s="5" t="s">
        <v>6688</v>
      </c>
      <c r="D2411" s="5" t="s">
        <v>6726</v>
      </c>
      <c r="E2411" s="5" t="s">
        <v>6727</v>
      </c>
      <c r="F2411" s="5" t="s">
        <v>16</v>
      </c>
      <c r="G2411" s="5"/>
      <c r="H2411" s="5"/>
      <c r="I2411" s="5"/>
      <c r="J2411" s="5" t="s">
        <v>42</v>
      </c>
      <c r="K2411" s="5"/>
      <c r="L2411" s="5" t="s">
        <v>131</v>
      </c>
    </row>
    <row r="2412" customFormat="false" ht="15.65" hidden="false" customHeight="true" outlineLevel="0" collapsed="false">
      <c r="A2412" s="2" t="str">
        <f aca="false">HYPERLINK("https://www.fabsurplus.com/sdi_catalog/salesItemDetails.do?id=109603")</f>
        <v>https://www.fabsurplus.com/sdi_catalog/salesItemDetails.do?id=109603</v>
      </c>
      <c r="B2412" s="2" t="s">
        <v>6728</v>
      </c>
      <c r="C2412" s="2" t="s">
        <v>6693</v>
      </c>
      <c r="D2412" s="2" t="s">
        <v>6689</v>
      </c>
      <c r="E2412" s="2" t="s">
        <v>6729</v>
      </c>
      <c r="F2412" s="2" t="s">
        <v>16</v>
      </c>
      <c r="G2412" s="2" t="s">
        <v>38</v>
      </c>
      <c r="H2412" s="2"/>
      <c r="I2412" s="3" t="n">
        <v>40330</v>
      </c>
      <c r="J2412" s="2" t="s">
        <v>42</v>
      </c>
      <c r="K2412" s="2"/>
      <c r="L2412" s="2" t="s">
        <v>5550</v>
      </c>
    </row>
    <row r="2413" customFormat="false" ht="15.65" hidden="false" customHeight="true" outlineLevel="0" collapsed="false">
      <c r="A2413" s="5" t="str">
        <f aca="false">HYPERLINK("https://www.fabsurplus.com/sdi_catalog/salesItemDetails.do?id=109607")</f>
        <v>https://www.fabsurplus.com/sdi_catalog/salesItemDetails.do?id=109607</v>
      </c>
      <c r="B2413" s="5" t="s">
        <v>6730</v>
      </c>
      <c r="C2413" s="5" t="s">
        <v>6693</v>
      </c>
      <c r="D2413" s="5" t="s">
        <v>6689</v>
      </c>
      <c r="E2413" s="5" t="s">
        <v>6729</v>
      </c>
      <c r="F2413" s="5" t="s">
        <v>16</v>
      </c>
      <c r="G2413" s="5" t="s">
        <v>38</v>
      </c>
      <c r="H2413" s="5"/>
      <c r="I2413" s="6" t="n">
        <v>40330</v>
      </c>
      <c r="J2413" s="5" t="s">
        <v>42</v>
      </c>
      <c r="K2413" s="5"/>
      <c r="L2413" s="5" t="s">
        <v>5550</v>
      </c>
    </row>
    <row r="2414" customFormat="false" ht="15.65" hidden="false" customHeight="true" outlineLevel="0" collapsed="false">
      <c r="A2414" s="2" t="str">
        <f aca="false">HYPERLINK("https://www.fabsurplus.com/sdi_catalog/salesItemDetails.do?id=108073")</f>
        <v>https://www.fabsurplus.com/sdi_catalog/salesItemDetails.do?id=108073</v>
      </c>
      <c r="B2414" s="2" t="s">
        <v>6731</v>
      </c>
      <c r="C2414" s="2" t="s">
        <v>6693</v>
      </c>
      <c r="D2414" s="2" t="s">
        <v>6732</v>
      </c>
      <c r="E2414" s="2" t="s">
        <v>6695</v>
      </c>
      <c r="F2414" s="2" t="s">
        <v>16</v>
      </c>
      <c r="G2414" s="2" t="s">
        <v>2877</v>
      </c>
      <c r="H2414" s="2"/>
      <c r="I2414" s="2"/>
      <c r="J2414" s="2" t="s">
        <v>19</v>
      </c>
      <c r="K2414" s="2"/>
      <c r="L2414" s="2"/>
    </row>
    <row r="2415" customFormat="false" ht="15.65" hidden="false" customHeight="true" outlineLevel="0" collapsed="false">
      <c r="A2415" s="5" t="str">
        <f aca="false">HYPERLINK("https://www.fabsurplus.com/sdi_catalog/salesItemDetails.do?id=108074")</f>
        <v>https://www.fabsurplus.com/sdi_catalog/salesItemDetails.do?id=108074</v>
      </c>
      <c r="B2415" s="5" t="s">
        <v>6733</v>
      </c>
      <c r="C2415" s="5" t="s">
        <v>6693</v>
      </c>
      <c r="D2415" s="5" t="s">
        <v>6734</v>
      </c>
      <c r="E2415" s="5" t="s">
        <v>6735</v>
      </c>
      <c r="F2415" s="5" t="s">
        <v>16</v>
      </c>
      <c r="G2415" s="5" t="s">
        <v>97</v>
      </c>
      <c r="H2415" s="5"/>
      <c r="I2415" s="5"/>
      <c r="J2415" s="5" t="s">
        <v>19</v>
      </c>
      <c r="K2415" s="5"/>
      <c r="L2415" s="5"/>
    </row>
    <row r="2416" customFormat="false" ht="15.65" hidden="false" customHeight="true" outlineLevel="0" collapsed="false">
      <c r="A2416" s="2" t="str">
        <f aca="false">HYPERLINK("https://www.fabsurplus.com/sdi_catalog/salesItemDetails.do?id=109612")</f>
        <v>https://www.fabsurplus.com/sdi_catalog/salesItemDetails.do?id=109612</v>
      </c>
      <c r="B2416" s="2" t="s">
        <v>6736</v>
      </c>
      <c r="C2416" s="2" t="s">
        <v>6693</v>
      </c>
      <c r="D2416" s="2" t="s">
        <v>6737</v>
      </c>
      <c r="E2416" s="2" t="s">
        <v>6738</v>
      </c>
      <c r="F2416" s="2" t="s">
        <v>16</v>
      </c>
      <c r="G2416" s="2" t="s">
        <v>38</v>
      </c>
      <c r="H2416" s="2"/>
      <c r="I2416" s="3" t="n">
        <v>40330</v>
      </c>
      <c r="J2416" s="2" t="s">
        <v>42</v>
      </c>
      <c r="K2416" s="2"/>
      <c r="L2416" s="2" t="s">
        <v>5550</v>
      </c>
    </row>
    <row r="2417" customFormat="false" ht="15.65" hidden="false" customHeight="true" outlineLevel="0" collapsed="false">
      <c r="A2417" s="5" t="str">
        <f aca="false">HYPERLINK("https://www.fabsurplus.com/sdi_catalog/salesItemDetails.do?id=109615")</f>
        <v>https://www.fabsurplus.com/sdi_catalog/salesItemDetails.do?id=109615</v>
      </c>
      <c r="B2417" s="5" t="s">
        <v>6739</v>
      </c>
      <c r="C2417" s="5" t="s">
        <v>6693</v>
      </c>
      <c r="D2417" s="5" t="s">
        <v>6740</v>
      </c>
      <c r="E2417" s="5" t="s">
        <v>6723</v>
      </c>
      <c r="F2417" s="5" t="s">
        <v>16</v>
      </c>
      <c r="G2417" s="5" t="s">
        <v>6309</v>
      </c>
      <c r="H2417" s="5"/>
      <c r="I2417" s="5"/>
      <c r="J2417" s="5" t="s">
        <v>42</v>
      </c>
      <c r="K2417" s="5"/>
      <c r="L2417" s="5" t="s">
        <v>5550</v>
      </c>
    </row>
    <row r="2418" customFormat="false" ht="15.65" hidden="false" customHeight="true" outlineLevel="0" collapsed="false">
      <c r="A2418" s="2" t="str">
        <f aca="false">HYPERLINK("https://www.fabsurplus.com/sdi_catalog/salesItemDetails.do?id=99394")</f>
        <v>https://www.fabsurplus.com/sdi_catalog/salesItemDetails.do?id=99394</v>
      </c>
      <c r="B2418" s="2" t="s">
        <v>6741</v>
      </c>
      <c r="C2418" s="2" t="s">
        <v>6688</v>
      </c>
      <c r="D2418" s="2" t="s">
        <v>6742</v>
      </c>
      <c r="E2418" s="2" t="s">
        <v>6743</v>
      </c>
      <c r="F2418" s="2" t="s">
        <v>16</v>
      </c>
      <c r="G2418" s="2" t="s">
        <v>1298</v>
      </c>
      <c r="H2418" s="2" t="s">
        <v>453</v>
      </c>
      <c r="I2418" s="2"/>
      <c r="J2418" s="2" t="s">
        <v>19</v>
      </c>
      <c r="K2418" s="2" t="s">
        <v>20</v>
      </c>
      <c r="L2418" s="4" t="s">
        <v>6744</v>
      </c>
    </row>
    <row r="2419" customFormat="false" ht="15.65" hidden="false" customHeight="true" outlineLevel="0" collapsed="false">
      <c r="A2419" s="5" t="str">
        <f aca="false">HYPERLINK("https://www.fabsurplus.com/sdi_catalog/salesItemDetails.do?id=99397")</f>
        <v>https://www.fabsurplus.com/sdi_catalog/salesItemDetails.do?id=99397</v>
      </c>
      <c r="B2419" s="5" t="s">
        <v>6745</v>
      </c>
      <c r="C2419" s="5" t="s">
        <v>6688</v>
      </c>
      <c r="D2419" s="5" t="s">
        <v>6746</v>
      </c>
      <c r="E2419" s="5" t="s">
        <v>6747</v>
      </c>
      <c r="F2419" s="5" t="s">
        <v>16</v>
      </c>
      <c r="G2419" s="5"/>
      <c r="H2419" s="5" t="s">
        <v>32</v>
      </c>
      <c r="I2419" s="5"/>
      <c r="J2419" s="5" t="s">
        <v>19</v>
      </c>
      <c r="K2419" s="5" t="s">
        <v>20</v>
      </c>
      <c r="L2419" s="7" t="s">
        <v>6748</v>
      </c>
    </row>
    <row r="2420" customFormat="false" ht="15.65" hidden="false" customHeight="true" outlineLevel="0" collapsed="false">
      <c r="A2420" s="2" t="str">
        <f aca="false">HYPERLINK("https://www.fabsurplus.com/sdi_catalog/salesItemDetails.do?id=100939")</f>
        <v>https://www.fabsurplus.com/sdi_catalog/salesItemDetails.do?id=100939</v>
      </c>
      <c r="B2420" s="2" t="s">
        <v>6749</v>
      </c>
      <c r="C2420" s="2" t="s">
        <v>6693</v>
      </c>
      <c r="D2420" s="2" t="s">
        <v>6694</v>
      </c>
      <c r="E2420" s="2" t="s">
        <v>6750</v>
      </c>
      <c r="F2420" s="2" t="s">
        <v>151</v>
      </c>
      <c r="G2420" s="2"/>
      <c r="H2420" s="2" t="s">
        <v>32</v>
      </c>
      <c r="I2420" s="2"/>
      <c r="J2420" s="2" t="s">
        <v>19</v>
      </c>
      <c r="K2420" s="2" t="s">
        <v>20</v>
      </c>
      <c r="L2420" s="4" t="s">
        <v>6751</v>
      </c>
    </row>
    <row r="2421" customFormat="false" ht="15.65" hidden="false" customHeight="true" outlineLevel="0" collapsed="false">
      <c r="A2421" s="5" t="str">
        <f aca="false">HYPERLINK("https://www.fabsurplus.com/sdi_catalog/salesItemDetails.do?id=106854")</f>
        <v>https://www.fabsurplus.com/sdi_catalog/salesItemDetails.do?id=106854</v>
      </c>
      <c r="B2421" s="5" t="s">
        <v>6752</v>
      </c>
      <c r="C2421" s="5" t="s">
        <v>6693</v>
      </c>
      <c r="D2421" s="5" t="s">
        <v>6753</v>
      </c>
      <c r="E2421" s="5" t="s">
        <v>6754</v>
      </c>
      <c r="F2421" s="5" t="s">
        <v>16</v>
      </c>
      <c r="G2421" s="5" t="s">
        <v>6755</v>
      </c>
      <c r="H2421" s="5" t="s">
        <v>32</v>
      </c>
      <c r="I2421" s="6" t="n">
        <v>40695</v>
      </c>
      <c r="J2421" s="5" t="s">
        <v>19</v>
      </c>
      <c r="K2421" s="5" t="s">
        <v>20</v>
      </c>
      <c r="L2421" s="7" t="s">
        <v>6756</v>
      </c>
    </row>
    <row r="2422" customFormat="false" ht="15.65" hidden="false" customHeight="true" outlineLevel="0" collapsed="false">
      <c r="A2422" s="2" t="str">
        <f aca="false">HYPERLINK("https://www.fabsurplus.com/sdi_catalog/salesItemDetails.do?id=108906")</f>
        <v>https://www.fabsurplus.com/sdi_catalog/salesItemDetails.do?id=108906</v>
      </c>
      <c r="B2422" s="2" t="s">
        <v>6757</v>
      </c>
      <c r="C2422" s="2" t="s">
        <v>6758</v>
      </c>
      <c r="D2422" s="2" t="s">
        <v>6689</v>
      </c>
      <c r="E2422" s="2" t="s">
        <v>6695</v>
      </c>
      <c r="F2422" s="2" t="s">
        <v>16</v>
      </c>
      <c r="G2422" s="2" t="s">
        <v>6759</v>
      </c>
      <c r="H2422" s="2"/>
      <c r="I2422" s="3" t="n">
        <v>34820</v>
      </c>
      <c r="J2422" s="2" t="s">
        <v>19</v>
      </c>
      <c r="K2422" s="2"/>
      <c r="L2422" s="4" t="s">
        <v>6760</v>
      </c>
    </row>
    <row r="2423" customFormat="false" ht="15.65" hidden="false" customHeight="true" outlineLevel="0" collapsed="false">
      <c r="A2423" s="5" t="str">
        <f aca="false">HYPERLINK("https://www.fabsurplus.com/sdi_catalog/salesItemDetails.do?id=108908")</f>
        <v>https://www.fabsurplus.com/sdi_catalog/salesItemDetails.do?id=108908</v>
      </c>
      <c r="B2423" s="5" t="s">
        <v>6761</v>
      </c>
      <c r="C2423" s="5" t="s">
        <v>6693</v>
      </c>
      <c r="D2423" s="5" t="s">
        <v>6689</v>
      </c>
      <c r="E2423" s="5" t="s">
        <v>6695</v>
      </c>
      <c r="F2423" s="5" t="s">
        <v>16</v>
      </c>
      <c r="G2423" s="5" t="s">
        <v>38</v>
      </c>
      <c r="H2423" s="5" t="s">
        <v>32</v>
      </c>
      <c r="I2423" s="6" t="n">
        <v>36647</v>
      </c>
      <c r="J2423" s="5" t="s">
        <v>19</v>
      </c>
      <c r="K2423" s="5"/>
      <c r="L2423" s="7" t="s">
        <v>6762</v>
      </c>
    </row>
    <row r="2424" customFormat="false" ht="15.65" hidden="false" customHeight="true" outlineLevel="0" collapsed="false">
      <c r="A2424" s="2" t="str">
        <f aca="false">HYPERLINK("https://www.fabsurplus.com/sdi_catalog/salesItemDetails.do?id=108909")</f>
        <v>https://www.fabsurplus.com/sdi_catalog/salesItemDetails.do?id=108909</v>
      </c>
      <c r="B2424" s="2" t="s">
        <v>6763</v>
      </c>
      <c r="C2424" s="2" t="s">
        <v>6758</v>
      </c>
      <c r="D2424" s="2" t="s">
        <v>6689</v>
      </c>
      <c r="E2424" s="2" t="s">
        <v>6695</v>
      </c>
      <c r="F2424" s="2" t="s">
        <v>16</v>
      </c>
      <c r="G2424" s="2" t="s">
        <v>6764</v>
      </c>
      <c r="H2424" s="2" t="s">
        <v>32</v>
      </c>
      <c r="I2424" s="3" t="n">
        <v>33725</v>
      </c>
      <c r="J2424" s="2" t="s">
        <v>19</v>
      </c>
      <c r="K2424" s="2" t="s">
        <v>20</v>
      </c>
      <c r="L2424" s="4" t="s">
        <v>6765</v>
      </c>
    </row>
    <row r="2425" customFormat="false" ht="15.65" hidden="false" customHeight="true" outlineLevel="0" collapsed="false">
      <c r="A2425" s="5" t="str">
        <f aca="false">HYPERLINK("https://www.fabsurplus.com/sdi_catalog/salesItemDetails.do?id=108939")</f>
        <v>https://www.fabsurplus.com/sdi_catalog/salesItemDetails.do?id=108939</v>
      </c>
      <c r="B2425" s="5" t="s">
        <v>6766</v>
      </c>
      <c r="C2425" s="5" t="s">
        <v>6693</v>
      </c>
      <c r="D2425" s="5" t="s">
        <v>6767</v>
      </c>
      <c r="E2425" s="5" t="s">
        <v>6695</v>
      </c>
      <c r="F2425" s="5" t="s">
        <v>16</v>
      </c>
      <c r="G2425" s="5"/>
      <c r="H2425" s="5" t="s">
        <v>18</v>
      </c>
      <c r="I2425" s="5"/>
      <c r="J2425" s="5" t="s">
        <v>42</v>
      </c>
      <c r="K2425" s="5" t="s">
        <v>1560</v>
      </c>
      <c r="L2425" s="5" t="s">
        <v>2944</v>
      </c>
    </row>
    <row r="2426" customFormat="false" ht="15.65" hidden="false" customHeight="true" outlineLevel="0" collapsed="false">
      <c r="A2426" s="2" t="str">
        <f aca="false">HYPERLINK("https://www.fabsurplus.com/sdi_catalog/salesItemDetails.do?id=108758")</f>
        <v>https://www.fabsurplus.com/sdi_catalog/salesItemDetails.do?id=108758</v>
      </c>
      <c r="B2426" s="2" t="s">
        <v>6768</v>
      </c>
      <c r="C2426" s="2" t="s">
        <v>6688</v>
      </c>
      <c r="D2426" s="2" t="s">
        <v>6769</v>
      </c>
      <c r="E2426" s="2" t="s">
        <v>6695</v>
      </c>
      <c r="F2426" s="2" t="s">
        <v>16</v>
      </c>
      <c r="G2426" s="2" t="s">
        <v>6770</v>
      </c>
      <c r="H2426" s="2" t="s">
        <v>18</v>
      </c>
      <c r="I2426" s="2"/>
      <c r="J2426" s="2" t="s">
        <v>286</v>
      </c>
      <c r="K2426" s="2" t="s">
        <v>1560</v>
      </c>
      <c r="L2426" s="4" t="s">
        <v>6771</v>
      </c>
    </row>
    <row r="2427" customFormat="false" ht="15.65" hidden="false" customHeight="true" outlineLevel="0" collapsed="false">
      <c r="A2427" s="5" t="str">
        <f aca="false">HYPERLINK("https://www.fabsurplus.com/sdi_catalog/salesItemDetails.do?id=106897")</f>
        <v>https://www.fabsurplus.com/sdi_catalog/salesItemDetails.do?id=106897</v>
      </c>
      <c r="B2427" s="5" t="s">
        <v>6772</v>
      </c>
      <c r="C2427" s="5" t="s">
        <v>6773</v>
      </c>
      <c r="D2427" s="5" t="s">
        <v>6689</v>
      </c>
      <c r="E2427" s="5" t="s">
        <v>6702</v>
      </c>
      <c r="F2427" s="5" t="s">
        <v>16</v>
      </c>
      <c r="G2427" s="5" t="s">
        <v>38</v>
      </c>
      <c r="H2427" s="5" t="s">
        <v>453</v>
      </c>
      <c r="I2427" s="5"/>
      <c r="J2427" s="5" t="s">
        <v>19</v>
      </c>
      <c r="K2427" s="5" t="s">
        <v>20</v>
      </c>
      <c r="L2427" s="7" t="s">
        <v>6774</v>
      </c>
    </row>
    <row r="2428" customFormat="false" ht="15.65" hidden="false" customHeight="true" outlineLevel="0" collapsed="false">
      <c r="A2428" s="2" t="str">
        <f aca="false">HYPERLINK("https://www.fabsurplus.com/sdi_catalog/salesItemDetails.do?id=106915")</f>
        <v>https://www.fabsurplus.com/sdi_catalog/salesItemDetails.do?id=106915</v>
      </c>
      <c r="B2428" s="2" t="s">
        <v>6775</v>
      </c>
      <c r="C2428" s="2" t="s">
        <v>6773</v>
      </c>
      <c r="D2428" s="2" t="s">
        <v>6776</v>
      </c>
      <c r="E2428" s="2" t="s">
        <v>6777</v>
      </c>
      <c r="F2428" s="2" t="s">
        <v>16</v>
      </c>
      <c r="G2428" s="2"/>
      <c r="H2428" s="2" t="s">
        <v>32</v>
      </c>
      <c r="I2428" s="3" t="n">
        <v>37043</v>
      </c>
      <c r="J2428" s="2" t="s">
        <v>19</v>
      </c>
      <c r="K2428" s="2" t="s">
        <v>20</v>
      </c>
      <c r="L2428" s="2"/>
    </row>
    <row r="2429" customFormat="false" ht="15.65" hidden="false" customHeight="true" outlineLevel="0" collapsed="false">
      <c r="A2429" s="5" t="str">
        <f aca="false">HYPERLINK("https://www.fabsurplus.com/sdi_catalog/salesItemDetails.do?id=106916")</f>
        <v>https://www.fabsurplus.com/sdi_catalog/salesItemDetails.do?id=106916</v>
      </c>
      <c r="B2429" s="5" t="s">
        <v>6778</v>
      </c>
      <c r="C2429" s="5" t="s">
        <v>6773</v>
      </c>
      <c r="D2429" s="5" t="s">
        <v>6779</v>
      </c>
      <c r="E2429" s="5" t="s">
        <v>6777</v>
      </c>
      <c r="F2429" s="5" t="s">
        <v>16</v>
      </c>
      <c r="G2429" s="5"/>
      <c r="H2429" s="5" t="s">
        <v>32</v>
      </c>
      <c r="I2429" s="6" t="n">
        <v>38869</v>
      </c>
      <c r="J2429" s="5" t="s">
        <v>19</v>
      </c>
      <c r="K2429" s="5" t="s">
        <v>20</v>
      </c>
      <c r="L2429" s="5"/>
    </row>
    <row r="2430" customFormat="false" ht="15.65" hidden="false" customHeight="true" outlineLevel="0" collapsed="false">
      <c r="A2430" s="2" t="str">
        <f aca="false">HYPERLINK("https://www.fabsurplus.com/sdi_catalog/salesItemDetails.do?id=106798")</f>
        <v>https://www.fabsurplus.com/sdi_catalog/salesItemDetails.do?id=106798</v>
      </c>
      <c r="B2430" s="2" t="s">
        <v>6780</v>
      </c>
      <c r="C2430" s="2" t="s">
        <v>6781</v>
      </c>
      <c r="D2430" s="2" t="s">
        <v>6782</v>
      </c>
      <c r="E2430" s="2" t="s">
        <v>6783</v>
      </c>
      <c r="F2430" s="2" t="s">
        <v>16</v>
      </c>
      <c r="G2430" s="2" t="s">
        <v>104</v>
      </c>
      <c r="H2430" s="2" t="s">
        <v>32</v>
      </c>
      <c r="I2430" s="3" t="n">
        <v>39600</v>
      </c>
      <c r="J2430" s="2" t="s">
        <v>19</v>
      </c>
      <c r="K2430" s="2" t="s">
        <v>20</v>
      </c>
      <c r="L2430" s="2" t="s">
        <v>6784</v>
      </c>
    </row>
    <row r="2431" customFormat="false" ht="15.65" hidden="false" customHeight="true" outlineLevel="0" collapsed="false">
      <c r="A2431" s="5" t="str">
        <f aca="false">HYPERLINK("https://www.fabsurplus.com/sdi_catalog/salesItemDetails.do?id=98468")</f>
        <v>https://www.fabsurplus.com/sdi_catalog/salesItemDetails.do?id=98468</v>
      </c>
      <c r="B2431" s="5" t="s">
        <v>6785</v>
      </c>
      <c r="C2431" s="5" t="s">
        <v>6781</v>
      </c>
      <c r="D2431" s="5" t="s">
        <v>6786</v>
      </c>
      <c r="E2431" s="5" t="s">
        <v>6787</v>
      </c>
      <c r="F2431" s="5" t="s">
        <v>16</v>
      </c>
      <c r="G2431" s="5" t="s">
        <v>84</v>
      </c>
      <c r="H2431" s="5"/>
      <c r="I2431" s="5"/>
      <c r="J2431" s="5" t="s">
        <v>19</v>
      </c>
      <c r="K2431" s="5"/>
      <c r="L2431" s="5" t="s">
        <v>518</v>
      </c>
    </row>
    <row r="2432" customFormat="false" ht="15.65" hidden="false" customHeight="true" outlineLevel="0" collapsed="false">
      <c r="A2432" s="2" t="str">
        <f aca="false">HYPERLINK("https://www.fabsurplus.com/sdi_catalog/salesItemDetails.do?id=98469")</f>
        <v>https://www.fabsurplus.com/sdi_catalog/salesItemDetails.do?id=98469</v>
      </c>
      <c r="B2432" s="2" t="s">
        <v>6788</v>
      </c>
      <c r="C2432" s="2" t="s">
        <v>6781</v>
      </c>
      <c r="D2432" s="2" t="s">
        <v>6789</v>
      </c>
      <c r="E2432" s="2" t="s">
        <v>6787</v>
      </c>
      <c r="F2432" s="2" t="s">
        <v>16</v>
      </c>
      <c r="G2432" s="2" t="s">
        <v>84</v>
      </c>
      <c r="H2432" s="2"/>
      <c r="I2432" s="2"/>
      <c r="J2432" s="2" t="s">
        <v>19</v>
      </c>
      <c r="K2432" s="2"/>
      <c r="L2432" s="2" t="s">
        <v>518</v>
      </c>
    </row>
    <row r="2433" customFormat="false" ht="15.65" hidden="false" customHeight="true" outlineLevel="0" collapsed="false">
      <c r="A2433" s="5" t="str">
        <f aca="false">HYPERLINK("https://www.fabsurplus.com/sdi_catalog/salesItemDetails.do?id=103208")</f>
        <v>https://www.fabsurplus.com/sdi_catalog/salesItemDetails.do?id=103208</v>
      </c>
      <c r="B2433" s="5" t="s">
        <v>6790</v>
      </c>
      <c r="C2433" s="5" t="s">
        <v>6791</v>
      </c>
      <c r="D2433" s="5" t="s">
        <v>6792</v>
      </c>
      <c r="E2433" s="5" t="s">
        <v>6793</v>
      </c>
      <c r="F2433" s="5" t="s">
        <v>16</v>
      </c>
      <c r="G2433" s="5" t="s">
        <v>2803</v>
      </c>
      <c r="H2433" s="5" t="s">
        <v>32</v>
      </c>
      <c r="I2433" s="6" t="n">
        <v>40847.9583333333</v>
      </c>
      <c r="J2433" s="5" t="s">
        <v>19</v>
      </c>
      <c r="K2433" s="5" t="s">
        <v>20</v>
      </c>
      <c r="L2433" s="7" t="s">
        <v>6794</v>
      </c>
    </row>
    <row r="2434" customFormat="false" ht="15.65" hidden="false" customHeight="true" outlineLevel="0" collapsed="false">
      <c r="A2434" s="2" t="str">
        <f aca="false">HYPERLINK("https://www.fabsurplus.com/sdi_catalog/salesItemDetails.do?id=106818")</f>
        <v>https://www.fabsurplus.com/sdi_catalog/salesItemDetails.do?id=106818</v>
      </c>
      <c r="B2434" s="2" t="s">
        <v>6795</v>
      </c>
      <c r="C2434" s="2" t="s">
        <v>6796</v>
      </c>
      <c r="D2434" s="2" t="s">
        <v>6797</v>
      </c>
      <c r="E2434" s="2" t="s">
        <v>6798</v>
      </c>
      <c r="F2434" s="2" t="s">
        <v>16</v>
      </c>
      <c r="G2434" s="2" t="s">
        <v>6799</v>
      </c>
      <c r="H2434" s="2"/>
      <c r="I2434" s="2"/>
      <c r="J2434" s="2" t="s">
        <v>42</v>
      </c>
      <c r="K2434" s="2"/>
      <c r="L2434" s="2" t="s">
        <v>142</v>
      </c>
    </row>
    <row r="2435" customFormat="false" ht="15.65" hidden="false" customHeight="true" outlineLevel="0" collapsed="false">
      <c r="A2435" s="5" t="str">
        <f aca="false">HYPERLINK("https://www.fabsurplus.com/sdi_catalog/salesItemDetails.do?id=106819")</f>
        <v>https://www.fabsurplus.com/sdi_catalog/salesItemDetails.do?id=106819</v>
      </c>
      <c r="B2435" s="5" t="s">
        <v>6800</v>
      </c>
      <c r="C2435" s="5" t="s">
        <v>6796</v>
      </c>
      <c r="D2435" s="5" t="s">
        <v>6801</v>
      </c>
      <c r="E2435" s="5" t="s">
        <v>6798</v>
      </c>
      <c r="F2435" s="5" t="s">
        <v>16</v>
      </c>
      <c r="G2435" s="5" t="s">
        <v>6799</v>
      </c>
      <c r="H2435" s="5"/>
      <c r="I2435" s="5"/>
      <c r="J2435" s="5" t="s">
        <v>42</v>
      </c>
      <c r="K2435" s="5"/>
      <c r="L2435" s="5" t="s">
        <v>142</v>
      </c>
    </row>
    <row r="2436" customFormat="false" ht="15.65" hidden="false" customHeight="true" outlineLevel="0" collapsed="false">
      <c r="A2436" s="2" t="str">
        <f aca="false">HYPERLINK("https://www.fabsurplus.com/sdi_catalog/salesItemDetails.do?id=110608")</f>
        <v>https://www.fabsurplus.com/sdi_catalog/salesItemDetails.do?id=110608</v>
      </c>
      <c r="B2436" s="2" t="s">
        <v>6802</v>
      </c>
      <c r="C2436" s="2" t="s">
        <v>6803</v>
      </c>
      <c r="D2436" s="2" t="s">
        <v>6804</v>
      </c>
      <c r="E2436" s="2" t="s">
        <v>6805</v>
      </c>
      <c r="F2436" s="2" t="s">
        <v>16</v>
      </c>
      <c r="G2436" s="2" t="s">
        <v>1362</v>
      </c>
      <c r="H2436" s="2" t="s">
        <v>18</v>
      </c>
      <c r="I2436" s="2"/>
      <c r="J2436" s="2" t="s">
        <v>42</v>
      </c>
      <c r="K2436" s="2" t="s">
        <v>20</v>
      </c>
      <c r="L2436" s="4" t="s">
        <v>6806</v>
      </c>
    </row>
    <row r="2437" customFormat="false" ht="15.65" hidden="false" customHeight="true" outlineLevel="0" collapsed="false">
      <c r="A2437" s="5" t="str">
        <f aca="false">HYPERLINK("https://www.fabsurplus.com/sdi_catalog/salesItemDetails.do?id=84388")</f>
        <v>https://www.fabsurplus.com/sdi_catalog/salesItemDetails.do?id=84388</v>
      </c>
      <c r="B2437" s="5" t="s">
        <v>6807</v>
      </c>
      <c r="C2437" s="5" t="s">
        <v>6803</v>
      </c>
      <c r="D2437" s="5" t="s">
        <v>6808</v>
      </c>
      <c r="E2437" s="5" t="s">
        <v>6809</v>
      </c>
      <c r="F2437" s="5" t="s">
        <v>108</v>
      </c>
      <c r="G2437" s="5"/>
      <c r="H2437" s="5" t="s">
        <v>98</v>
      </c>
      <c r="I2437" s="5"/>
      <c r="J2437" s="5" t="s">
        <v>19</v>
      </c>
      <c r="K2437" s="5" t="s">
        <v>20</v>
      </c>
      <c r="L2437" s="7" t="s">
        <v>6810</v>
      </c>
    </row>
    <row r="2438" customFormat="false" ht="15.65" hidden="false" customHeight="true" outlineLevel="0" collapsed="false">
      <c r="A2438" s="2" t="str">
        <f aca="false">HYPERLINK("https://www.fabsurplus.com/sdi_catalog/salesItemDetails.do?id=84392")</f>
        <v>https://www.fabsurplus.com/sdi_catalog/salesItemDetails.do?id=84392</v>
      </c>
      <c r="B2438" s="2" t="s">
        <v>6811</v>
      </c>
      <c r="C2438" s="2" t="s">
        <v>6803</v>
      </c>
      <c r="D2438" s="2" t="s">
        <v>6812</v>
      </c>
      <c r="E2438" s="2" t="s">
        <v>6809</v>
      </c>
      <c r="F2438" s="2" t="s">
        <v>236</v>
      </c>
      <c r="G2438" s="2"/>
      <c r="H2438" s="2" t="s">
        <v>98</v>
      </c>
      <c r="I2438" s="2"/>
      <c r="J2438" s="2" t="s">
        <v>19</v>
      </c>
      <c r="K2438" s="2" t="s">
        <v>20</v>
      </c>
      <c r="L2438" s="4" t="s">
        <v>6813</v>
      </c>
    </row>
    <row r="2439" customFormat="false" ht="15.65" hidden="false" customHeight="true" outlineLevel="0" collapsed="false">
      <c r="A2439" s="5" t="str">
        <f aca="false">HYPERLINK("https://www.fabsurplus.com/sdi_catalog/salesItemDetails.do?id=84393")</f>
        <v>https://www.fabsurplus.com/sdi_catalog/salesItemDetails.do?id=84393</v>
      </c>
      <c r="B2439" s="5" t="s">
        <v>6814</v>
      </c>
      <c r="C2439" s="5" t="s">
        <v>6803</v>
      </c>
      <c r="D2439" s="5" t="s">
        <v>6812</v>
      </c>
      <c r="E2439" s="5" t="s">
        <v>6809</v>
      </c>
      <c r="F2439" s="5" t="s">
        <v>16</v>
      </c>
      <c r="G2439" s="5"/>
      <c r="H2439" s="5" t="s">
        <v>98</v>
      </c>
      <c r="I2439" s="5"/>
      <c r="J2439" s="5" t="s">
        <v>19</v>
      </c>
      <c r="K2439" s="5" t="s">
        <v>20</v>
      </c>
      <c r="L2439" s="7" t="s">
        <v>6815</v>
      </c>
    </row>
    <row r="2440" customFormat="false" ht="15.65" hidden="false" customHeight="true" outlineLevel="0" collapsed="false">
      <c r="A2440" s="2" t="str">
        <f aca="false">HYPERLINK("https://www.fabsurplus.com/sdi_catalog/salesItemDetails.do?id=84394")</f>
        <v>https://www.fabsurplus.com/sdi_catalog/salesItemDetails.do?id=84394</v>
      </c>
      <c r="B2440" s="2" t="s">
        <v>6816</v>
      </c>
      <c r="C2440" s="2" t="s">
        <v>6803</v>
      </c>
      <c r="D2440" s="2" t="s">
        <v>6812</v>
      </c>
      <c r="E2440" s="2" t="s">
        <v>6809</v>
      </c>
      <c r="F2440" s="2" t="s">
        <v>86</v>
      </c>
      <c r="G2440" s="2"/>
      <c r="H2440" s="2" t="s">
        <v>98</v>
      </c>
      <c r="I2440" s="2"/>
      <c r="J2440" s="2" t="s">
        <v>19</v>
      </c>
      <c r="K2440" s="2" t="s">
        <v>20</v>
      </c>
      <c r="L2440" s="4" t="s">
        <v>6817</v>
      </c>
    </row>
    <row r="2441" customFormat="false" ht="15.65" hidden="false" customHeight="true" outlineLevel="0" collapsed="false">
      <c r="A2441" s="5" t="str">
        <f aca="false">HYPERLINK("https://www.fabsurplus.com/sdi_catalog/salesItemDetails.do?id=109016")</f>
        <v>https://www.fabsurplus.com/sdi_catalog/salesItemDetails.do?id=109016</v>
      </c>
      <c r="B2441" s="5" t="s">
        <v>6818</v>
      </c>
      <c r="C2441" s="5" t="s">
        <v>6803</v>
      </c>
      <c r="D2441" s="5" t="s">
        <v>6804</v>
      </c>
      <c r="E2441" s="5" t="s">
        <v>6805</v>
      </c>
      <c r="F2441" s="5" t="s">
        <v>16</v>
      </c>
      <c r="G2441" s="5" t="s">
        <v>1362</v>
      </c>
      <c r="H2441" s="5" t="s">
        <v>18</v>
      </c>
      <c r="I2441" s="5"/>
      <c r="J2441" s="5" t="s">
        <v>42</v>
      </c>
      <c r="K2441" s="5" t="s">
        <v>20</v>
      </c>
      <c r="L2441" s="7" t="s">
        <v>6806</v>
      </c>
    </row>
    <row r="2442" customFormat="false" ht="15.65" hidden="false" customHeight="true" outlineLevel="0" collapsed="false">
      <c r="A2442" s="2" t="str">
        <f aca="false">HYPERLINK("https://www.fabsurplus.com/sdi_catalog/salesItemDetails.do?id=109189")</f>
        <v>https://www.fabsurplus.com/sdi_catalog/salesItemDetails.do?id=109189</v>
      </c>
      <c r="B2442" s="2" t="s">
        <v>6819</v>
      </c>
      <c r="C2442" s="2" t="s">
        <v>6820</v>
      </c>
      <c r="D2442" s="2" t="s">
        <v>1222</v>
      </c>
      <c r="E2442" s="2" t="s">
        <v>6821</v>
      </c>
      <c r="F2442" s="2" t="s">
        <v>16</v>
      </c>
      <c r="G2442" s="2" t="s">
        <v>392</v>
      </c>
      <c r="H2442" s="2"/>
      <c r="I2442" s="2"/>
      <c r="J2442" s="2" t="s">
        <v>19</v>
      </c>
      <c r="K2442" s="2"/>
      <c r="L2442" s="2"/>
    </row>
    <row r="2443" customFormat="false" ht="15.65" hidden="false" customHeight="true" outlineLevel="0" collapsed="false">
      <c r="A2443" s="5" t="str">
        <f aca="false">HYPERLINK("https://www.fabsurplus.com/sdi_catalog/salesItemDetails.do?id=109190")</f>
        <v>https://www.fabsurplus.com/sdi_catalog/salesItemDetails.do?id=109190</v>
      </c>
      <c r="B2443" s="5" t="s">
        <v>6822</v>
      </c>
      <c r="C2443" s="5" t="s">
        <v>6820</v>
      </c>
      <c r="D2443" s="5" t="s">
        <v>1218</v>
      </c>
      <c r="E2443" s="5" t="s">
        <v>6821</v>
      </c>
      <c r="F2443" s="5" t="s">
        <v>16</v>
      </c>
      <c r="G2443" s="5" t="s">
        <v>392</v>
      </c>
      <c r="H2443" s="5"/>
      <c r="I2443" s="5"/>
      <c r="J2443" s="5" t="s">
        <v>19</v>
      </c>
      <c r="K2443" s="5"/>
      <c r="L2443" s="5"/>
    </row>
    <row r="2444" customFormat="false" ht="15.65" hidden="false" customHeight="true" outlineLevel="0" collapsed="false">
      <c r="A2444" s="2" t="str">
        <f aca="false">HYPERLINK("https://www.fabsurplus.com/sdi_catalog/salesItemDetails.do?id=108836")</f>
        <v>https://www.fabsurplus.com/sdi_catalog/salesItemDetails.do?id=108836</v>
      </c>
      <c r="B2444" s="2" t="s">
        <v>6823</v>
      </c>
      <c r="C2444" s="2" t="s">
        <v>6824</v>
      </c>
      <c r="D2444" s="2" t="s">
        <v>6825</v>
      </c>
      <c r="E2444" s="2" t="s">
        <v>6826</v>
      </c>
      <c r="F2444" s="2" t="s">
        <v>16</v>
      </c>
      <c r="G2444" s="2" t="s">
        <v>6474</v>
      </c>
      <c r="H2444" s="2"/>
      <c r="I2444" s="2"/>
      <c r="J2444" s="2" t="s">
        <v>42</v>
      </c>
      <c r="K2444" s="2"/>
      <c r="L2444" s="2" t="s">
        <v>131</v>
      </c>
    </row>
    <row r="2445" customFormat="false" ht="15.65" hidden="false" customHeight="true" outlineLevel="0" collapsed="false">
      <c r="A2445" s="5" t="str">
        <f aca="false">HYPERLINK("https://www.fabsurplus.com/sdi_catalog/salesItemDetails.do?id=108759")</f>
        <v>https://www.fabsurplus.com/sdi_catalog/salesItemDetails.do?id=108759</v>
      </c>
      <c r="B2445" s="5" t="s">
        <v>6827</v>
      </c>
      <c r="C2445" s="5" t="s">
        <v>6824</v>
      </c>
      <c r="D2445" s="5" t="s">
        <v>6828</v>
      </c>
      <c r="E2445" s="5" t="s">
        <v>6829</v>
      </c>
      <c r="F2445" s="5" t="s">
        <v>16</v>
      </c>
      <c r="G2445" s="5"/>
      <c r="H2445" s="5"/>
      <c r="I2445" s="5"/>
      <c r="J2445" s="5" t="s">
        <v>19</v>
      </c>
      <c r="K2445" s="5"/>
      <c r="L2445" s="5"/>
    </row>
    <row r="2446" customFormat="false" ht="15.65" hidden="false" customHeight="true" outlineLevel="0" collapsed="false">
      <c r="A2446" s="2" t="str">
        <f aca="false">HYPERLINK("https://www.fabsurplus.com/sdi_catalog/salesItemDetails.do?id=109075")</f>
        <v>https://www.fabsurplus.com/sdi_catalog/salesItemDetails.do?id=109075</v>
      </c>
      <c r="B2446" s="2" t="s">
        <v>6830</v>
      </c>
      <c r="C2446" s="2" t="s">
        <v>6831</v>
      </c>
      <c r="D2446" s="2" t="s">
        <v>6832</v>
      </c>
      <c r="E2446" s="2" t="s">
        <v>6833</v>
      </c>
      <c r="F2446" s="2" t="s">
        <v>16</v>
      </c>
      <c r="G2446" s="2" t="s">
        <v>97</v>
      </c>
      <c r="H2446" s="2" t="s">
        <v>32</v>
      </c>
      <c r="I2446" s="3" t="n">
        <v>39387</v>
      </c>
      <c r="J2446" s="2" t="s">
        <v>19</v>
      </c>
      <c r="K2446" s="2" t="s">
        <v>20</v>
      </c>
      <c r="L2446" s="4" t="s">
        <v>6834</v>
      </c>
    </row>
    <row r="2447" customFormat="false" ht="15.65" hidden="false" customHeight="true" outlineLevel="0" collapsed="false">
      <c r="A2447" s="5" t="str">
        <f aca="false">HYPERLINK("https://www.fabsurplus.com/sdi_catalog/salesItemDetails.do?id=108569")</f>
        <v>https://www.fabsurplus.com/sdi_catalog/salesItemDetails.do?id=108569</v>
      </c>
      <c r="B2447" s="5" t="s">
        <v>6835</v>
      </c>
      <c r="C2447" s="5" t="s">
        <v>6831</v>
      </c>
      <c r="D2447" s="5" t="s">
        <v>6836</v>
      </c>
      <c r="E2447" s="5" t="s">
        <v>6837</v>
      </c>
      <c r="F2447" s="5" t="s">
        <v>16</v>
      </c>
      <c r="G2447" s="5" t="s">
        <v>38</v>
      </c>
      <c r="H2447" s="5" t="s">
        <v>32</v>
      </c>
      <c r="I2447" s="6" t="n">
        <v>34820</v>
      </c>
      <c r="J2447" s="5" t="s">
        <v>19</v>
      </c>
      <c r="K2447" s="5" t="s">
        <v>20</v>
      </c>
      <c r="L2447" s="5" t="s">
        <v>6838</v>
      </c>
    </row>
    <row r="2448" customFormat="false" ht="15.65" hidden="false" customHeight="true" outlineLevel="0" collapsed="false">
      <c r="A2448" s="2" t="str">
        <f aca="false">HYPERLINK("https://www.fabsurplus.com/sdi_catalog/salesItemDetails.do?id=84000")</f>
        <v>https://www.fabsurplus.com/sdi_catalog/salesItemDetails.do?id=84000</v>
      </c>
      <c r="B2448" s="2" t="s">
        <v>6839</v>
      </c>
      <c r="C2448" s="2" t="s">
        <v>6831</v>
      </c>
      <c r="D2448" s="2" t="s">
        <v>6840</v>
      </c>
      <c r="E2448" s="2" t="s">
        <v>6841</v>
      </c>
      <c r="F2448" s="2" t="s">
        <v>16</v>
      </c>
      <c r="G2448" s="2" t="s">
        <v>165</v>
      </c>
      <c r="H2448" s="2" t="s">
        <v>18</v>
      </c>
      <c r="I2448" s="3" t="n">
        <v>35095.9583333333</v>
      </c>
      <c r="J2448" s="2" t="s">
        <v>42</v>
      </c>
      <c r="K2448" s="2" t="s">
        <v>20</v>
      </c>
      <c r="L2448" s="4" t="s">
        <v>6842</v>
      </c>
    </row>
    <row r="2449" customFormat="false" ht="15.65" hidden="false" customHeight="true" outlineLevel="0" collapsed="false">
      <c r="A2449" s="5" t="str">
        <f aca="false">HYPERLINK("https://www.fabsurplus.com/sdi_catalog/salesItemDetails.do?id=86304")</f>
        <v>https://www.fabsurplus.com/sdi_catalog/salesItemDetails.do?id=86304</v>
      </c>
      <c r="B2449" s="5" t="s">
        <v>6843</v>
      </c>
      <c r="C2449" s="5" t="s">
        <v>6831</v>
      </c>
      <c r="D2449" s="5" t="s">
        <v>6844</v>
      </c>
      <c r="E2449" s="5" t="s">
        <v>6845</v>
      </c>
      <c r="F2449" s="5" t="s">
        <v>16</v>
      </c>
      <c r="G2449" s="5" t="s">
        <v>38</v>
      </c>
      <c r="H2449" s="5" t="s">
        <v>18</v>
      </c>
      <c r="I2449" s="5"/>
      <c r="J2449" s="5" t="s">
        <v>42</v>
      </c>
      <c r="K2449" s="5" t="s">
        <v>20</v>
      </c>
      <c r="L2449" s="7" t="s">
        <v>6846</v>
      </c>
    </row>
    <row r="2450" customFormat="false" ht="15.65" hidden="false" customHeight="true" outlineLevel="0" collapsed="false">
      <c r="A2450" s="2" t="str">
        <f aca="false">HYPERLINK("https://www.fabsurplus.com/sdi_catalog/salesItemDetails.do?id=53026")</f>
        <v>https://www.fabsurplus.com/sdi_catalog/salesItemDetails.do?id=53026</v>
      </c>
      <c r="B2450" s="2" t="s">
        <v>6847</v>
      </c>
      <c r="C2450" s="2" t="s">
        <v>6831</v>
      </c>
      <c r="D2450" s="2" t="s">
        <v>6848</v>
      </c>
      <c r="E2450" s="2" t="s">
        <v>6849</v>
      </c>
      <c r="F2450" s="2" t="s">
        <v>16</v>
      </c>
      <c r="G2450" s="2" t="s">
        <v>97</v>
      </c>
      <c r="H2450" s="2" t="s">
        <v>18</v>
      </c>
      <c r="I2450" s="2"/>
      <c r="J2450" s="2" t="s">
        <v>19</v>
      </c>
      <c r="K2450" s="2" t="s">
        <v>20</v>
      </c>
      <c r="L2450" s="4" t="s">
        <v>6850</v>
      </c>
    </row>
    <row r="2451" customFormat="false" ht="15.65" hidden="false" customHeight="true" outlineLevel="0" collapsed="false">
      <c r="A2451" s="5" t="str">
        <f aca="false">HYPERLINK("https://www.fabsurplus.com/sdi_catalog/salesItemDetails.do?id=87086")</f>
        <v>https://www.fabsurplus.com/sdi_catalog/salesItemDetails.do?id=87086</v>
      </c>
      <c r="B2451" s="5" t="s">
        <v>6851</v>
      </c>
      <c r="C2451" s="5" t="s">
        <v>6831</v>
      </c>
      <c r="D2451" s="5" t="s">
        <v>6852</v>
      </c>
      <c r="E2451" s="5" t="s">
        <v>6853</v>
      </c>
      <c r="F2451" s="5" t="s">
        <v>16</v>
      </c>
      <c r="G2451" s="5" t="s">
        <v>38</v>
      </c>
      <c r="H2451" s="5" t="s">
        <v>18</v>
      </c>
      <c r="I2451" s="5"/>
      <c r="J2451" s="5" t="s">
        <v>19</v>
      </c>
      <c r="K2451" s="5" t="s">
        <v>20</v>
      </c>
      <c r="L2451" s="7" t="s">
        <v>6854</v>
      </c>
    </row>
    <row r="2452" customFormat="false" ht="15.65" hidden="false" customHeight="true" outlineLevel="0" collapsed="false">
      <c r="A2452" s="2" t="str">
        <f aca="false">HYPERLINK("https://www.fabsurplus.com/sdi_catalog/salesItemDetails.do?id=109106")</f>
        <v>https://www.fabsurplus.com/sdi_catalog/salesItemDetails.do?id=109106</v>
      </c>
      <c r="B2452" s="2" t="s">
        <v>6855</v>
      </c>
      <c r="C2452" s="2" t="s">
        <v>6831</v>
      </c>
      <c r="D2452" s="2" t="s">
        <v>6856</v>
      </c>
      <c r="E2452" s="2" t="s">
        <v>6857</v>
      </c>
      <c r="F2452" s="2" t="s">
        <v>16</v>
      </c>
      <c r="G2452" s="2" t="s">
        <v>38</v>
      </c>
      <c r="H2452" s="2" t="s">
        <v>453</v>
      </c>
      <c r="I2452" s="3" t="n">
        <v>38504</v>
      </c>
      <c r="J2452" s="2" t="s">
        <v>19</v>
      </c>
      <c r="K2452" s="2" t="s">
        <v>20</v>
      </c>
      <c r="L2452" s="4" t="s">
        <v>6858</v>
      </c>
    </row>
    <row r="2453" customFormat="false" ht="15.65" hidden="false" customHeight="true" outlineLevel="0" collapsed="false">
      <c r="A2453" s="5" t="str">
        <f aca="false">HYPERLINK("https://www.fabsurplus.com/sdi_catalog/salesItemDetails.do?id=34115")</f>
        <v>https://www.fabsurplus.com/sdi_catalog/salesItemDetails.do?id=34115</v>
      </c>
      <c r="B2453" s="5" t="s">
        <v>6859</v>
      </c>
      <c r="C2453" s="5" t="s">
        <v>6831</v>
      </c>
      <c r="D2453" s="5" t="s">
        <v>6860</v>
      </c>
      <c r="E2453" s="5" t="s">
        <v>6861</v>
      </c>
      <c r="F2453" s="5" t="s">
        <v>16</v>
      </c>
      <c r="G2453" s="5"/>
      <c r="H2453" s="5"/>
      <c r="I2453" s="5"/>
      <c r="J2453" s="5"/>
      <c r="K2453" s="5"/>
      <c r="L2453" s="5"/>
    </row>
    <row r="2454" customFormat="false" ht="15.65" hidden="false" customHeight="true" outlineLevel="0" collapsed="false">
      <c r="A2454" s="2" t="str">
        <f aca="false">HYPERLINK("https://www.fabsurplus.com/sdi_catalog/salesItemDetails.do?id=110659")</f>
        <v>https://www.fabsurplus.com/sdi_catalog/salesItemDetails.do?id=110659</v>
      </c>
      <c r="B2454" s="2" t="s">
        <v>6862</v>
      </c>
      <c r="C2454" s="2" t="s">
        <v>6831</v>
      </c>
      <c r="D2454" s="2" t="s">
        <v>6863</v>
      </c>
      <c r="E2454" s="2" t="s">
        <v>6864</v>
      </c>
      <c r="F2454" s="2" t="s">
        <v>16</v>
      </c>
      <c r="G2454" s="2" t="s">
        <v>6865</v>
      </c>
      <c r="H2454" s="2" t="s">
        <v>4148</v>
      </c>
      <c r="I2454" s="3" t="n">
        <v>35947</v>
      </c>
      <c r="J2454" s="2" t="s">
        <v>19</v>
      </c>
      <c r="K2454" s="2" t="s">
        <v>20</v>
      </c>
      <c r="L2454" s="4" t="s">
        <v>6866</v>
      </c>
    </row>
    <row r="2455" customFormat="false" ht="15.65" hidden="false" customHeight="true" outlineLevel="0" collapsed="false">
      <c r="A2455" s="5" t="str">
        <f aca="false">HYPERLINK("https://www.fabsurplus.com/sdi_catalog/salesItemDetails.do?id=110660")</f>
        <v>https://www.fabsurplus.com/sdi_catalog/salesItemDetails.do?id=110660</v>
      </c>
      <c r="B2455" s="5" t="s">
        <v>6867</v>
      </c>
      <c r="C2455" s="5" t="s">
        <v>6831</v>
      </c>
      <c r="D2455" s="5" t="s">
        <v>6868</v>
      </c>
      <c r="E2455" s="5" t="s">
        <v>6869</v>
      </c>
      <c r="F2455" s="5" t="s">
        <v>16</v>
      </c>
      <c r="G2455" s="5" t="s">
        <v>6870</v>
      </c>
      <c r="H2455" s="5" t="s">
        <v>32</v>
      </c>
      <c r="I2455" s="5"/>
      <c r="J2455" s="5" t="s">
        <v>19</v>
      </c>
      <c r="K2455" s="5" t="s">
        <v>20</v>
      </c>
      <c r="L2455" s="7" t="s">
        <v>6871</v>
      </c>
    </row>
    <row r="2456" customFormat="false" ht="15.65" hidden="false" customHeight="true" outlineLevel="0" collapsed="false">
      <c r="A2456" s="2" t="str">
        <f aca="false">HYPERLINK("https://www.fabsurplus.com/sdi_catalog/salesItemDetails.do?id=34118")</f>
        <v>https://www.fabsurplus.com/sdi_catalog/salesItemDetails.do?id=34118</v>
      </c>
      <c r="B2456" s="2" t="s">
        <v>6872</v>
      </c>
      <c r="C2456" s="2" t="s">
        <v>6831</v>
      </c>
      <c r="D2456" s="2" t="s">
        <v>6873</v>
      </c>
      <c r="E2456" s="2" t="s">
        <v>6874</v>
      </c>
      <c r="F2456" s="2" t="s">
        <v>16</v>
      </c>
      <c r="G2456" s="2"/>
      <c r="H2456" s="2"/>
      <c r="I2456" s="2"/>
      <c r="J2456" s="2"/>
      <c r="K2456" s="2"/>
      <c r="L2456" s="2"/>
    </row>
    <row r="2457" customFormat="false" ht="15.65" hidden="false" customHeight="true" outlineLevel="0" collapsed="false">
      <c r="A2457" s="5" t="str">
        <f aca="false">HYPERLINK("https://www.fabsurplus.com/sdi_catalog/salesItemDetails.do?id=34119")</f>
        <v>https://www.fabsurplus.com/sdi_catalog/salesItemDetails.do?id=34119</v>
      </c>
      <c r="B2457" s="5" t="s">
        <v>6875</v>
      </c>
      <c r="C2457" s="5" t="s">
        <v>6831</v>
      </c>
      <c r="D2457" s="5" t="s">
        <v>6876</v>
      </c>
      <c r="E2457" s="5" t="s">
        <v>6877</v>
      </c>
      <c r="F2457" s="5" t="s">
        <v>16</v>
      </c>
      <c r="G2457" s="5" t="s">
        <v>104</v>
      </c>
      <c r="H2457" s="5"/>
      <c r="I2457" s="5"/>
      <c r="J2457" s="5"/>
      <c r="K2457" s="5"/>
      <c r="L2457" s="5"/>
    </row>
    <row r="2458" customFormat="false" ht="15.65" hidden="false" customHeight="true" outlineLevel="0" collapsed="false">
      <c r="A2458" s="2" t="str">
        <f aca="false">HYPERLINK("https://www.fabsurplus.com/sdi_catalog/salesItemDetails.do?id=34121")</f>
        <v>https://www.fabsurplus.com/sdi_catalog/salesItemDetails.do?id=34121</v>
      </c>
      <c r="B2458" s="2" t="s">
        <v>6878</v>
      </c>
      <c r="C2458" s="2" t="s">
        <v>6831</v>
      </c>
      <c r="D2458" s="2" t="s">
        <v>6879</v>
      </c>
      <c r="E2458" s="2" t="s">
        <v>6880</v>
      </c>
      <c r="F2458" s="2" t="s">
        <v>16</v>
      </c>
      <c r="G2458" s="2"/>
      <c r="H2458" s="2" t="s">
        <v>18</v>
      </c>
      <c r="I2458" s="2"/>
      <c r="J2458" s="2" t="s">
        <v>19</v>
      </c>
      <c r="K2458" s="2" t="s">
        <v>20</v>
      </c>
      <c r="L2458" s="4" t="s">
        <v>6881</v>
      </c>
    </row>
    <row r="2459" customFormat="false" ht="15.65" hidden="false" customHeight="true" outlineLevel="0" collapsed="false">
      <c r="A2459" s="5" t="str">
        <f aca="false">HYPERLINK("https://www.fabsurplus.com/sdi_catalog/salesItemDetails.do?id=34122")</f>
        <v>https://www.fabsurplus.com/sdi_catalog/salesItemDetails.do?id=34122</v>
      </c>
      <c r="B2459" s="5" t="s">
        <v>6882</v>
      </c>
      <c r="C2459" s="5" t="s">
        <v>6831</v>
      </c>
      <c r="D2459" s="5" t="s">
        <v>6879</v>
      </c>
      <c r="E2459" s="5" t="s">
        <v>6883</v>
      </c>
      <c r="F2459" s="5" t="s">
        <v>16</v>
      </c>
      <c r="G2459" s="5"/>
      <c r="H2459" s="5"/>
      <c r="I2459" s="5"/>
      <c r="J2459" s="5"/>
      <c r="K2459" s="5"/>
      <c r="L2459" s="5"/>
    </row>
    <row r="2460" customFormat="false" ht="15.65" hidden="false" customHeight="true" outlineLevel="0" collapsed="false">
      <c r="A2460" s="2" t="str">
        <f aca="false">HYPERLINK("https://www.fabsurplus.com/sdi_catalog/salesItemDetails.do?id=34123")</f>
        <v>https://www.fabsurplus.com/sdi_catalog/salesItemDetails.do?id=34123</v>
      </c>
      <c r="B2460" s="2" t="s">
        <v>6884</v>
      </c>
      <c r="C2460" s="2" t="s">
        <v>6831</v>
      </c>
      <c r="D2460" s="2" t="s">
        <v>6879</v>
      </c>
      <c r="E2460" s="2" t="s">
        <v>6885</v>
      </c>
      <c r="F2460" s="2" t="s">
        <v>16</v>
      </c>
      <c r="G2460" s="2"/>
      <c r="H2460" s="2"/>
      <c r="I2460" s="2"/>
      <c r="J2460" s="2"/>
      <c r="K2460" s="2"/>
      <c r="L2460" s="2"/>
    </row>
    <row r="2461" customFormat="false" ht="15.65" hidden="false" customHeight="true" outlineLevel="0" collapsed="false">
      <c r="A2461" s="5" t="str">
        <f aca="false">HYPERLINK("https://www.fabsurplus.com/sdi_catalog/salesItemDetails.do?id=84301")</f>
        <v>https://www.fabsurplus.com/sdi_catalog/salesItemDetails.do?id=84301</v>
      </c>
      <c r="B2461" s="5" t="s">
        <v>6886</v>
      </c>
      <c r="C2461" s="5" t="s">
        <v>6831</v>
      </c>
      <c r="D2461" s="5" t="s">
        <v>6887</v>
      </c>
      <c r="E2461" s="5" t="s">
        <v>6888</v>
      </c>
      <c r="F2461" s="5" t="s">
        <v>16</v>
      </c>
      <c r="G2461" s="5" t="s">
        <v>104</v>
      </c>
      <c r="H2461" s="5" t="s">
        <v>18</v>
      </c>
      <c r="I2461" s="5"/>
      <c r="J2461" s="5" t="s">
        <v>19</v>
      </c>
      <c r="K2461" s="5" t="s">
        <v>20</v>
      </c>
      <c r="L2461" s="5" t="s">
        <v>6889</v>
      </c>
    </row>
    <row r="2462" customFormat="false" ht="15.65" hidden="false" customHeight="true" outlineLevel="0" collapsed="false">
      <c r="A2462" s="2" t="str">
        <f aca="false">HYPERLINK("https://www.fabsurplus.com/sdi_catalog/salesItemDetails.do?id=84302")</f>
        <v>https://www.fabsurplus.com/sdi_catalog/salesItemDetails.do?id=84302</v>
      </c>
      <c r="B2462" s="2" t="s">
        <v>6890</v>
      </c>
      <c r="C2462" s="2" t="s">
        <v>6831</v>
      </c>
      <c r="D2462" s="2" t="s">
        <v>6891</v>
      </c>
      <c r="E2462" s="2" t="s">
        <v>6892</v>
      </c>
      <c r="F2462" s="2" t="s">
        <v>16</v>
      </c>
      <c r="G2462" s="2" t="s">
        <v>104</v>
      </c>
      <c r="H2462" s="2" t="s">
        <v>18</v>
      </c>
      <c r="I2462" s="2"/>
      <c r="J2462" s="2" t="s">
        <v>19</v>
      </c>
      <c r="K2462" s="2" t="s">
        <v>20</v>
      </c>
      <c r="L2462" s="2" t="s">
        <v>6889</v>
      </c>
    </row>
    <row r="2463" customFormat="false" ht="15.65" hidden="false" customHeight="true" outlineLevel="0" collapsed="false">
      <c r="A2463" s="5" t="str">
        <f aca="false">HYPERLINK("https://www.fabsurplus.com/sdi_catalog/salesItemDetails.do?id=84303")</f>
        <v>https://www.fabsurplus.com/sdi_catalog/salesItemDetails.do?id=84303</v>
      </c>
      <c r="B2463" s="5" t="s">
        <v>6893</v>
      </c>
      <c r="C2463" s="5" t="s">
        <v>6831</v>
      </c>
      <c r="D2463" s="5" t="s">
        <v>6894</v>
      </c>
      <c r="E2463" s="5" t="s">
        <v>6895</v>
      </c>
      <c r="F2463" s="5" t="s">
        <v>16</v>
      </c>
      <c r="G2463" s="5" t="s">
        <v>104</v>
      </c>
      <c r="H2463" s="5" t="s">
        <v>18</v>
      </c>
      <c r="I2463" s="5"/>
      <c r="J2463" s="5" t="s">
        <v>19</v>
      </c>
      <c r="K2463" s="5" t="s">
        <v>20</v>
      </c>
      <c r="L2463" s="5" t="s">
        <v>6889</v>
      </c>
    </row>
    <row r="2464" customFormat="false" ht="15.65" hidden="false" customHeight="true" outlineLevel="0" collapsed="false">
      <c r="A2464" s="2" t="str">
        <f aca="false">HYPERLINK("https://www.fabsurplus.com/sdi_catalog/salesItemDetails.do?id=84304")</f>
        <v>https://www.fabsurplus.com/sdi_catalog/salesItemDetails.do?id=84304</v>
      </c>
      <c r="B2464" s="2" t="s">
        <v>6896</v>
      </c>
      <c r="C2464" s="2" t="s">
        <v>6831</v>
      </c>
      <c r="D2464" s="2" t="s">
        <v>6897</v>
      </c>
      <c r="E2464" s="2" t="s">
        <v>6898</v>
      </c>
      <c r="F2464" s="2" t="s">
        <v>151</v>
      </c>
      <c r="G2464" s="2" t="s">
        <v>104</v>
      </c>
      <c r="H2464" s="2" t="s">
        <v>18</v>
      </c>
      <c r="I2464" s="2"/>
      <c r="J2464" s="2" t="s">
        <v>19</v>
      </c>
      <c r="K2464" s="2" t="s">
        <v>20</v>
      </c>
      <c r="L2464" s="4" t="s">
        <v>6899</v>
      </c>
    </row>
    <row r="2465" customFormat="false" ht="15.65" hidden="false" customHeight="true" outlineLevel="0" collapsed="false">
      <c r="A2465" s="5" t="str">
        <f aca="false">HYPERLINK("https://www.fabsurplus.com/sdi_catalog/salesItemDetails.do?id=84305")</f>
        <v>https://www.fabsurplus.com/sdi_catalog/salesItemDetails.do?id=84305</v>
      </c>
      <c r="B2465" s="5" t="s">
        <v>6900</v>
      </c>
      <c r="C2465" s="5" t="s">
        <v>6831</v>
      </c>
      <c r="D2465" s="5" t="s">
        <v>6901</v>
      </c>
      <c r="E2465" s="5" t="s">
        <v>6902</v>
      </c>
      <c r="F2465" s="5" t="s">
        <v>151</v>
      </c>
      <c r="G2465" s="5" t="s">
        <v>104</v>
      </c>
      <c r="H2465" s="5" t="s">
        <v>18</v>
      </c>
      <c r="I2465" s="5"/>
      <c r="J2465" s="5" t="s">
        <v>19</v>
      </c>
      <c r="K2465" s="5" t="s">
        <v>20</v>
      </c>
      <c r="L2465" s="5" t="s">
        <v>6889</v>
      </c>
    </row>
    <row r="2466" customFormat="false" ht="15.65" hidden="false" customHeight="true" outlineLevel="0" collapsed="false">
      <c r="A2466" s="2" t="str">
        <f aca="false">HYPERLINK("https://www.fabsurplus.com/sdi_catalog/salesItemDetails.do?id=84306")</f>
        <v>https://www.fabsurplus.com/sdi_catalog/salesItemDetails.do?id=84306</v>
      </c>
      <c r="B2466" s="2" t="s">
        <v>6903</v>
      </c>
      <c r="C2466" s="2" t="s">
        <v>6831</v>
      </c>
      <c r="D2466" s="2" t="s">
        <v>6904</v>
      </c>
      <c r="E2466" s="2" t="s">
        <v>6905</v>
      </c>
      <c r="F2466" s="2" t="s">
        <v>16</v>
      </c>
      <c r="G2466" s="2" t="s">
        <v>104</v>
      </c>
      <c r="H2466" s="2" t="s">
        <v>18</v>
      </c>
      <c r="I2466" s="2"/>
      <c r="J2466" s="2" t="s">
        <v>19</v>
      </c>
      <c r="K2466" s="2" t="s">
        <v>20</v>
      </c>
      <c r="L2466" s="2" t="s">
        <v>6889</v>
      </c>
    </row>
    <row r="2467" customFormat="false" ht="15.65" hidden="false" customHeight="true" outlineLevel="0" collapsed="false">
      <c r="A2467" s="5" t="str">
        <f aca="false">HYPERLINK("https://www.fabsurplus.com/sdi_catalog/salesItemDetails.do?id=106066")</f>
        <v>https://www.fabsurplus.com/sdi_catalog/salesItemDetails.do?id=106066</v>
      </c>
      <c r="B2467" s="5" t="s">
        <v>6906</v>
      </c>
      <c r="C2467" s="5" t="s">
        <v>6831</v>
      </c>
      <c r="D2467" s="5" t="s">
        <v>6907</v>
      </c>
      <c r="E2467" s="5" t="s">
        <v>6908</v>
      </c>
      <c r="F2467" s="5" t="s">
        <v>16</v>
      </c>
      <c r="G2467" s="5" t="s">
        <v>97</v>
      </c>
      <c r="H2467" s="5" t="s">
        <v>18</v>
      </c>
      <c r="I2467" s="6" t="n">
        <v>33025</v>
      </c>
      <c r="J2467" s="5" t="s">
        <v>19</v>
      </c>
      <c r="K2467" s="5" t="s">
        <v>20</v>
      </c>
      <c r="L2467" s="7" t="s">
        <v>6909</v>
      </c>
    </row>
    <row r="2468" customFormat="false" ht="15.65" hidden="false" customHeight="true" outlineLevel="0" collapsed="false">
      <c r="A2468" s="2" t="str">
        <f aca="false">HYPERLINK("https://www.fabsurplus.com/sdi_catalog/salesItemDetails.do?id=84307")</f>
        <v>https://www.fabsurplus.com/sdi_catalog/salesItemDetails.do?id=84307</v>
      </c>
      <c r="B2468" s="2" t="s">
        <v>6910</v>
      </c>
      <c r="C2468" s="2" t="s">
        <v>6831</v>
      </c>
      <c r="D2468" s="2" t="s">
        <v>6911</v>
      </c>
      <c r="E2468" s="2" t="s">
        <v>6912</v>
      </c>
      <c r="F2468" s="2" t="s">
        <v>16</v>
      </c>
      <c r="G2468" s="2" t="s">
        <v>104</v>
      </c>
      <c r="H2468" s="2" t="s">
        <v>18</v>
      </c>
      <c r="I2468" s="2"/>
      <c r="J2468" s="2" t="s">
        <v>19</v>
      </c>
      <c r="K2468" s="2" t="s">
        <v>20</v>
      </c>
      <c r="L2468" s="2" t="s">
        <v>6889</v>
      </c>
    </row>
    <row r="2469" customFormat="false" ht="15.65" hidden="false" customHeight="true" outlineLevel="0" collapsed="false">
      <c r="A2469" s="5" t="str">
        <f aca="false">HYPERLINK("https://www.fabsurplus.com/sdi_catalog/salesItemDetails.do?id=34131")</f>
        <v>https://www.fabsurplus.com/sdi_catalog/salesItemDetails.do?id=34131</v>
      </c>
      <c r="B2469" s="5" t="s">
        <v>6913</v>
      </c>
      <c r="C2469" s="5" t="s">
        <v>6831</v>
      </c>
      <c r="D2469" s="5" t="s">
        <v>6879</v>
      </c>
      <c r="E2469" s="5" t="s">
        <v>6914</v>
      </c>
      <c r="F2469" s="5" t="s">
        <v>16</v>
      </c>
      <c r="G2469" s="5"/>
      <c r="H2469" s="5"/>
      <c r="I2469" s="5"/>
      <c r="J2469" s="5"/>
      <c r="K2469" s="5"/>
      <c r="L2469" s="5"/>
    </row>
    <row r="2470" customFormat="false" ht="15.65" hidden="false" customHeight="true" outlineLevel="0" collapsed="false">
      <c r="A2470" s="2" t="str">
        <f aca="false">HYPERLINK("https://www.fabsurplus.com/sdi_catalog/salesItemDetails.do?id=84308")</f>
        <v>https://www.fabsurplus.com/sdi_catalog/salesItemDetails.do?id=84308</v>
      </c>
      <c r="B2470" s="2" t="s">
        <v>6915</v>
      </c>
      <c r="C2470" s="2" t="s">
        <v>6831</v>
      </c>
      <c r="D2470" s="2" t="s">
        <v>6916</v>
      </c>
      <c r="E2470" s="2" t="s">
        <v>6917</v>
      </c>
      <c r="F2470" s="2" t="s">
        <v>16</v>
      </c>
      <c r="G2470" s="2" t="s">
        <v>104</v>
      </c>
      <c r="H2470" s="2" t="s">
        <v>18</v>
      </c>
      <c r="I2470" s="2"/>
      <c r="J2470" s="2" t="s">
        <v>19</v>
      </c>
      <c r="K2470" s="2" t="s">
        <v>20</v>
      </c>
      <c r="L2470" s="2" t="s">
        <v>6889</v>
      </c>
    </row>
    <row r="2471" customFormat="false" ht="15.65" hidden="false" customHeight="true" outlineLevel="0" collapsed="false">
      <c r="A2471" s="5" t="str">
        <f aca="false">HYPERLINK("https://www.fabsurplus.com/sdi_catalog/salesItemDetails.do?id=34132")</f>
        <v>https://www.fabsurplus.com/sdi_catalog/salesItemDetails.do?id=34132</v>
      </c>
      <c r="B2471" s="5" t="s">
        <v>6918</v>
      </c>
      <c r="C2471" s="5" t="s">
        <v>6831</v>
      </c>
      <c r="D2471" s="5" t="s">
        <v>6879</v>
      </c>
      <c r="E2471" s="5" t="s">
        <v>6919</v>
      </c>
      <c r="F2471" s="5" t="s">
        <v>16</v>
      </c>
      <c r="G2471" s="5"/>
      <c r="H2471" s="5" t="s">
        <v>18</v>
      </c>
      <c r="I2471" s="5"/>
      <c r="J2471" s="5" t="s">
        <v>19</v>
      </c>
      <c r="K2471" s="5" t="s">
        <v>20</v>
      </c>
      <c r="L2471" s="5"/>
    </row>
    <row r="2472" customFormat="false" ht="15.65" hidden="false" customHeight="true" outlineLevel="0" collapsed="false">
      <c r="A2472" s="2" t="str">
        <f aca="false">HYPERLINK("https://www.fabsurplus.com/sdi_catalog/salesItemDetails.do?id=84309")</f>
        <v>https://www.fabsurplus.com/sdi_catalog/salesItemDetails.do?id=84309</v>
      </c>
      <c r="B2472" s="2" t="s">
        <v>6920</v>
      </c>
      <c r="C2472" s="2" t="s">
        <v>6831</v>
      </c>
      <c r="D2472" s="2" t="s">
        <v>6921</v>
      </c>
      <c r="E2472" s="2" t="s">
        <v>6922</v>
      </c>
      <c r="F2472" s="2" t="s">
        <v>16</v>
      </c>
      <c r="G2472" s="2" t="s">
        <v>104</v>
      </c>
      <c r="H2472" s="2" t="s">
        <v>18</v>
      </c>
      <c r="I2472" s="2"/>
      <c r="J2472" s="2" t="s">
        <v>19</v>
      </c>
      <c r="K2472" s="2" t="s">
        <v>20</v>
      </c>
      <c r="L2472" s="2" t="s">
        <v>6889</v>
      </c>
    </row>
    <row r="2473" customFormat="false" ht="15.65" hidden="false" customHeight="true" outlineLevel="0" collapsed="false">
      <c r="A2473" s="5" t="str">
        <f aca="false">HYPERLINK("https://www.fabsurplus.com/sdi_catalog/salesItemDetails.do?id=34135")</f>
        <v>https://www.fabsurplus.com/sdi_catalog/salesItemDetails.do?id=34135</v>
      </c>
      <c r="B2473" s="5" t="s">
        <v>6923</v>
      </c>
      <c r="C2473" s="5" t="s">
        <v>6831</v>
      </c>
      <c r="D2473" s="5" t="s">
        <v>6879</v>
      </c>
      <c r="E2473" s="5" t="s">
        <v>6924</v>
      </c>
      <c r="F2473" s="5" t="s">
        <v>16</v>
      </c>
      <c r="G2473" s="5"/>
      <c r="H2473" s="5" t="s">
        <v>18</v>
      </c>
      <c r="I2473" s="5"/>
      <c r="J2473" s="5" t="s">
        <v>19</v>
      </c>
      <c r="K2473" s="5" t="s">
        <v>20</v>
      </c>
      <c r="L2473" s="5" t="s">
        <v>6925</v>
      </c>
    </row>
    <row r="2474" customFormat="false" ht="15.65" hidden="false" customHeight="true" outlineLevel="0" collapsed="false">
      <c r="A2474" s="2" t="str">
        <f aca="false">HYPERLINK("https://www.fabsurplus.com/sdi_catalog/salesItemDetails.do?id=87642")</f>
        <v>https://www.fabsurplus.com/sdi_catalog/salesItemDetails.do?id=87642</v>
      </c>
      <c r="B2474" s="2" t="s">
        <v>6926</v>
      </c>
      <c r="C2474" s="2" t="s">
        <v>6831</v>
      </c>
      <c r="D2474" s="2" t="s">
        <v>6927</v>
      </c>
      <c r="E2474" s="2" t="s">
        <v>6928</v>
      </c>
      <c r="F2474" s="2" t="s">
        <v>16</v>
      </c>
      <c r="G2474" s="2" t="s">
        <v>104</v>
      </c>
      <c r="H2474" s="2" t="s">
        <v>1395</v>
      </c>
      <c r="I2474" s="2"/>
      <c r="J2474" s="2" t="s">
        <v>19</v>
      </c>
      <c r="K2474" s="2" t="s">
        <v>20</v>
      </c>
      <c r="L2474" s="4" t="s">
        <v>6929</v>
      </c>
    </row>
    <row r="2475" customFormat="false" ht="15.65" hidden="false" customHeight="true" outlineLevel="0" collapsed="false">
      <c r="A2475" s="5" t="str">
        <f aca="false">HYPERLINK("https://www.fabsurplus.com/sdi_catalog/salesItemDetails.do?id=34138")</f>
        <v>https://www.fabsurplus.com/sdi_catalog/salesItemDetails.do?id=34138</v>
      </c>
      <c r="B2475" s="5" t="s">
        <v>6930</v>
      </c>
      <c r="C2475" s="5" t="s">
        <v>6831</v>
      </c>
      <c r="D2475" s="5" t="s">
        <v>6931</v>
      </c>
      <c r="E2475" s="5" t="s">
        <v>6932</v>
      </c>
      <c r="F2475" s="5" t="s">
        <v>16</v>
      </c>
      <c r="G2475" s="5" t="s">
        <v>165</v>
      </c>
      <c r="H2475" s="5" t="s">
        <v>18</v>
      </c>
      <c r="I2475" s="5"/>
      <c r="J2475" s="5" t="s">
        <v>19</v>
      </c>
      <c r="K2475" s="5" t="s">
        <v>20</v>
      </c>
      <c r="L2475" s="5" t="s">
        <v>6933</v>
      </c>
    </row>
    <row r="2476" customFormat="false" ht="15.65" hidden="false" customHeight="true" outlineLevel="0" collapsed="false">
      <c r="A2476" s="2" t="str">
        <f aca="false">HYPERLINK("https://www.fabsurplus.com/sdi_catalog/salesItemDetails.do?id=34139")</f>
        <v>https://www.fabsurplus.com/sdi_catalog/salesItemDetails.do?id=34139</v>
      </c>
      <c r="B2476" s="2" t="s">
        <v>6934</v>
      </c>
      <c r="C2476" s="2" t="s">
        <v>6831</v>
      </c>
      <c r="D2476" s="2" t="s">
        <v>6879</v>
      </c>
      <c r="E2476" s="2" t="s">
        <v>6935</v>
      </c>
      <c r="F2476" s="2" t="s">
        <v>16</v>
      </c>
      <c r="G2476" s="2"/>
      <c r="H2476" s="2" t="s">
        <v>18</v>
      </c>
      <c r="I2476" s="2"/>
      <c r="J2476" s="2" t="s">
        <v>19</v>
      </c>
      <c r="K2476" s="2" t="s">
        <v>20</v>
      </c>
      <c r="L2476" s="2"/>
    </row>
    <row r="2477" customFormat="false" ht="15.65" hidden="false" customHeight="true" outlineLevel="0" collapsed="false">
      <c r="A2477" s="5" t="str">
        <f aca="false">HYPERLINK("https://www.fabsurplus.com/sdi_catalog/salesItemDetails.do?id=34143")</f>
        <v>https://www.fabsurplus.com/sdi_catalog/salesItemDetails.do?id=34143</v>
      </c>
      <c r="B2477" s="5" t="s">
        <v>6936</v>
      </c>
      <c r="C2477" s="5" t="s">
        <v>6831</v>
      </c>
      <c r="D2477" s="5" t="s">
        <v>6879</v>
      </c>
      <c r="E2477" s="5" t="s">
        <v>6937</v>
      </c>
      <c r="F2477" s="5" t="s">
        <v>16</v>
      </c>
      <c r="G2477" s="5"/>
      <c r="H2477" s="5"/>
      <c r="I2477" s="5"/>
      <c r="J2477" s="5"/>
      <c r="K2477" s="5"/>
      <c r="L2477" s="5"/>
    </row>
    <row r="2478" customFormat="false" ht="15.65" hidden="false" customHeight="true" outlineLevel="0" collapsed="false">
      <c r="A2478" s="2" t="str">
        <f aca="false">HYPERLINK("https://www.fabsurplus.com/sdi_catalog/salesItemDetails.do?id=34144")</f>
        <v>https://www.fabsurplus.com/sdi_catalog/salesItemDetails.do?id=34144</v>
      </c>
      <c r="B2478" s="2" t="s">
        <v>6938</v>
      </c>
      <c r="C2478" s="2" t="s">
        <v>6831</v>
      </c>
      <c r="D2478" s="2" t="s">
        <v>6879</v>
      </c>
      <c r="E2478" s="2" t="s">
        <v>6939</v>
      </c>
      <c r="F2478" s="2" t="s">
        <v>16</v>
      </c>
      <c r="G2478" s="2"/>
      <c r="H2478" s="2"/>
      <c r="I2478" s="2"/>
      <c r="J2478" s="2"/>
      <c r="K2478" s="2"/>
      <c r="L2478" s="2"/>
    </row>
    <row r="2479" customFormat="false" ht="15.65" hidden="false" customHeight="true" outlineLevel="0" collapsed="false">
      <c r="A2479" s="5" t="str">
        <f aca="false">HYPERLINK("https://www.fabsurplus.com/sdi_catalog/salesItemDetails.do?id=106080")</f>
        <v>https://www.fabsurplus.com/sdi_catalog/salesItemDetails.do?id=106080</v>
      </c>
      <c r="B2479" s="5" t="s">
        <v>6940</v>
      </c>
      <c r="C2479" s="5" t="s">
        <v>6831</v>
      </c>
      <c r="D2479" s="5" t="s">
        <v>6941</v>
      </c>
      <c r="E2479" s="5" t="s">
        <v>6942</v>
      </c>
      <c r="F2479" s="5" t="s">
        <v>16</v>
      </c>
      <c r="G2479" s="5" t="s">
        <v>104</v>
      </c>
      <c r="H2479" s="5" t="s">
        <v>18</v>
      </c>
      <c r="I2479" s="5"/>
      <c r="J2479" s="5" t="s">
        <v>19</v>
      </c>
      <c r="K2479" s="5" t="s">
        <v>20</v>
      </c>
      <c r="L2479" s="7" t="s">
        <v>6943</v>
      </c>
    </row>
    <row r="2480" customFormat="false" ht="15.65" hidden="false" customHeight="true" outlineLevel="0" collapsed="false">
      <c r="A2480" s="2" t="str">
        <f aca="false">HYPERLINK("https://www.fabsurplus.com/sdi_catalog/salesItemDetails.do?id=34145")</f>
        <v>https://www.fabsurplus.com/sdi_catalog/salesItemDetails.do?id=34145</v>
      </c>
      <c r="B2480" s="2" t="s">
        <v>6944</v>
      </c>
      <c r="C2480" s="2" t="s">
        <v>6831</v>
      </c>
      <c r="D2480" s="2" t="s">
        <v>6879</v>
      </c>
      <c r="E2480" s="2" t="s">
        <v>6945</v>
      </c>
      <c r="F2480" s="2" t="s">
        <v>16</v>
      </c>
      <c r="G2480" s="2"/>
      <c r="H2480" s="2"/>
      <c r="I2480" s="2"/>
      <c r="J2480" s="2"/>
      <c r="K2480" s="2"/>
      <c r="L2480" s="2"/>
    </row>
    <row r="2481" customFormat="false" ht="15.65" hidden="false" customHeight="true" outlineLevel="0" collapsed="false">
      <c r="A2481" s="5" t="str">
        <f aca="false">HYPERLINK("https://www.fabsurplus.com/sdi_catalog/salesItemDetails.do?id=106081")</f>
        <v>https://www.fabsurplus.com/sdi_catalog/salesItemDetails.do?id=106081</v>
      </c>
      <c r="B2481" s="5" t="s">
        <v>6946</v>
      </c>
      <c r="C2481" s="5" t="s">
        <v>6831</v>
      </c>
      <c r="D2481" s="5" t="s">
        <v>6947</v>
      </c>
      <c r="E2481" s="5" t="s">
        <v>6948</v>
      </c>
      <c r="F2481" s="5" t="s">
        <v>16</v>
      </c>
      <c r="G2481" s="5" t="s">
        <v>104</v>
      </c>
      <c r="H2481" s="5" t="s">
        <v>18</v>
      </c>
      <c r="I2481" s="5"/>
      <c r="J2481" s="5" t="s">
        <v>19</v>
      </c>
      <c r="K2481" s="5" t="s">
        <v>20</v>
      </c>
      <c r="L2481" s="7" t="s">
        <v>6943</v>
      </c>
    </row>
    <row r="2482" customFormat="false" ht="15.65" hidden="false" customHeight="true" outlineLevel="0" collapsed="false">
      <c r="A2482" s="2" t="str">
        <f aca="false">HYPERLINK("https://www.fabsurplus.com/sdi_catalog/salesItemDetails.do?id=106082")</f>
        <v>https://www.fabsurplus.com/sdi_catalog/salesItemDetails.do?id=106082</v>
      </c>
      <c r="B2482" s="2" t="s">
        <v>6949</v>
      </c>
      <c r="C2482" s="2" t="s">
        <v>6831</v>
      </c>
      <c r="D2482" s="2" t="s">
        <v>6950</v>
      </c>
      <c r="E2482" s="2" t="s">
        <v>6951</v>
      </c>
      <c r="F2482" s="2" t="s">
        <v>16</v>
      </c>
      <c r="G2482" s="2" t="s">
        <v>104</v>
      </c>
      <c r="H2482" s="2" t="s">
        <v>18</v>
      </c>
      <c r="I2482" s="2"/>
      <c r="J2482" s="2" t="s">
        <v>19</v>
      </c>
      <c r="K2482" s="2" t="s">
        <v>20</v>
      </c>
      <c r="L2482" s="4" t="s">
        <v>6943</v>
      </c>
    </row>
    <row r="2483" customFormat="false" ht="15.65" hidden="false" customHeight="true" outlineLevel="0" collapsed="false">
      <c r="A2483" s="5" t="str">
        <f aca="false">HYPERLINK("https://www.fabsurplus.com/sdi_catalog/salesItemDetails.do?id=34147")</f>
        <v>https://www.fabsurplus.com/sdi_catalog/salesItemDetails.do?id=34147</v>
      </c>
      <c r="B2483" s="5" t="s">
        <v>6952</v>
      </c>
      <c r="C2483" s="5" t="s">
        <v>6831</v>
      </c>
      <c r="D2483" s="5" t="s">
        <v>6879</v>
      </c>
      <c r="E2483" s="5" t="s">
        <v>6953</v>
      </c>
      <c r="F2483" s="5" t="s">
        <v>16</v>
      </c>
      <c r="G2483" s="5"/>
      <c r="H2483" s="5"/>
      <c r="I2483" s="5"/>
      <c r="J2483" s="5"/>
      <c r="K2483" s="5"/>
      <c r="L2483" s="5"/>
    </row>
    <row r="2484" customFormat="false" ht="15.65" hidden="false" customHeight="true" outlineLevel="0" collapsed="false">
      <c r="A2484" s="2" t="str">
        <f aca="false">HYPERLINK("https://www.fabsurplus.com/sdi_catalog/salesItemDetails.do?id=106083")</f>
        <v>https://www.fabsurplus.com/sdi_catalog/salesItemDetails.do?id=106083</v>
      </c>
      <c r="B2484" s="2" t="s">
        <v>6954</v>
      </c>
      <c r="C2484" s="2" t="s">
        <v>6831</v>
      </c>
      <c r="D2484" s="2" t="s">
        <v>6955</v>
      </c>
      <c r="E2484" s="2" t="s">
        <v>6956</v>
      </c>
      <c r="F2484" s="2" t="s">
        <v>16</v>
      </c>
      <c r="G2484" s="2" t="s">
        <v>104</v>
      </c>
      <c r="H2484" s="2" t="s">
        <v>18</v>
      </c>
      <c r="I2484" s="2"/>
      <c r="J2484" s="2" t="s">
        <v>19</v>
      </c>
      <c r="K2484" s="2" t="s">
        <v>20</v>
      </c>
      <c r="L2484" s="4" t="s">
        <v>6943</v>
      </c>
    </row>
    <row r="2485" customFormat="false" ht="15.65" hidden="false" customHeight="true" outlineLevel="0" collapsed="false">
      <c r="A2485" s="5" t="str">
        <f aca="false">HYPERLINK("https://www.fabsurplus.com/sdi_catalog/salesItemDetails.do?id=106084")</f>
        <v>https://www.fabsurplus.com/sdi_catalog/salesItemDetails.do?id=106084</v>
      </c>
      <c r="B2485" s="5" t="s">
        <v>6957</v>
      </c>
      <c r="C2485" s="5" t="s">
        <v>6831</v>
      </c>
      <c r="D2485" s="5" t="s">
        <v>6958</v>
      </c>
      <c r="E2485" s="5" t="s">
        <v>6959</v>
      </c>
      <c r="F2485" s="5" t="s">
        <v>16</v>
      </c>
      <c r="G2485" s="5" t="s">
        <v>104</v>
      </c>
      <c r="H2485" s="5" t="s">
        <v>18</v>
      </c>
      <c r="I2485" s="5"/>
      <c r="J2485" s="5" t="s">
        <v>19</v>
      </c>
      <c r="K2485" s="5" t="s">
        <v>20</v>
      </c>
      <c r="L2485" s="7" t="s">
        <v>6943</v>
      </c>
    </row>
    <row r="2486" customFormat="false" ht="15.65" hidden="false" customHeight="true" outlineLevel="0" collapsed="false">
      <c r="A2486" s="2" t="str">
        <f aca="false">HYPERLINK("https://www.fabsurplus.com/sdi_catalog/salesItemDetails.do?id=34154")</f>
        <v>https://www.fabsurplus.com/sdi_catalog/salesItemDetails.do?id=34154</v>
      </c>
      <c r="B2486" s="2" t="s">
        <v>6960</v>
      </c>
      <c r="C2486" s="2" t="s">
        <v>6831</v>
      </c>
      <c r="D2486" s="2" t="s">
        <v>6879</v>
      </c>
      <c r="E2486" s="2" t="s">
        <v>6961</v>
      </c>
      <c r="F2486" s="2" t="s">
        <v>16</v>
      </c>
      <c r="G2486" s="2"/>
      <c r="H2486" s="2"/>
      <c r="I2486" s="2"/>
      <c r="J2486" s="2"/>
      <c r="K2486" s="2"/>
      <c r="L2486" s="2"/>
    </row>
    <row r="2487" customFormat="false" ht="15.65" hidden="false" customHeight="true" outlineLevel="0" collapsed="false">
      <c r="A2487" s="5" t="str">
        <f aca="false">HYPERLINK("https://www.fabsurplus.com/sdi_catalog/salesItemDetails.do?id=84076")</f>
        <v>https://www.fabsurplus.com/sdi_catalog/salesItemDetails.do?id=84076</v>
      </c>
      <c r="B2487" s="5" t="s">
        <v>6962</v>
      </c>
      <c r="C2487" s="5" t="s">
        <v>6831</v>
      </c>
      <c r="D2487" s="5" t="s">
        <v>6963</v>
      </c>
      <c r="E2487" s="5" t="s">
        <v>6964</v>
      </c>
      <c r="F2487" s="5" t="s">
        <v>16</v>
      </c>
      <c r="G2487" s="5"/>
      <c r="H2487" s="5" t="s">
        <v>1395</v>
      </c>
      <c r="I2487" s="6" t="n">
        <v>35338.9166666667</v>
      </c>
      <c r="J2487" s="5" t="s">
        <v>19</v>
      </c>
      <c r="K2487" s="5" t="s">
        <v>20</v>
      </c>
      <c r="L2487" s="7" t="s">
        <v>6965</v>
      </c>
    </row>
    <row r="2488" customFormat="false" ht="15.65" hidden="false" customHeight="true" outlineLevel="0" collapsed="false">
      <c r="A2488" s="2" t="str">
        <f aca="false">HYPERLINK("https://www.fabsurplus.com/sdi_catalog/salesItemDetails.do?id=34160")</f>
        <v>https://www.fabsurplus.com/sdi_catalog/salesItemDetails.do?id=34160</v>
      </c>
      <c r="B2488" s="2" t="s">
        <v>6966</v>
      </c>
      <c r="C2488" s="2" t="s">
        <v>6831</v>
      </c>
      <c r="D2488" s="2" t="s">
        <v>6879</v>
      </c>
      <c r="E2488" s="2" t="s">
        <v>6967</v>
      </c>
      <c r="F2488" s="2" t="s">
        <v>16</v>
      </c>
      <c r="G2488" s="2"/>
      <c r="H2488" s="2"/>
      <c r="I2488" s="2"/>
      <c r="J2488" s="2"/>
      <c r="K2488" s="2"/>
      <c r="L2488" s="2"/>
    </row>
    <row r="2489" customFormat="false" ht="15.65" hidden="false" customHeight="true" outlineLevel="0" collapsed="false">
      <c r="A2489" s="5" t="str">
        <f aca="false">HYPERLINK("https://www.fabsurplus.com/sdi_catalog/salesItemDetails.do?id=34161")</f>
        <v>https://www.fabsurplus.com/sdi_catalog/salesItemDetails.do?id=34161</v>
      </c>
      <c r="B2489" s="5" t="s">
        <v>6968</v>
      </c>
      <c r="C2489" s="5" t="s">
        <v>6831</v>
      </c>
      <c r="D2489" s="5" t="s">
        <v>6879</v>
      </c>
      <c r="E2489" s="5" t="s">
        <v>6969</v>
      </c>
      <c r="F2489" s="5" t="s">
        <v>16</v>
      </c>
      <c r="G2489" s="5"/>
      <c r="H2489" s="5"/>
      <c r="I2489" s="5"/>
      <c r="J2489" s="5"/>
      <c r="K2489" s="5"/>
      <c r="L2489" s="5"/>
    </row>
    <row r="2490" customFormat="false" ht="15.65" hidden="false" customHeight="true" outlineLevel="0" collapsed="false">
      <c r="A2490" s="2" t="str">
        <f aca="false">HYPERLINK("https://www.fabsurplus.com/sdi_catalog/salesItemDetails.do?id=106865")</f>
        <v>https://www.fabsurplus.com/sdi_catalog/salesItemDetails.do?id=106865</v>
      </c>
      <c r="B2490" s="2" t="s">
        <v>6970</v>
      </c>
      <c r="C2490" s="2" t="s">
        <v>6831</v>
      </c>
      <c r="D2490" s="2" t="s">
        <v>6971</v>
      </c>
      <c r="E2490" s="2" t="s">
        <v>6972</v>
      </c>
      <c r="F2490" s="2" t="s">
        <v>16</v>
      </c>
      <c r="G2490" s="2" t="s">
        <v>61</v>
      </c>
      <c r="H2490" s="2" t="s">
        <v>32</v>
      </c>
      <c r="I2490" s="3" t="n">
        <v>40210</v>
      </c>
      <c r="J2490" s="2" t="s">
        <v>19</v>
      </c>
      <c r="K2490" s="2" t="s">
        <v>20</v>
      </c>
      <c r="L2490" s="4" t="s">
        <v>6973</v>
      </c>
    </row>
    <row r="2491" customFormat="false" ht="15.65" hidden="false" customHeight="true" outlineLevel="0" collapsed="false">
      <c r="A2491" s="5" t="str">
        <f aca="false">HYPERLINK("https://www.fabsurplus.com/sdi_catalog/salesItemDetails.do?id=34162")</f>
        <v>https://www.fabsurplus.com/sdi_catalog/salesItemDetails.do?id=34162</v>
      </c>
      <c r="B2491" s="5" t="s">
        <v>6974</v>
      </c>
      <c r="C2491" s="5" t="s">
        <v>6831</v>
      </c>
      <c r="D2491" s="5" t="s">
        <v>6879</v>
      </c>
      <c r="E2491" s="5" t="s">
        <v>6975</v>
      </c>
      <c r="F2491" s="5" t="s">
        <v>16</v>
      </c>
      <c r="G2491" s="5"/>
      <c r="H2491" s="5"/>
      <c r="I2491" s="5"/>
      <c r="J2491" s="5"/>
      <c r="K2491" s="5"/>
      <c r="L2491" s="5"/>
    </row>
    <row r="2492" customFormat="false" ht="15.65" hidden="false" customHeight="true" outlineLevel="0" collapsed="false">
      <c r="A2492" s="2" t="str">
        <f aca="false">HYPERLINK("https://www.fabsurplus.com/sdi_catalog/salesItemDetails.do?id=34163")</f>
        <v>https://www.fabsurplus.com/sdi_catalog/salesItemDetails.do?id=34163</v>
      </c>
      <c r="B2492" s="2" t="s">
        <v>6976</v>
      </c>
      <c r="C2492" s="2" t="s">
        <v>6831</v>
      </c>
      <c r="D2492" s="2" t="s">
        <v>6879</v>
      </c>
      <c r="E2492" s="2" t="s">
        <v>6977</v>
      </c>
      <c r="F2492" s="2" t="s">
        <v>16</v>
      </c>
      <c r="G2492" s="2"/>
      <c r="H2492" s="2"/>
      <c r="I2492" s="2"/>
      <c r="J2492" s="2"/>
      <c r="K2492" s="2"/>
      <c r="L2492" s="2"/>
    </row>
    <row r="2493" customFormat="false" ht="15.65" hidden="false" customHeight="true" outlineLevel="0" collapsed="false">
      <c r="A2493" s="5" t="str">
        <f aca="false">HYPERLINK("https://www.fabsurplus.com/sdi_catalog/salesItemDetails.do?id=34164")</f>
        <v>https://www.fabsurplus.com/sdi_catalog/salesItemDetails.do?id=34164</v>
      </c>
      <c r="B2493" s="5" t="s">
        <v>6978</v>
      </c>
      <c r="C2493" s="5" t="s">
        <v>6831</v>
      </c>
      <c r="D2493" s="5" t="s">
        <v>6868</v>
      </c>
      <c r="E2493" s="5" t="s">
        <v>6979</v>
      </c>
      <c r="F2493" s="5" t="s">
        <v>16</v>
      </c>
      <c r="G2493" s="5"/>
      <c r="H2493" s="5"/>
      <c r="I2493" s="5"/>
      <c r="J2493" s="5"/>
      <c r="K2493" s="5"/>
      <c r="L2493" s="5"/>
    </row>
    <row r="2494" customFormat="false" ht="15.65" hidden="false" customHeight="true" outlineLevel="0" collapsed="false">
      <c r="A2494" s="2" t="str">
        <f aca="false">HYPERLINK("https://www.fabsurplus.com/sdi_catalog/salesItemDetails.do?id=34167")</f>
        <v>https://www.fabsurplus.com/sdi_catalog/salesItemDetails.do?id=34167</v>
      </c>
      <c r="B2494" s="2" t="s">
        <v>6980</v>
      </c>
      <c r="C2494" s="2" t="s">
        <v>6831</v>
      </c>
      <c r="D2494" s="2" t="s">
        <v>6879</v>
      </c>
      <c r="E2494" s="2" t="s">
        <v>6981</v>
      </c>
      <c r="F2494" s="2" t="s">
        <v>16</v>
      </c>
      <c r="G2494" s="2"/>
      <c r="H2494" s="2"/>
      <c r="I2494" s="2"/>
      <c r="J2494" s="2"/>
      <c r="K2494" s="2"/>
      <c r="L2494" s="2"/>
    </row>
    <row r="2495" customFormat="false" ht="15.65" hidden="false" customHeight="true" outlineLevel="0" collapsed="false">
      <c r="A2495" s="5" t="str">
        <f aca="false">HYPERLINK("https://www.fabsurplus.com/sdi_catalog/salesItemDetails.do?id=106106")</f>
        <v>https://www.fabsurplus.com/sdi_catalog/salesItemDetails.do?id=106106</v>
      </c>
      <c r="B2495" s="5" t="s">
        <v>6982</v>
      </c>
      <c r="C2495" s="5" t="s">
        <v>6831</v>
      </c>
      <c r="D2495" s="5" t="s">
        <v>6983</v>
      </c>
      <c r="E2495" s="5" t="s">
        <v>6984</v>
      </c>
      <c r="F2495" s="5" t="s">
        <v>16</v>
      </c>
      <c r="G2495" s="5" t="s">
        <v>104</v>
      </c>
      <c r="H2495" s="5" t="s">
        <v>18</v>
      </c>
      <c r="I2495" s="5"/>
      <c r="J2495" s="5" t="s">
        <v>19</v>
      </c>
      <c r="K2495" s="5" t="s">
        <v>20</v>
      </c>
      <c r="L2495" s="5" t="s">
        <v>6985</v>
      </c>
    </row>
    <row r="2496" customFormat="false" ht="15.65" hidden="false" customHeight="true" outlineLevel="0" collapsed="false">
      <c r="A2496" s="2" t="str">
        <f aca="false">HYPERLINK("https://www.fabsurplus.com/sdi_catalog/salesItemDetails.do?id=106107")</f>
        <v>https://www.fabsurplus.com/sdi_catalog/salesItemDetails.do?id=106107</v>
      </c>
      <c r="B2496" s="2" t="s">
        <v>6986</v>
      </c>
      <c r="C2496" s="2" t="s">
        <v>6831</v>
      </c>
      <c r="D2496" s="2" t="s">
        <v>6987</v>
      </c>
      <c r="E2496" s="2" t="s">
        <v>6988</v>
      </c>
      <c r="F2496" s="2" t="s">
        <v>16</v>
      </c>
      <c r="G2496" s="2" t="s">
        <v>104</v>
      </c>
      <c r="H2496" s="2" t="s">
        <v>18</v>
      </c>
      <c r="I2496" s="2"/>
      <c r="J2496" s="2" t="s">
        <v>19</v>
      </c>
      <c r="K2496" s="2" t="s">
        <v>20</v>
      </c>
      <c r="L2496" s="2" t="s">
        <v>6985</v>
      </c>
    </row>
    <row r="2497" customFormat="false" ht="15.65" hidden="false" customHeight="true" outlineLevel="0" collapsed="false">
      <c r="A2497" s="5" t="str">
        <f aca="false">HYPERLINK("https://www.fabsurplus.com/sdi_catalog/salesItemDetails.do?id=106108")</f>
        <v>https://www.fabsurplus.com/sdi_catalog/salesItemDetails.do?id=106108</v>
      </c>
      <c r="B2497" s="5" t="s">
        <v>6989</v>
      </c>
      <c r="C2497" s="5" t="s">
        <v>6831</v>
      </c>
      <c r="D2497" s="5" t="s">
        <v>6990</v>
      </c>
      <c r="E2497" s="5" t="s">
        <v>6991</v>
      </c>
      <c r="F2497" s="5" t="s">
        <v>16</v>
      </c>
      <c r="G2497" s="5" t="s">
        <v>104</v>
      </c>
      <c r="H2497" s="5" t="s">
        <v>18</v>
      </c>
      <c r="I2497" s="5"/>
      <c r="J2497" s="5" t="s">
        <v>19</v>
      </c>
      <c r="K2497" s="5" t="s">
        <v>20</v>
      </c>
      <c r="L2497" s="5" t="s">
        <v>6985</v>
      </c>
    </row>
    <row r="2498" customFormat="false" ht="15.65" hidden="false" customHeight="true" outlineLevel="0" collapsed="false">
      <c r="A2498" s="2" t="str">
        <f aca="false">HYPERLINK("https://www.fabsurplus.com/sdi_catalog/salesItemDetails.do?id=106109")</f>
        <v>https://www.fabsurplus.com/sdi_catalog/salesItemDetails.do?id=106109</v>
      </c>
      <c r="B2498" s="2" t="s">
        <v>6992</v>
      </c>
      <c r="C2498" s="2" t="s">
        <v>6831</v>
      </c>
      <c r="D2498" s="2" t="s">
        <v>6993</v>
      </c>
      <c r="E2498" s="2" t="s">
        <v>6994</v>
      </c>
      <c r="F2498" s="2" t="s">
        <v>16</v>
      </c>
      <c r="G2498" s="2" t="s">
        <v>104</v>
      </c>
      <c r="H2498" s="2" t="s">
        <v>18</v>
      </c>
      <c r="I2498" s="2"/>
      <c r="J2498" s="2" t="s">
        <v>19</v>
      </c>
      <c r="K2498" s="2" t="s">
        <v>20</v>
      </c>
      <c r="L2498" s="2" t="s">
        <v>6985</v>
      </c>
    </row>
    <row r="2499" customFormat="false" ht="15.65" hidden="false" customHeight="true" outlineLevel="0" collapsed="false">
      <c r="A2499" s="5" t="str">
        <f aca="false">HYPERLINK("https://www.fabsurplus.com/sdi_catalog/salesItemDetails.do?id=31614")</f>
        <v>https://www.fabsurplus.com/sdi_catalog/salesItemDetails.do?id=31614</v>
      </c>
      <c r="B2499" s="5" t="s">
        <v>6995</v>
      </c>
      <c r="C2499" s="5" t="s">
        <v>6831</v>
      </c>
      <c r="D2499" s="5" t="s">
        <v>6996</v>
      </c>
      <c r="E2499" s="5" t="s">
        <v>6997</v>
      </c>
      <c r="F2499" s="5" t="s">
        <v>151</v>
      </c>
      <c r="G2499" s="5"/>
      <c r="H2499" s="5"/>
      <c r="I2499" s="5"/>
      <c r="J2499" s="5"/>
      <c r="K2499" s="5"/>
      <c r="L2499" s="5" t="s">
        <v>6998</v>
      </c>
    </row>
    <row r="2500" customFormat="false" ht="15.65" hidden="false" customHeight="true" outlineLevel="0" collapsed="false">
      <c r="A2500" s="2" t="str">
        <f aca="false">HYPERLINK("https://www.fabsurplus.com/sdi_catalog/salesItemDetails.do?id=106110")</f>
        <v>https://www.fabsurplus.com/sdi_catalog/salesItemDetails.do?id=106110</v>
      </c>
      <c r="B2500" s="2" t="s">
        <v>6999</v>
      </c>
      <c r="C2500" s="2" t="s">
        <v>6831</v>
      </c>
      <c r="D2500" s="2" t="s">
        <v>7000</v>
      </c>
      <c r="E2500" s="2" t="s">
        <v>7001</v>
      </c>
      <c r="F2500" s="2" t="s">
        <v>16</v>
      </c>
      <c r="G2500" s="2" t="s">
        <v>104</v>
      </c>
      <c r="H2500" s="2" t="s">
        <v>18</v>
      </c>
      <c r="I2500" s="3" t="n">
        <v>33390</v>
      </c>
      <c r="J2500" s="2" t="s">
        <v>19</v>
      </c>
      <c r="K2500" s="2" t="s">
        <v>20</v>
      </c>
      <c r="L2500" s="4" t="s">
        <v>7002</v>
      </c>
    </row>
    <row r="2501" customFormat="false" ht="15.65" hidden="false" customHeight="true" outlineLevel="0" collapsed="false">
      <c r="A2501" s="5" t="str">
        <f aca="false">HYPERLINK("https://www.fabsurplus.com/sdi_catalog/salesItemDetails.do?id=31615")</f>
        <v>https://www.fabsurplus.com/sdi_catalog/salesItemDetails.do?id=31615</v>
      </c>
      <c r="B2501" s="5" t="s">
        <v>7003</v>
      </c>
      <c r="C2501" s="5" t="s">
        <v>6831</v>
      </c>
      <c r="D2501" s="5" t="s">
        <v>7004</v>
      </c>
      <c r="E2501" s="5" t="s">
        <v>7005</v>
      </c>
      <c r="F2501" s="5" t="s">
        <v>16</v>
      </c>
      <c r="G2501" s="5" t="s">
        <v>97</v>
      </c>
      <c r="H2501" s="5" t="s">
        <v>98</v>
      </c>
      <c r="I2501" s="5"/>
      <c r="J2501" s="5" t="s">
        <v>19</v>
      </c>
      <c r="K2501" s="5" t="s">
        <v>20</v>
      </c>
      <c r="L2501" s="7" t="s">
        <v>7006</v>
      </c>
    </row>
    <row r="2502" customFormat="false" ht="15.65" hidden="false" customHeight="true" outlineLevel="0" collapsed="false">
      <c r="A2502" s="2" t="str">
        <f aca="false">HYPERLINK("https://www.fabsurplus.com/sdi_catalog/salesItemDetails.do?id=106111")</f>
        <v>https://www.fabsurplus.com/sdi_catalog/salesItemDetails.do?id=106111</v>
      </c>
      <c r="B2502" s="2" t="s">
        <v>7007</v>
      </c>
      <c r="C2502" s="2" t="s">
        <v>6831</v>
      </c>
      <c r="D2502" s="2" t="s">
        <v>7008</v>
      </c>
      <c r="E2502" s="2" t="s">
        <v>7009</v>
      </c>
      <c r="F2502" s="2" t="s">
        <v>16</v>
      </c>
      <c r="G2502" s="2" t="s">
        <v>104</v>
      </c>
      <c r="H2502" s="2" t="s">
        <v>18</v>
      </c>
      <c r="I2502" s="2"/>
      <c r="J2502" s="2" t="s">
        <v>19</v>
      </c>
      <c r="K2502" s="2" t="s">
        <v>20</v>
      </c>
      <c r="L2502" s="2" t="s">
        <v>6985</v>
      </c>
    </row>
    <row r="2503" customFormat="false" ht="15.65" hidden="false" customHeight="true" outlineLevel="0" collapsed="false">
      <c r="A2503" s="5" t="str">
        <f aca="false">HYPERLINK("https://www.fabsurplus.com/sdi_catalog/salesItemDetails.do?id=31616")</f>
        <v>https://www.fabsurplus.com/sdi_catalog/salesItemDetails.do?id=31616</v>
      </c>
      <c r="B2503" s="5" t="s">
        <v>7010</v>
      </c>
      <c r="C2503" s="5" t="s">
        <v>6831</v>
      </c>
      <c r="D2503" s="5" t="s">
        <v>6996</v>
      </c>
      <c r="E2503" s="5" t="s">
        <v>7011</v>
      </c>
      <c r="F2503" s="5" t="s">
        <v>151</v>
      </c>
      <c r="G2503" s="5"/>
      <c r="H2503" s="5"/>
      <c r="I2503" s="6" t="n">
        <v>36891.9583333333</v>
      </c>
      <c r="J2503" s="5"/>
      <c r="K2503" s="5"/>
      <c r="L2503" s="5"/>
    </row>
    <row r="2504" customFormat="false" ht="15.65" hidden="false" customHeight="true" outlineLevel="0" collapsed="false">
      <c r="A2504" s="2" t="str">
        <f aca="false">HYPERLINK("https://www.fabsurplus.com/sdi_catalog/salesItemDetails.do?id=106112")</f>
        <v>https://www.fabsurplus.com/sdi_catalog/salesItemDetails.do?id=106112</v>
      </c>
      <c r="B2504" s="2" t="s">
        <v>7012</v>
      </c>
      <c r="C2504" s="2" t="s">
        <v>6831</v>
      </c>
      <c r="D2504" s="2" t="s">
        <v>7000</v>
      </c>
      <c r="E2504" s="2" t="s">
        <v>7013</v>
      </c>
      <c r="F2504" s="2" t="s">
        <v>16</v>
      </c>
      <c r="G2504" s="2" t="s">
        <v>104</v>
      </c>
      <c r="H2504" s="2" t="s">
        <v>18</v>
      </c>
      <c r="I2504" s="2"/>
      <c r="J2504" s="2" t="s">
        <v>19</v>
      </c>
      <c r="K2504" s="2" t="s">
        <v>20</v>
      </c>
      <c r="L2504" s="2" t="s">
        <v>6985</v>
      </c>
    </row>
    <row r="2505" customFormat="false" ht="15.65" hidden="false" customHeight="true" outlineLevel="0" collapsed="false">
      <c r="A2505" s="5" t="str">
        <f aca="false">HYPERLINK("https://www.fabsurplus.com/sdi_catalog/salesItemDetails.do?id=106113")</f>
        <v>https://www.fabsurplus.com/sdi_catalog/salesItemDetails.do?id=106113</v>
      </c>
      <c r="B2505" s="5" t="s">
        <v>7014</v>
      </c>
      <c r="C2505" s="5" t="s">
        <v>6831</v>
      </c>
      <c r="D2505" s="5" t="s">
        <v>7015</v>
      </c>
      <c r="E2505" s="5" t="s">
        <v>7016</v>
      </c>
      <c r="F2505" s="5" t="s">
        <v>16</v>
      </c>
      <c r="G2505" s="5" t="s">
        <v>104</v>
      </c>
      <c r="H2505" s="5" t="s">
        <v>18</v>
      </c>
      <c r="I2505" s="5"/>
      <c r="J2505" s="5" t="s">
        <v>19</v>
      </c>
      <c r="K2505" s="5" t="s">
        <v>20</v>
      </c>
      <c r="L2505" s="5" t="s">
        <v>6985</v>
      </c>
    </row>
    <row r="2506" customFormat="false" ht="15.65" hidden="false" customHeight="true" outlineLevel="0" collapsed="false">
      <c r="A2506" s="2" t="str">
        <f aca="false">HYPERLINK("https://www.fabsurplus.com/sdi_catalog/salesItemDetails.do?id=31618")</f>
        <v>https://www.fabsurplus.com/sdi_catalog/salesItemDetails.do?id=31618</v>
      </c>
      <c r="B2506" s="2" t="s">
        <v>7017</v>
      </c>
      <c r="C2506" s="2" t="s">
        <v>6831</v>
      </c>
      <c r="D2506" s="2" t="s">
        <v>6996</v>
      </c>
      <c r="E2506" s="2" t="s">
        <v>7018</v>
      </c>
      <c r="F2506" s="2" t="s">
        <v>250</v>
      </c>
      <c r="G2506" s="2"/>
      <c r="H2506" s="2"/>
      <c r="I2506" s="2"/>
      <c r="J2506" s="2"/>
      <c r="K2506" s="2"/>
      <c r="L2506" s="2"/>
    </row>
    <row r="2507" customFormat="false" ht="15.65" hidden="false" customHeight="true" outlineLevel="0" collapsed="false">
      <c r="A2507" s="5" t="str">
        <f aca="false">HYPERLINK("https://www.fabsurplus.com/sdi_catalog/salesItemDetails.do?id=106114")</f>
        <v>https://www.fabsurplus.com/sdi_catalog/salesItemDetails.do?id=106114</v>
      </c>
      <c r="B2507" s="5" t="s">
        <v>7019</v>
      </c>
      <c r="C2507" s="5" t="s">
        <v>6831</v>
      </c>
      <c r="D2507" s="5" t="s">
        <v>7015</v>
      </c>
      <c r="E2507" s="5" t="s">
        <v>7016</v>
      </c>
      <c r="F2507" s="5" t="s">
        <v>16</v>
      </c>
      <c r="G2507" s="5" t="s">
        <v>104</v>
      </c>
      <c r="H2507" s="5" t="s">
        <v>18</v>
      </c>
      <c r="I2507" s="5"/>
      <c r="J2507" s="5" t="s">
        <v>19</v>
      </c>
      <c r="K2507" s="5" t="s">
        <v>20</v>
      </c>
      <c r="L2507" s="5" t="s">
        <v>6985</v>
      </c>
    </row>
    <row r="2508" customFormat="false" ht="15.65" hidden="false" customHeight="true" outlineLevel="0" collapsed="false">
      <c r="A2508" s="2" t="str">
        <f aca="false">HYPERLINK("https://www.fabsurplus.com/sdi_catalog/salesItemDetails.do?id=108930")</f>
        <v>https://www.fabsurplus.com/sdi_catalog/salesItemDetails.do?id=108930</v>
      </c>
      <c r="B2508" s="2" t="s">
        <v>7020</v>
      </c>
      <c r="C2508" s="2" t="s">
        <v>6831</v>
      </c>
      <c r="D2508" s="2" t="s">
        <v>7021</v>
      </c>
      <c r="E2508" s="2" t="s">
        <v>7022</v>
      </c>
      <c r="F2508" s="2" t="s">
        <v>151</v>
      </c>
      <c r="G2508" s="2" t="s">
        <v>61</v>
      </c>
      <c r="H2508" s="2" t="s">
        <v>32</v>
      </c>
      <c r="I2508" s="3" t="n">
        <v>38504</v>
      </c>
      <c r="J2508" s="2" t="s">
        <v>19</v>
      </c>
      <c r="K2508" s="2" t="s">
        <v>20</v>
      </c>
      <c r="L2508" s="4" t="s">
        <v>7023</v>
      </c>
    </row>
    <row r="2509" customFormat="false" ht="15.65" hidden="false" customHeight="true" outlineLevel="0" collapsed="false">
      <c r="A2509" s="5" t="str">
        <f aca="false">HYPERLINK("https://www.fabsurplus.com/sdi_catalog/salesItemDetails.do?id=31619")</f>
        <v>https://www.fabsurplus.com/sdi_catalog/salesItemDetails.do?id=31619</v>
      </c>
      <c r="B2509" s="5" t="s">
        <v>7024</v>
      </c>
      <c r="C2509" s="5" t="s">
        <v>6831</v>
      </c>
      <c r="D2509" s="5" t="s">
        <v>6996</v>
      </c>
      <c r="E2509" s="5" t="s">
        <v>7025</v>
      </c>
      <c r="F2509" s="5" t="s">
        <v>250</v>
      </c>
      <c r="G2509" s="5"/>
      <c r="H2509" s="5"/>
      <c r="I2509" s="5"/>
      <c r="J2509" s="5"/>
      <c r="K2509" s="5"/>
      <c r="L2509" s="5" t="s">
        <v>7026</v>
      </c>
    </row>
    <row r="2510" customFormat="false" ht="15.65" hidden="false" customHeight="true" outlineLevel="0" collapsed="false">
      <c r="A2510" s="2" t="str">
        <f aca="false">HYPERLINK("https://www.fabsurplus.com/sdi_catalog/salesItemDetails.do?id=106115")</f>
        <v>https://www.fabsurplus.com/sdi_catalog/salesItemDetails.do?id=106115</v>
      </c>
      <c r="B2510" s="2" t="s">
        <v>7027</v>
      </c>
      <c r="C2510" s="2" t="s">
        <v>6831</v>
      </c>
      <c r="D2510" s="2" t="s">
        <v>7015</v>
      </c>
      <c r="E2510" s="2" t="s">
        <v>7016</v>
      </c>
      <c r="F2510" s="2" t="s">
        <v>16</v>
      </c>
      <c r="G2510" s="2" t="s">
        <v>104</v>
      </c>
      <c r="H2510" s="2" t="s">
        <v>18</v>
      </c>
      <c r="I2510" s="2"/>
      <c r="J2510" s="2" t="s">
        <v>19</v>
      </c>
      <c r="K2510" s="2" t="s">
        <v>20</v>
      </c>
      <c r="L2510" s="2" t="s">
        <v>6985</v>
      </c>
    </row>
    <row r="2511" customFormat="false" ht="15.65" hidden="false" customHeight="true" outlineLevel="0" collapsed="false">
      <c r="A2511" s="5" t="str">
        <f aca="false">HYPERLINK("https://www.fabsurplus.com/sdi_catalog/salesItemDetails.do?id=31620")</f>
        <v>https://www.fabsurplus.com/sdi_catalog/salesItemDetails.do?id=31620</v>
      </c>
      <c r="B2511" s="5" t="s">
        <v>7028</v>
      </c>
      <c r="C2511" s="5" t="s">
        <v>6831</v>
      </c>
      <c r="D2511" s="5" t="s">
        <v>6996</v>
      </c>
      <c r="E2511" s="5" t="s">
        <v>7029</v>
      </c>
      <c r="F2511" s="5" t="s">
        <v>151</v>
      </c>
      <c r="G2511" s="5" t="s">
        <v>104</v>
      </c>
      <c r="H2511" s="5" t="s">
        <v>1969</v>
      </c>
      <c r="I2511" s="5"/>
      <c r="J2511" s="5" t="s">
        <v>19</v>
      </c>
      <c r="K2511" s="5" t="s">
        <v>20</v>
      </c>
      <c r="L2511" s="7" t="s">
        <v>7030</v>
      </c>
    </row>
    <row r="2512" customFormat="false" ht="15.65" hidden="false" customHeight="true" outlineLevel="0" collapsed="false">
      <c r="A2512" s="2" t="str">
        <f aca="false">HYPERLINK("https://www.fabsurplus.com/sdi_catalog/salesItemDetails.do?id=106116")</f>
        <v>https://www.fabsurplus.com/sdi_catalog/salesItemDetails.do?id=106116</v>
      </c>
      <c r="B2512" s="2" t="s">
        <v>7031</v>
      </c>
      <c r="C2512" s="2" t="s">
        <v>6831</v>
      </c>
      <c r="D2512" s="2" t="s">
        <v>7032</v>
      </c>
      <c r="E2512" s="2" t="s">
        <v>7033</v>
      </c>
      <c r="F2512" s="2" t="s">
        <v>16</v>
      </c>
      <c r="G2512" s="2" t="s">
        <v>104</v>
      </c>
      <c r="H2512" s="2" t="s">
        <v>18</v>
      </c>
      <c r="I2512" s="2"/>
      <c r="J2512" s="2" t="s">
        <v>19</v>
      </c>
      <c r="K2512" s="2" t="s">
        <v>20</v>
      </c>
      <c r="L2512" s="2" t="s">
        <v>6985</v>
      </c>
    </row>
    <row r="2513" customFormat="false" ht="15.65" hidden="false" customHeight="true" outlineLevel="0" collapsed="false">
      <c r="A2513" s="5" t="str">
        <f aca="false">HYPERLINK("https://www.fabsurplus.com/sdi_catalog/salesItemDetails.do?id=31621")</f>
        <v>https://www.fabsurplus.com/sdi_catalog/salesItemDetails.do?id=31621</v>
      </c>
      <c r="B2513" s="5" t="s">
        <v>7034</v>
      </c>
      <c r="C2513" s="5" t="s">
        <v>6831</v>
      </c>
      <c r="D2513" s="5" t="s">
        <v>6996</v>
      </c>
      <c r="E2513" s="5" t="s">
        <v>7035</v>
      </c>
      <c r="F2513" s="5" t="s">
        <v>16</v>
      </c>
      <c r="G2513" s="5"/>
      <c r="H2513" s="5"/>
      <c r="I2513" s="5"/>
      <c r="J2513" s="5"/>
      <c r="K2513" s="5"/>
      <c r="L2513" s="5"/>
    </row>
    <row r="2514" customFormat="false" ht="15.65" hidden="false" customHeight="true" outlineLevel="0" collapsed="false">
      <c r="A2514" s="2" t="str">
        <f aca="false">HYPERLINK("https://www.fabsurplus.com/sdi_catalog/salesItemDetails.do?id=106117")</f>
        <v>https://www.fabsurplus.com/sdi_catalog/salesItemDetails.do?id=106117</v>
      </c>
      <c r="B2514" s="2" t="s">
        <v>7036</v>
      </c>
      <c r="C2514" s="2" t="s">
        <v>6831</v>
      </c>
      <c r="D2514" s="2" t="s">
        <v>7000</v>
      </c>
      <c r="E2514" s="2" t="s">
        <v>7037</v>
      </c>
      <c r="F2514" s="2" t="s">
        <v>16</v>
      </c>
      <c r="G2514" s="2" t="s">
        <v>104</v>
      </c>
      <c r="H2514" s="2" t="s">
        <v>18</v>
      </c>
      <c r="I2514" s="2"/>
      <c r="J2514" s="2" t="s">
        <v>19</v>
      </c>
      <c r="K2514" s="2" t="s">
        <v>20</v>
      </c>
      <c r="L2514" s="2" t="s">
        <v>6985</v>
      </c>
    </row>
    <row r="2515" customFormat="false" ht="15.65" hidden="false" customHeight="true" outlineLevel="0" collapsed="false">
      <c r="A2515" s="5" t="str">
        <f aca="false">HYPERLINK("https://www.fabsurplus.com/sdi_catalog/salesItemDetails.do?id=108421")</f>
        <v>https://www.fabsurplus.com/sdi_catalog/salesItemDetails.do?id=108421</v>
      </c>
      <c r="B2515" s="5" t="s">
        <v>7038</v>
      </c>
      <c r="C2515" s="5" t="s">
        <v>6831</v>
      </c>
      <c r="D2515" s="5" t="s">
        <v>7039</v>
      </c>
      <c r="E2515" s="5" t="s">
        <v>6557</v>
      </c>
      <c r="F2515" s="5" t="s">
        <v>108</v>
      </c>
      <c r="G2515" s="5" t="s">
        <v>61</v>
      </c>
      <c r="H2515" s="5"/>
      <c r="I2515" s="5"/>
      <c r="J2515" s="5" t="s">
        <v>19</v>
      </c>
      <c r="K2515" s="5"/>
      <c r="L2515" s="5"/>
    </row>
    <row r="2516" customFormat="false" ht="15.65" hidden="false" customHeight="true" outlineLevel="0" collapsed="false">
      <c r="A2516" s="2" t="str">
        <f aca="false">HYPERLINK("https://www.fabsurplus.com/sdi_catalog/salesItemDetails.do?id=31622")</f>
        <v>https://www.fabsurplus.com/sdi_catalog/salesItemDetails.do?id=31622</v>
      </c>
      <c r="B2516" s="2" t="s">
        <v>7040</v>
      </c>
      <c r="C2516" s="2" t="s">
        <v>6831</v>
      </c>
      <c r="D2516" s="2" t="s">
        <v>6996</v>
      </c>
      <c r="E2516" s="2" t="s">
        <v>7041</v>
      </c>
      <c r="F2516" s="2" t="s">
        <v>151</v>
      </c>
      <c r="G2516" s="2"/>
      <c r="H2516" s="2"/>
      <c r="I2516" s="2"/>
      <c r="J2516" s="2"/>
      <c r="K2516" s="2"/>
      <c r="L2516" s="2"/>
    </row>
    <row r="2517" customFormat="false" ht="15.65" hidden="false" customHeight="true" outlineLevel="0" collapsed="false">
      <c r="A2517" s="5" t="str">
        <f aca="false">HYPERLINK("https://www.fabsurplus.com/sdi_catalog/salesItemDetails.do?id=106118")</f>
        <v>https://www.fabsurplus.com/sdi_catalog/salesItemDetails.do?id=106118</v>
      </c>
      <c r="B2517" s="5" t="s">
        <v>7042</v>
      </c>
      <c r="C2517" s="5" t="s">
        <v>6831</v>
      </c>
      <c r="D2517" s="5" t="s">
        <v>7043</v>
      </c>
      <c r="E2517" s="5" t="s">
        <v>7044</v>
      </c>
      <c r="F2517" s="5" t="s">
        <v>16</v>
      </c>
      <c r="G2517" s="5" t="s">
        <v>104</v>
      </c>
      <c r="H2517" s="5" t="s">
        <v>18</v>
      </c>
      <c r="I2517" s="5"/>
      <c r="J2517" s="5" t="s">
        <v>19</v>
      </c>
      <c r="K2517" s="5" t="s">
        <v>20</v>
      </c>
      <c r="L2517" s="5" t="s">
        <v>6985</v>
      </c>
    </row>
    <row r="2518" customFormat="false" ht="15.65" hidden="false" customHeight="true" outlineLevel="0" collapsed="false">
      <c r="A2518" s="2" t="str">
        <f aca="false">HYPERLINK("https://www.fabsurplus.com/sdi_catalog/salesItemDetails.do?id=31623")</f>
        <v>https://www.fabsurplus.com/sdi_catalog/salesItemDetails.do?id=31623</v>
      </c>
      <c r="B2518" s="2" t="s">
        <v>7045</v>
      </c>
      <c r="C2518" s="2" t="s">
        <v>6831</v>
      </c>
      <c r="D2518" s="2" t="s">
        <v>6996</v>
      </c>
      <c r="E2518" s="2" t="s">
        <v>7046</v>
      </c>
      <c r="F2518" s="2" t="s">
        <v>16</v>
      </c>
      <c r="G2518" s="2"/>
      <c r="H2518" s="2"/>
      <c r="I2518" s="2"/>
      <c r="J2518" s="2"/>
      <c r="K2518" s="2"/>
      <c r="L2518" s="2"/>
    </row>
    <row r="2519" customFormat="false" ht="15.65" hidden="false" customHeight="true" outlineLevel="0" collapsed="false">
      <c r="A2519" s="5" t="str">
        <f aca="false">HYPERLINK("https://www.fabsurplus.com/sdi_catalog/salesItemDetails.do?id=106119")</f>
        <v>https://www.fabsurplus.com/sdi_catalog/salesItemDetails.do?id=106119</v>
      </c>
      <c r="B2519" s="5" t="s">
        <v>7047</v>
      </c>
      <c r="C2519" s="5" t="s">
        <v>6831</v>
      </c>
      <c r="D2519" s="5" t="s">
        <v>7000</v>
      </c>
      <c r="E2519" s="5" t="s">
        <v>7013</v>
      </c>
      <c r="F2519" s="5" t="s">
        <v>16</v>
      </c>
      <c r="G2519" s="5" t="s">
        <v>104</v>
      </c>
      <c r="H2519" s="5" t="s">
        <v>18</v>
      </c>
      <c r="I2519" s="5"/>
      <c r="J2519" s="5" t="s">
        <v>19</v>
      </c>
      <c r="K2519" s="5" t="s">
        <v>20</v>
      </c>
      <c r="L2519" s="5" t="s">
        <v>6985</v>
      </c>
    </row>
    <row r="2520" customFormat="false" ht="15.65" hidden="false" customHeight="true" outlineLevel="0" collapsed="false">
      <c r="A2520" s="2" t="str">
        <f aca="false">HYPERLINK("https://www.fabsurplus.com/sdi_catalog/salesItemDetails.do?id=31624")</f>
        <v>https://www.fabsurplus.com/sdi_catalog/salesItemDetails.do?id=31624</v>
      </c>
      <c r="B2520" s="2" t="s">
        <v>7048</v>
      </c>
      <c r="C2520" s="2" t="s">
        <v>6831</v>
      </c>
      <c r="D2520" s="2" t="s">
        <v>6996</v>
      </c>
      <c r="E2520" s="2" t="s">
        <v>7049</v>
      </c>
      <c r="F2520" s="2" t="s">
        <v>3299</v>
      </c>
      <c r="G2520" s="2"/>
      <c r="H2520" s="2"/>
      <c r="I2520" s="2"/>
      <c r="J2520" s="2"/>
      <c r="K2520" s="2"/>
      <c r="L2520" s="2"/>
    </row>
    <row r="2521" customFormat="false" ht="15.65" hidden="false" customHeight="true" outlineLevel="0" collapsed="false">
      <c r="A2521" s="5" t="str">
        <f aca="false">HYPERLINK("https://www.fabsurplus.com/sdi_catalog/salesItemDetails.do?id=106120")</f>
        <v>https://www.fabsurplus.com/sdi_catalog/salesItemDetails.do?id=106120</v>
      </c>
      <c r="B2521" s="5" t="s">
        <v>7050</v>
      </c>
      <c r="C2521" s="5" t="s">
        <v>6831</v>
      </c>
      <c r="D2521" s="5" t="s">
        <v>7051</v>
      </c>
      <c r="E2521" s="5" t="s">
        <v>7052</v>
      </c>
      <c r="F2521" s="5" t="s">
        <v>16</v>
      </c>
      <c r="G2521" s="5" t="s">
        <v>104</v>
      </c>
      <c r="H2521" s="5" t="s">
        <v>18</v>
      </c>
      <c r="I2521" s="5"/>
      <c r="J2521" s="5" t="s">
        <v>19</v>
      </c>
      <c r="K2521" s="5" t="s">
        <v>20</v>
      </c>
      <c r="L2521" s="5" t="s">
        <v>6985</v>
      </c>
    </row>
    <row r="2522" customFormat="false" ht="15.65" hidden="false" customHeight="true" outlineLevel="0" collapsed="false">
      <c r="A2522" s="2" t="str">
        <f aca="false">HYPERLINK("https://www.fabsurplus.com/sdi_catalog/salesItemDetails.do?id=108424")</f>
        <v>https://www.fabsurplus.com/sdi_catalog/salesItemDetails.do?id=108424</v>
      </c>
      <c r="B2522" s="2" t="s">
        <v>7053</v>
      </c>
      <c r="C2522" s="2" t="s">
        <v>6831</v>
      </c>
      <c r="D2522" s="2" t="s">
        <v>7054</v>
      </c>
      <c r="E2522" s="2" t="s">
        <v>6346</v>
      </c>
      <c r="F2522" s="2" t="s">
        <v>16</v>
      </c>
      <c r="G2522" s="2" t="s">
        <v>61</v>
      </c>
      <c r="H2522" s="2"/>
      <c r="I2522" s="2"/>
      <c r="J2522" s="2" t="s">
        <v>19</v>
      </c>
      <c r="K2522" s="2"/>
      <c r="L2522" s="2"/>
    </row>
    <row r="2523" customFormat="false" ht="15.65" hidden="false" customHeight="true" outlineLevel="0" collapsed="false">
      <c r="A2523" s="5" t="str">
        <f aca="false">HYPERLINK("https://www.fabsurplus.com/sdi_catalog/salesItemDetails.do?id=31625")</f>
        <v>https://www.fabsurplus.com/sdi_catalog/salesItemDetails.do?id=31625</v>
      </c>
      <c r="B2523" s="5" t="s">
        <v>7055</v>
      </c>
      <c r="C2523" s="5" t="s">
        <v>6831</v>
      </c>
      <c r="D2523" s="5" t="s">
        <v>6996</v>
      </c>
      <c r="E2523" s="5" t="s">
        <v>7056</v>
      </c>
      <c r="F2523" s="5" t="s">
        <v>250</v>
      </c>
      <c r="G2523" s="5"/>
      <c r="H2523" s="5"/>
      <c r="I2523" s="5"/>
      <c r="J2523" s="5"/>
      <c r="K2523" s="5"/>
      <c r="L2523" s="5"/>
    </row>
    <row r="2524" customFormat="false" ht="15.65" hidden="false" customHeight="true" outlineLevel="0" collapsed="false">
      <c r="A2524" s="2" t="str">
        <f aca="false">HYPERLINK("https://www.fabsurplus.com/sdi_catalog/salesItemDetails.do?id=106121")</f>
        <v>https://www.fabsurplus.com/sdi_catalog/salesItemDetails.do?id=106121</v>
      </c>
      <c r="B2524" s="2" t="s">
        <v>7057</v>
      </c>
      <c r="C2524" s="2" t="s">
        <v>6831</v>
      </c>
      <c r="D2524" s="2" t="s">
        <v>7058</v>
      </c>
      <c r="E2524" s="2" t="s">
        <v>7059</v>
      </c>
      <c r="F2524" s="2" t="s">
        <v>16</v>
      </c>
      <c r="G2524" s="2" t="s">
        <v>104</v>
      </c>
      <c r="H2524" s="2" t="s">
        <v>18</v>
      </c>
      <c r="I2524" s="2"/>
      <c r="J2524" s="2" t="s">
        <v>19</v>
      </c>
      <c r="K2524" s="2" t="s">
        <v>20</v>
      </c>
      <c r="L2524" s="2" t="s">
        <v>6985</v>
      </c>
    </row>
    <row r="2525" customFormat="false" ht="15.65" hidden="false" customHeight="true" outlineLevel="0" collapsed="false">
      <c r="A2525" s="5" t="str">
        <f aca="false">HYPERLINK("https://www.fabsurplus.com/sdi_catalog/salesItemDetails.do?id=31626")</f>
        <v>https://www.fabsurplus.com/sdi_catalog/salesItemDetails.do?id=31626</v>
      </c>
      <c r="B2525" s="5" t="s">
        <v>7060</v>
      </c>
      <c r="C2525" s="5" t="s">
        <v>6831</v>
      </c>
      <c r="D2525" s="5" t="s">
        <v>6996</v>
      </c>
      <c r="E2525" s="5" t="s">
        <v>7061</v>
      </c>
      <c r="F2525" s="5" t="s">
        <v>16</v>
      </c>
      <c r="G2525" s="5"/>
      <c r="H2525" s="5"/>
      <c r="I2525" s="5"/>
      <c r="J2525" s="5"/>
      <c r="K2525" s="5"/>
      <c r="L2525" s="5"/>
    </row>
    <row r="2526" customFormat="false" ht="15.65" hidden="false" customHeight="true" outlineLevel="0" collapsed="false">
      <c r="A2526" s="2" t="str">
        <f aca="false">HYPERLINK("https://www.fabsurplus.com/sdi_catalog/salesItemDetails.do?id=106122")</f>
        <v>https://www.fabsurplus.com/sdi_catalog/salesItemDetails.do?id=106122</v>
      </c>
      <c r="B2526" s="2" t="s">
        <v>7062</v>
      </c>
      <c r="C2526" s="2" t="s">
        <v>6831</v>
      </c>
      <c r="D2526" s="2" t="s">
        <v>7063</v>
      </c>
      <c r="E2526" s="2" t="s">
        <v>7064</v>
      </c>
      <c r="F2526" s="2" t="s">
        <v>16</v>
      </c>
      <c r="G2526" s="2" t="s">
        <v>104</v>
      </c>
      <c r="H2526" s="2" t="s">
        <v>18</v>
      </c>
      <c r="I2526" s="2"/>
      <c r="J2526" s="2" t="s">
        <v>19</v>
      </c>
      <c r="K2526" s="2" t="s">
        <v>20</v>
      </c>
      <c r="L2526" s="2" t="s">
        <v>6985</v>
      </c>
    </row>
    <row r="2527" customFormat="false" ht="15.65" hidden="false" customHeight="true" outlineLevel="0" collapsed="false">
      <c r="A2527" s="5" t="str">
        <f aca="false">HYPERLINK("https://www.fabsurplus.com/sdi_catalog/salesItemDetails.do?id=108426")</f>
        <v>https://www.fabsurplus.com/sdi_catalog/salesItemDetails.do?id=108426</v>
      </c>
      <c r="B2527" s="5" t="s">
        <v>7065</v>
      </c>
      <c r="C2527" s="5" t="s">
        <v>6831</v>
      </c>
      <c r="D2527" s="5" t="s">
        <v>7066</v>
      </c>
      <c r="E2527" s="5" t="s">
        <v>7067</v>
      </c>
      <c r="F2527" s="5" t="s">
        <v>16</v>
      </c>
      <c r="G2527" s="5"/>
      <c r="H2527" s="5"/>
      <c r="I2527" s="5"/>
      <c r="J2527" s="5" t="s">
        <v>19</v>
      </c>
      <c r="K2527" s="5"/>
      <c r="L2527" s="5"/>
    </row>
    <row r="2528" customFormat="false" ht="15.65" hidden="false" customHeight="true" outlineLevel="0" collapsed="false">
      <c r="A2528" s="2" t="str">
        <f aca="false">HYPERLINK("https://www.fabsurplus.com/sdi_catalog/salesItemDetails.do?id=31627")</f>
        <v>https://www.fabsurplus.com/sdi_catalog/salesItemDetails.do?id=31627</v>
      </c>
      <c r="B2528" s="2" t="s">
        <v>7068</v>
      </c>
      <c r="C2528" s="2" t="s">
        <v>6831</v>
      </c>
      <c r="D2528" s="2" t="s">
        <v>6996</v>
      </c>
      <c r="E2528" s="2" t="s">
        <v>7069</v>
      </c>
      <c r="F2528" s="2" t="s">
        <v>151</v>
      </c>
      <c r="G2528" s="2"/>
      <c r="H2528" s="2"/>
      <c r="I2528" s="2"/>
      <c r="J2528" s="2"/>
      <c r="K2528" s="2"/>
      <c r="L2528" s="2" t="s">
        <v>7070</v>
      </c>
    </row>
    <row r="2529" customFormat="false" ht="15.65" hidden="false" customHeight="true" outlineLevel="0" collapsed="false">
      <c r="A2529" s="5" t="str">
        <f aca="false">HYPERLINK("https://www.fabsurplus.com/sdi_catalog/salesItemDetails.do?id=106123")</f>
        <v>https://www.fabsurplus.com/sdi_catalog/salesItemDetails.do?id=106123</v>
      </c>
      <c r="B2529" s="5" t="s">
        <v>7071</v>
      </c>
      <c r="C2529" s="5" t="s">
        <v>6831</v>
      </c>
      <c r="D2529" s="5" t="s">
        <v>7072</v>
      </c>
      <c r="E2529" s="5" t="s">
        <v>7073</v>
      </c>
      <c r="F2529" s="5" t="s">
        <v>16</v>
      </c>
      <c r="G2529" s="5" t="s">
        <v>104</v>
      </c>
      <c r="H2529" s="5" t="s">
        <v>18</v>
      </c>
      <c r="I2529" s="5"/>
      <c r="J2529" s="5" t="s">
        <v>19</v>
      </c>
      <c r="K2529" s="5" t="s">
        <v>20</v>
      </c>
      <c r="L2529" s="5" t="s">
        <v>6985</v>
      </c>
    </row>
    <row r="2530" customFormat="false" ht="15.65" hidden="false" customHeight="true" outlineLevel="0" collapsed="false">
      <c r="A2530" s="2" t="str">
        <f aca="false">HYPERLINK("https://www.fabsurplus.com/sdi_catalog/salesItemDetails.do?id=31628")</f>
        <v>https://www.fabsurplus.com/sdi_catalog/salesItemDetails.do?id=31628</v>
      </c>
      <c r="B2530" s="2" t="s">
        <v>7074</v>
      </c>
      <c r="C2530" s="2" t="s">
        <v>6831</v>
      </c>
      <c r="D2530" s="2" t="s">
        <v>6996</v>
      </c>
      <c r="E2530" s="2" t="s">
        <v>7075</v>
      </c>
      <c r="F2530" s="2" t="s">
        <v>151</v>
      </c>
      <c r="G2530" s="2"/>
      <c r="H2530" s="2"/>
      <c r="I2530" s="2"/>
      <c r="J2530" s="2"/>
      <c r="K2530" s="2"/>
      <c r="L2530" s="2"/>
    </row>
    <row r="2531" customFormat="false" ht="15.65" hidden="false" customHeight="true" outlineLevel="0" collapsed="false">
      <c r="A2531" s="5" t="str">
        <f aca="false">HYPERLINK("https://www.fabsurplus.com/sdi_catalog/salesItemDetails.do?id=106124")</f>
        <v>https://www.fabsurplus.com/sdi_catalog/salesItemDetails.do?id=106124</v>
      </c>
      <c r="B2531" s="5" t="s">
        <v>7076</v>
      </c>
      <c r="C2531" s="5" t="s">
        <v>6831</v>
      </c>
      <c r="D2531" s="5" t="s">
        <v>7077</v>
      </c>
      <c r="E2531" s="5" t="s">
        <v>7078</v>
      </c>
      <c r="F2531" s="5" t="s">
        <v>16</v>
      </c>
      <c r="G2531" s="5" t="s">
        <v>104</v>
      </c>
      <c r="H2531" s="5" t="s">
        <v>18</v>
      </c>
      <c r="I2531" s="6" t="n">
        <v>33482</v>
      </c>
      <c r="J2531" s="5" t="s">
        <v>19</v>
      </c>
      <c r="K2531" s="5" t="s">
        <v>20</v>
      </c>
      <c r="L2531" s="7" t="s">
        <v>7079</v>
      </c>
    </row>
    <row r="2532" customFormat="false" ht="15.65" hidden="false" customHeight="true" outlineLevel="0" collapsed="false">
      <c r="A2532" s="2" t="str">
        <f aca="false">HYPERLINK("https://www.fabsurplus.com/sdi_catalog/salesItemDetails.do?id=108428")</f>
        <v>https://www.fabsurplus.com/sdi_catalog/salesItemDetails.do?id=108428</v>
      </c>
      <c r="B2532" s="2" t="s">
        <v>7080</v>
      </c>
      <c r="C2532" s="2" t="s">
        <v>6831</v>
      </c>
      <c r="D2532" s="2" t="s">
        <v>7081</v>
      </c>
      <c r="E2532" s="2" t="s">
        <v>7082</v>
      </c>
      <c r="F2532" s="2" t="s">
        <v>16</v>
      </c>
      <c r="G2532" s="2" t="s">
        <v>388</v>
      </c>
      <c r="H2532" s="2"/>
      <c r="I2532" s="2"/>
      <c r="J2532" s="2" t="s">
        <v>19</v>
      </c>
      <c r="K2532" s="2"/>
      <c r="L2532" s="2"/>
    </row>
    <row r="2533" customFormat="false" ht="15.65" hidden="false" customHeight="true" outlineLevel="0" collapsed="false">
      <c r="A2533" s="5" t="str">
        <f aca="false">HYPERLINK("https://www.fabsurplus.com/sdi_catalog/salesItemDetails.do?id=31629")</f>
        <v>https://www.fabsurplus.com/sdi_catalog/salesItemDetails.do?id=31629</v>
      </c>
      <c r="B2533" s="5" t="s">
        <v>7083</v>
      </c>
      <c r="C2533" s="5" t="s">
        <v>6831</v>
      </c>
      <c r="D2533" s="5" t="s">
        <v>6996</v>
      </c>
      <c r="E2533" s="5" t="s">
        <v>7084</v>
      </c>
      <c r="F2533" s="5" t="s">
        <v>16</v>
      </c>
      <c r="G2533" s="5"/>
      <c r="H2533" s="5"/>
      <c r="I2533" s="5"/>
      <c r="J2533" s="5"/>
      <c r="K2533" s="5"/>
      <c r="L2533" s="5" t="s">
        <v>7085</v>
      </c>
    </row>
    <row r="2534" customFormat="false" ht="15.65" hidden="false" customHeight="true" outlineLevel="0" collapsed="false">
      <c r="A2534" s="2" t="str">
        <f aca="false">HYPERLINK("https://www.fabsurplus.com/sdi_catalog/salesItemDetails.do?id=106125")</f>
        <v>https://www.fabsurplus.com/sdi_catalog/salesItemDetails.do?id=106125</v>
      </c>
      <c r="B2534" s="2" t="s">
        <v>7086</v>
      </c>
      <c r="C2534" s="2" t="s">
        <v>6831</v>
      </c>
      <c r="D2534" s="2" t="s">
        <v>7087</v>
      </c>
      <c r="E2534" s="2" t="s">
        <v>7088</v>
      </c>
      <c r="F2534" s="2" t="s">
        <v>16</v>
      </c>
      <c r="G2534" s="2" t="s">
        <v>104</v>
      </c>
      <c r="H2534" s="2" t="s">
        <v>18</v>
      </c>
      <c r="I2534" s="2"/>
      <c r="J2534" s="2" t="s">
        <v>19</v>
      </c>
      <c r="K2534" s="2" t="s">
        <v>20</v>
      </c>
      <c r="L2534" s="2" t="s">
        <v>6985</v>
      </c>
    </row>
    <row r="2535" customFormat="false" ht="15.65" hidden="false" customHeight="true" outlineLevel="0" collapsed="false">
      <c r="A2535" s="5" t="str">
        <f aca="false">HYPERLINK("https://www.fabsurplus.com/sdi_catalog/salesItemDetails.do?id=31630")</f>
        <v>https://www.fabsurplus.com/sdi_catalog/salesItemDetails.do?id=31630</v>
      </c>
      <c r="B2535" s="5" t="s">
        <v>7089</v>
      </c>
      <c r="C2535" s="5" t="s">
        <v>6831</v>
      </c>
      <c r="D2535" s="5" t="s">
        <v>6996</v>
      </c>
      <c r="E2535" s="5" t="s">
        <v>7090</v>
      </c>
      <c r="F2535" s="5" t="s">
        <v>16</v>
      </c>
      <c r="G2535" s="5"/>
      <c r="H2535" s="5"/>
      <c r="I2535" s="5"/>
      <c r="J2535" s="5"/>
      <c r="K2535" s="5"/>
      <c r="L2535" s="5"/>
    </row>
    <row r="2536" customFormat="false" ht="15.65" hidden="false" customHeight="true" outlineLevel="0" collapsed="false">
      <c r="A2536" s="2" t="str">
        <f aca="false">HYPERLINK("https://www.fabsurplus.com/sdi_catalog/salesItemDetails.do?id=106126")</f>
        <v>https://www.fabsurplus.com/sdi_catalog/salesItemDetails.do?id=106126</v>
      </c>
      <c r="B2536" s="2" t="s">
        <v>7091</v>
      </c>
      <c r="C2536" s="2" t="s">
        <v>6831</v>
      </c>
      <c r="D2536" s="2" t="s">
        <v>7092</v>
      </c>
      <c r="E2536" s="2" t="s">
        <v>7093</v>
      </c>
      <c r="F2536" s="2" t="s">
        <v>16</v>
      </c>
      <c r="G2536" s="2" t="s">
        <v>104</v>
      </c>
      <c r="H2536" s="2" t="s">
        <v>18</v>
      </c>
      <c r="I2536" s="2"/>
      <c r="J2536" s="2" t="s">
        <v>19</v>
      </c>
      <c r="K2536" s="2" t="s">
        <v>20</v>
      </c>
      <c r="L2536" s="2" t="s">
        <v>6985</v>
      </c>
    </row>
    <row r="2537" customFormat="false" ht="15.65" hidden="false" customHeight="true" outlineLevel="0" collapsed="false">
      <c r="A2537" s="5" t="str">
        <f aca="false">HYPERLINK("https://www.fabsurplus.com/sdi_catalog/salesItemDetails.do?id=108430")</f>
        <v>https://www.fabsurplus.com/sdi_catalog/salesItemDetails.do?id=108430</v>
      </c>
      <c r="B2537" s="5" t="s">
        <v>7094</v>
      </c>
      <c r="C2537" s="5" t="s">
        <v>6831</v>
      </c>
      <c r="D2537" s="5" t="s">
        <v>7095</v>
      </c>
      <c r="E2537" s="5" t="s">
        <v>3067</v>
      </c>
      <c r="F2537" s="5" t="s">
        <v>16</v>
      </c>
      <c r="G2537" s="5" t="s">
        <v>388</v>
      </c>
      <c r="H2537" s="5"/>
      <c r="I2537" s="5"/>
      <c r="J2537" s="5" t="s">
        <v>19</v>
      </c>
      <c r="K2537" s="5"/>
      <c r="L2537" s="5"/>
    </row>
    <row r="2538" customFormat="false" ht="15.65" hidden="false" customHeight="true" outlineLevel="0" collapsed="false">
      <c r="A2538" s="2" t="str">
        <f aca="false">HYPERLINK("https://www.fabsurplus.com/sdi_catalog/salesItemDetails.do?id=31631")</f>
        <v>https://www.fabsurplus.com/sdi_catalog/salesItemDetails.do?id=31631</v>
      </c>
      <c r="B2538" s="2" t="s">
        <v>7096</v>
      </c>
      <c r="C2538" s="2" t="s">
        <v>6831</v>
      </c>
      <c r="D2538" s="2" t="s">
        <v>6996</v>
      </c>
      <c r="E2538" s="2" t="s">
        <v>7097</v>
      </c>
      <c r="F2538" s="2" t="s">
        <v>16</v>
      </c>
      <c r="G2538" s="2"/>
      <c r="H2538" s="2"/>
      <c r="I2538" s="2"/>
      <c r="J2538" s="2"/>
      <c r="K2538" s="2"/>
      <c r="L2538" s="2"/>
    </row>
    <row r="2539" customFormat="false" ht="15.65" hidden="false" customHeight="true" outlineLevel="0" collapsed="false">
      <c r="A2539" s="5" t="str">
        <f aca="false">HYPERLINK("https://www.fabsurplus.com/sdi_catalog/salesItemDetails.do?id=106127")</f>
        <v>https://www.fabsurplus.com/sdi_catalog/salesItemDetails.do?id=106127</v>
      </c>
      <c r="B2539" s="5" t="s">
        <v>7098</v>
      </c>
      <c r="C2539" s="5" t="s">
        <v>6831</v>
      </c>
      <c r="D2539" s="5" t="s">
        <v>7099</v>
      </c>
      <c r="E2539" s="5" t="s">
        <v>7100</v>
      </c>
      <c r="F2539" s="5" t="s">
        <v>16</v>
      </c>
      <c r="G2539" s="5" t="s">
        <v>104</v>
      </c>
      <c r="H2539" s="5" t="s">
        <v>18</v>
      </c>
      <c r="I2539" s="5"/>
      <c r="J2539" s="5" t="s">
        <v>19</v>
      </c>
      <c r="K2539" s="5" t="s">
        <v>20</v>
      </c>
      <c r="L2539" s="5" t="s">
        <v>6985</v>
      </c>
    </row>
    <row r="2540" customFormat="false" ht="15.65" hidden="false" customHeight="true" outlineLevel="0" collapsed="false">
      <c r="A2540" s="2" t="str">
        <f aca="false">HYPERLINK("https://www.fabsurplus.com/sdi_catalog/salesItemDetails.do?id=108431")</f>
        <v>https://www.fabsurplus.com/sdi_catalog/salesItemDetails.do?id=108431</v>
      </c>
      <c r="B2540" s="2" t="s">
        <v>7101</v>
      </c>
      <c r="C2540" s="2" t="s">
        <v>6831</v>
      </c>
      <c r="D2540" s="2" t="s">
        <v>7102</v>
      </c>
      <c r="E2540" s="2" t="s">
        <v>7103</v>
      </c>
      <c r="F2540" s="2" t="s">
        <v>16</v>
      </c>
      <c r="G2540" s="2" t="s">
        <v>61</v>
      </c>
      <c r="H2540" s="2"/>
      <c r="I2540" s="2"/>
      <c r="J2540" s="2" t="s">
        <v>19</v>
      </c>
      <c r="K2540" s="2"/>
      <c r="L2540" s="2"/>
    </row>
    <row r="2541" customFormat="false" ht="15.65" hidden="false" customHeight="true" outlineLevel="0" collapsed="false">
      <c r="A2541" s="5" t="str">
        <f aca="false">HYPERLINK("https://www.fabsurplus.com/sdi_catalog/salesItemDetails.do?id=31632")</f>
        <v>https://www.fabsurplus.com/sdi_catalog/salesItemDetails.do?id=31632</v>
      </c>
      <c r="B2541" s="5" t="s">
        <v>7104</v>
      </c>
      <c r="C2541" s="5" t="s">
        <v>6831</v>
      </c>
      <c r="D2541" s="5" t="s">
        <v>6996</v>
      </c>
      <c r="E2541" s="5" t="s">
        <v>7105</v>
      </c>
      <c r="F2541" s="5" t="s">
        <v>16</v>
      </c>
      <c r="G2541" s="5"/>
      <c r="H2541" s="5"/>
      <c r="I2541" s="5"/>
      <c r="J2541" s="5"/>
      <c r="K2541" s="5"/>
      <c r="L2541" s="5"/>
    </row>
    <row r="2542" customFormat="false" ht="15.65" hidden="false" customHeight="true" outlineLevel="0" collapsed="false">
      <c r="A2542" s="2" t="str">
        <f aca="false">HYPERLINK("https://www.fabsurplus.com/sdi_catalog/salesItemDetails.do?id=106128")</f>
        <v>https://www.fabsurplus.com/sdi_catalog/salesItemDetails.do?id=106128</v>
      </c>
      <c r="B2542" s="2" t="s">
        <v>7106</v>
      </c>
      <c r="C2542" s="2" t="s">
        <v>6831</v>
      </c>
      <c r="D2542" s="2" t="s">
        <v>7092</v>
      </c>
      <c r="E2542" s="2" t="s">
        <v>7093</v>
      </c>
      <c r="F2542" s="2" t="s">
        <v>16</v>
      </c>
      <c r="G2542" s="2" t="s">
        <v>104</v>
      </c>
      <c r="H2542" s="2" t="s">
        <v>18</v>
      </c>
      <c r="I2542" s="2"/>
      <c r="J2542" s="2" t="s">
        <v>19</v>
      </c>
      <c r="K2542" s="2" t="s">
        <v>20</v>
      </c>
      <c r="L2542" s="2" t="s">
        <v>6985</v>
      </c>
    </row>
    <row r="2543" customFormat="false" ht="15.65" hidden="false" customHeight="true" outlineLevel="0" collapsed="false">
      <c r="A2543" s="5" t="str">
        <f aca="false">HYPERLINK("https://www.fabsurplus.com/sdi_catalog/salesItemDetails.do?id=31633")</f>
        <v>https://www.fabsurplus.com/sdi_catalog/salesItemDetails.do?id=31633</v>
      </c>
      <c r="B2543" s="5" t="s">
        <v>7107</v>
      </c>
      <c r="C2543" s="5" t="s">
        <v>6831</v>
      </c>
      <c r="D2543" s="5" t="s">
        <v>6996</v>
      </c>
      <c r="E2543" s="5" t="s">
        <v>7108</v>
      </c>
      <c r="F2543" s="5" t="s">
        <v>16</v>
      </c>
      <c r="G2543" s="5"/>
      <c r="H2543" s="5"/>
      <c r="I2543" s="5"/>
      <c r="J2543" s="5"/>
      <c r="K2543" s="5"/>
      <c r="L2543" s="5" t="s">
        <v>7109</v>
      </c>
    </row>
    <row r="2544" customFormat="false" ht="15.65" hidden="false" customHeight="true" outlineLevel="0" collapsed="false">
      <c r="A2544" s="2" t="str">
        <f aca="false">HYPERLINK("https://www.fabsurplus.com/sdi_catalog/salesItemDetails.do?id=106129")</f>
        <v>https://www.fabsurplus.com/sdi_catalog/salesItemDetails.do?id=106129</v>
      </c>
      <c r="B2544" s="2" t="s">
        <v>7110</v>
      </c>
      <c r="C2544" s="2" t="s">
        <v>6831</v>
      </c>
      <c r="D2544" s="2" t="s">
        <v>7111</v>
      </c>
      <c r="E2544" s="2" t="s">
        <v>7112</v>
      </c>
      <c r="F2544" s="2" t="s">
        <v>16</v>
      </c>
      <c r="G2544" s="2" t="s">
        <v>104</v>
      </c>
      <c r="H2544" s="2" t="s">
        <v>18</v>
      </c>
      <c r="I2544" s="2"/>
      <c r="J2544" s="2" t="s">
        <v>19</v>
      </c>
      <c r="K2544" s="2" t="s">
        <v>20</v>
      </c>
      <c r="L2544" s="2" t="s">
        <v>6985</v>
      </c>
    </row>
    <row r="2545" customFormat="false" ht="15.65" hidden="false" customHeight="true" outlineLevel="0" collapsed="false">
      <c r="A2545" s="5" t="str">
        <f aca="false">HYPERLINK("https://www.fabsurplus.com/sdi_catalog/salesItemDetails.do?id=106130")</f>
        <v>https://www.fabsurplus.com/sdi_catalog/salesItemDetails.do?id=106130</v>
      </c>
      <c r="B2545" s="5" t="s">
        <v>7113</v>
      </c>
      <c r="C2545" s="5" t="s">
        <v>6831</v>
      </c>
      <c r="D2545" s="5" t="s">
        <v>7114</v>
      </c>
      <c r="E2545" s="5" t="s">
        <v>7115</v>
      </c>
      <c r="F2545" s="5" t="s">
        <v>16</v>
      </c>
      <c r="G2545" s="5" t="s">
        <v>104</v>
      </c>
      <c r="H2545" s="5" t="s">
        <v>18</v>
      </c>
      <c r="I2545" s="5"/>
      <c r="J2545" s="5" t="s">
        <v>19</v>
      </c>
      <c r="K2545" s="5" t="s">
        <v>20</v>
      </c>
      <c r="L2545" s="5" t="s">
        <v>6985</v>
      </c>
    </row>
    <row r="2546" customFormat="false" ht="15.65" hidden="false" customHeight="true" outlineLevel="0" collapsed="false">
      <c r="A2546" s="2" t="str">
        <f aca="false">HYPERLINK("https://www.fabsurplus.com/sdi_catalog/salesItemDetails.do?id=106131")</f>
        <v>https://www.fabsurplus.com/sdi_catalog/salesItemDetails.do?id=106131</v>
      </c>
      <c r="B2546" s="2" t="s">
        <v>7116</v>
      </c>
      <c r="C2546" s="2" t="s">
        <v>6831</v>
      </c>
      <c r="D2546" s="2" t="s">
        <v>7117</v>
      </c>
      <c r="E2546" s="2" t="s">
        <v>7118</v>
      </c>
      <c r="F2546" s="2" t="s">
        <v>16</v>
      </c>
      <c r="G2546" s="2" t="s">
        <v>104</v>
      </c>
      <c r="H2546" s="2" t="s">
        <v>18</v>
      </c>
      <c r="I2546" s="2"/>
      <c r="J2546" s="2" t="s">
        <v>19</v>
      </c>
      <c r="K2546" s="2" t="s">
        <v>20</v>
      </c>
      <c r="L2546" s="2" t="s">
        <v>6985</v>
      </c>
    </row>
    <row r="2547" customFormat="false" ht="15.65" hidden="false" customHeight="true" outlineLevel="0" collapsed="false">
      <c r="A2547" s="5" t="str">
        <f aca="false">HYPERLINK("https://www.fabsurplus.com/sdi_catalog/salesItemDetails.do?id=106132")</f>
        <v>https://www.fabsurplus.com/sdi_catalog/salesItemDetails.do?id=106132</v>
      </c>
      <c r="B2547" s="5" t="s">
        <v>7119</v>
      </c>
      <c r="C2547" s="5" t="s">
        <v>6831</v>
      </c>
      <c r="D2547" s="5" t="s">
        <v>7120</v>
      </c>
      <c r="E2547" s="5" t="s">
        <v>7121</v>
      </c>
      <c r="F2547" s="5" t="s">
        <v>16</v>
      </c>
      <c r="G2547" s="5" t="s">
        <v>104</v>
      </c>
      <c r="H2547" s="5" t="s">
        <v>18</v>
      </c>
      <c r="I2547" s="5"/>
      <c r="J2547" s="5" t="s">
        <v>19</v>
      </c>
      <c r="K2547" s="5" t="s">
        <v>20</v>
      </c>
      <c r="L2547" s="5" t="s">
        <v>6985</v>
      </c>
    </row>
    <row r="2548" customFormat="false" ht="15.65" hidden="false" customHeight="true" outlineLevel="0" collapsed="false">
      <c r="A2548" s="2" t="str">
        <f aca="false">HYPERLINK("https://www.fabsurplus.com/sdi_catalog/salesItemDetails.do?id=106133")</f>
        <v>https://www.fabsurplus.com/sdi_catalog/salesItemDetails.do?id=106133</v>
      </c>
      <c r="B2548" s="2" t="s">
        <v>7122</v>
      </c>
      <c r="C2548" s="2" t="s">
        <v>6831</v>
      </c>
      <c r="D2548" s="2" t="s">
        <v>7123</v>
      </c>
      <c r="E2548" s="2" t="s">
        <v>7124</v>
      </c>
      <c r="F2548" s="2" t="s">
        <v>16</v>
      </c>
      <c r="G2548" s="2" t="s">
        <v>104</v>
      </c>
      <c r="H2548" s="2" t="s">
        <v>18</v>
      </c>
      <c r="I2548" s="2"/>
      <c r="J2548" s="2" t="s">
        <v>19</v>
      </c>
      <c r="K2548" s="2" t="s">
        <v>20</v>
      </c>
      <c r="L2548" s="2" t="s">
        <v>6985</v>
      </c>
    </row>
    <row r="2549" customFormat="false" ht="15.65" hidden="false" customHeight="true" outlineLevel="0" collapsed="false">
      <c r="A2549" s="5" t="str">
        <f aca="false">HYPERLINK("https://www.fabsurplus.com/sdi_catalog/salesItemDetails.do?id=106134")</f>
        <v>https://www.fabsurplus.com/sdi_catalog/salesItemDetails.do?id=106134</v>
      </c>
      <c r="B2549" s="5" t="s">
        <v>7125</v>
      </c>
      <c r="C2549" s="5" t="s">
        <v>6831</v>
      </c>
      <c r="D2549" s="5" t="s">
        <v>7126</v>
      </c>
      <c r="E2549" s="5" t="s">
        <v>7127</v>
      </c>
      <c r="F2549" s="5" t="s">
        <v>16</v>
      </c>
      <c r="G2549" s="5" t="s">
        <v>104</v>
      </c>
      <c r="H2549" s="5" t="s">
        <v>18</v>
      </c>
      <c r="I2549" s="5"/>
      <c r="J2549" s="5" t="s">
        <v>19</v>
      </c>
      <c r="K2549" s="5" t="s">
        <v>20</v>
      </c>
      <c r="L2549" s="5" t="s">
        <v>6985</v>
      </c>
    </row>
    <row r="2550" customFormat="false" ht="15.65" hidden="false" customHeight="true" outlineLevel="0" collapsed="false">
      <c r="A2550" s="2" t="str">
        <f aca="false">HYPERLINK("https://www.fabsurplus.com/sdi_catalog/salesItemDetails.do?id=106135")</f>
        <v>https://www.fabsurplus.com/sdi_catalog/salesItemDetails.do?id=106135</v>
      </c>
      <c r="B2550" s="2" t="s">
        <v>7128</v>
      </c>
      <c r="C2550" s="2" t="s">
        <v>6831</v>
      </c>
      <c r="D2550" s="2" t="s">
        <v>7129</v>
      </c>
      <c r="E2550" s="2" t="s">
        <v>7130</v>
      </c>
      <c r="F2550" s="2" t="s">
        <v>151</v>
      </c>
      <c r="G2550" s="2" t="s">
        <v>104</v>
      </c>
      <c r="H2550" s="2" t="s">
        <v>18</v>
      </c>
      <c r="I2550" s="2"/>
      <c r="J2550" s="2" t="s">
        <v>19</v>
      </c>
      <c r="K2550" s="2" t="s">
        <v>20</v>
      </c>
      <c r="L2550" s="4" t="s">
        <v>7131</v>
      </c>
    </row>
    <row r="2551" customFormat="false" ht="15.65" hidden="false" customHeight="true" outlineLevel="0" collapsed="false">
      <c r="A2551" s="5" t="str">
        <f aca="false">HYPERLINK("https://www.fabsurplus.com/sdi_catalog/salesItemDetails.do?id=106136")</f>
        <v>https://www.fabsurplus.com/sdi_catalog/salesItemDetails.do?id=106136</v>
      </c>
      <c r="B2551" s="5" t="s">
        <v>7132</v>
      </c>
      <c r="C2551" s="5" t="s">
        <v>6831</v>
      </c>
      <c r="D2551" s="5" t="s">
        <v>7133</v>
      </c>
      <c r="E2551" s="5" t="s">
        <v>7134</v>
      </c>
      <c r="F2551" s="5" t="s">
        <v>151</v>
      </c>
      <c r="G2551" s="5" t="s">
        <v>104</v>
      </c>
      <c r="H2551" s="5" t="s">
        <v>18</v>
      </c>
      <c r="I2551" s="5"/>
      <c r="J2551" s="5" t="s">
        <v>19</v>
      </c>
      <c r="K2551" s="5" t="s">
        <v>20</v>
      </c>
      <c r="L2551" s="7" t="s">
        <v>7135</v>
      </c>
    </row>
    <row r="2552" customFormat="false" ht="15.65" hidden="false" customHeight="true" outlineLevel="0" collapsed="false">
      <c r="A2552" s="2" t="str">
        <f aca="false">HYPERLINK("https://www.fabsurplus.com/sdi_catalog/salesItemDetails.do?id=106137")</f>
        <v>https://www.fabsurplus.com/sdi_catalog/salesItemDetails.do?id=106137</v>
      </c>
      <c r="B2552" s="2" t="s">
        <v>7136</v>
      </c>
      <c r="C2552" s="2" t="s">
        <v>6831</v>
      </c>
      <c r="D2552" s="2" t="s">
        <v>7137</v>
      </c>
      <c r="E2552" s="2" t="s">
        <v>7138</v>
      </c>
      <c r="F2552" s="2" t="s">
        <v>16</v>
      </c>
      <c r="G2552" s="2" t="s">
        <v>104</v>
      </c>
      <c r="H2552" s="2" t="s">
        <v>18</v>
      </c>
      <c r="I2552" s="2"/>
      <c r="J2552" s="2" t="s">
        <v>19</v>
      </c>
      <c r="K2552" s="2" t="s">
        <v>20</v>
      </c>
      <c r="L2552" s="4" t="s">
        <v>7139</v>
      </c>
    </row>
    <row r="2553" customFormat="false" ht="15.65" hidden="false" customHeight="true" outlineLevel="0" collapsed="false">
      <c r="A2553" s="5" t="str">
        <f aca="false">HYPERLINK("https://www.fabsurplus.com/sdi_catalog/salesItemDetails.do?id=106138")</f>
        <v>https://www.fabsurplus.com/sdi_catalog/salesItemDetails.do?id=106138</v>
      </c>
      <c r="B2553" s="5" t="s">
        <v>7140</v>
      </c>
      <c r="C2553" s="5" t="s">
        <v>6831</v>
      </c>
      <c r="D2553" s="5" t="s">
        <v>7141</v>
      </c>
      <c r="E2553" s="5" t="s">
        <v>7142</v>
      </c>
      <c r="F2553" s="5" t="s">
        <v>16</v>
      </c>
      <c r="G2553" s="5" t="s">
        <v>104</v>
      </c>
      <c r="H2553" s="5" t="s">
        <v>18</v>
      </c>
      <c r="I2553" s="6" t="n">
        <v>33848</v>
      </c>
      <c r="J2553" s="5" t="s">
        <v>19</v>
      </c>
      <c r="K2553" s="5" t="s">
        <v>20</v>
      </c>
      <c r="L2553" s="7" t="s">
        <v>7143</v>
      </c>
    </row>
    <row r="2554" customFormat="false" ht="15.65" hidden="false" customHeight="true" outlineLevel="0" collapsed="false">
      <c r="A2554" s="2" t="str">
        <f aca="false">HYPERLINK("https://www.fabsurplus.com/sdi_catalog/salesItemDetails.do?id=27803")</f>
        <v>https://www.fabsurplus.com/sdi_catalog/salesItemDetails.do?id=27803</v>
      </c>
      <c r="B2554" s="2" t="s">
        <v>7144</v>
      </c>
      <c r="C2554" s="2" t="s">
        <v>6831</v>
      </c>
      <c r="D2554" s="2" t="s">
        <v>6996</v>
      </c>
      <c r="E2554" s="2" t="s">
        <v>7145</v>
      </c>
      <c r="F2554" s="2" t="s">
        <v>145</v>
      </c>
      <c r="G2554" s="2"/>
      <c r="H2554" s="2"/>
      <c r="I2554" s="2"/>
      <c r="J2554" s="2"/>
      <c r="K2554" s="2"/>
      <c r="L2554" s="2" t="s">
        <v>7146</v>
      </c>
    </row>
    <row r="2555" customFormat="false" ht="15.65" hidden="false" customHeight="true" outlineLevel="0" collapsed="false">
      <c r="A2555" s="5" t="str">
        <f aca="false">HYPERLINK("https://www.fabsurplus.com/sdi_catalog/salesItemDetails.do?id=27804")</f>
        <v>https://www.fabsurplus.com/sdi_catalog/salesItemDetails.do?id=27804</v>
      </c>
      <c r="B2555" s="5" t="s">
        <v>7147</v>
      </c>
      <c r="C2555" s="5" t="s">
        <v>6831</v>
      </c>
      <c r="D2555" s="5" t="s">
        <v>7148</v>
      </c>
      <c r="E2555" s="5" t="s">
        <v>7149</v>
      </c>
      <c r="F2555" s="5" t="s">
        <v>16</v>
      </c>
      <c r="G2555" s="5" t="s">
        <v>97</v>
      </c>
      <c r="H2555" s="5" t="s">
        <v>18</v>
      </c>
      <c r="I2555" s="5"/>
      <c r="J2555" s="5" t="s">
        <v>19</v>
      </c>
      <c r="K2555" s="5" t="s">
        <v>20</v>
      </c>
      <c r="L2555" s="7" t="s">
        <v>7150</v>
      </c>
    </row>
    <row r="2556" customFormat="false" ht="15.65" hidden="false" customHeight="true" outlineLevel="0" collapsed="false">
      <c r="A2556" s="2" t="str">
        <f aca="false">HYPERLINK("https://www.fabsurplus.com/sdi_catalog/salesItemDetails.do?id=106140")</f>
        <v>https://www.fabsurplus.com/sdi_catalog/salesItemDetails.do?id=106140</v>
      </c>
      <c r="B2556" s="2" t="s">
        <v>7151</v>
      </c>
      <c r="C2556" s="2" t="s">
        <v>6831</v>
      </c>
      <c r="D2556" s="2" t="s">
        <v>7152</v>
      </c>
      <c r="E2556" s="2" t="s">
        <v>7153</v>
      </c>
      <c r="F2556" s="2" t="s">
        <v>16</v>
      </c>
      <c r="G2556" s="2" t="s">
        <v>104</v>
      </c>
      <c r="H2556" s="2" t="s">
        <v>18</v>
      </c>
      <c r="I2556" s="2"/>
      <c r="J2556" s="2" t="s">
        <v>19</v>
      </c>
      <c r="K2556" s="2" t="s">
        <v>20</v>
      </c>
      <c r="L2556" s="2" t="s">
        <v>6985</v>
      </c>
    </row>
    <row r="2557" customFormat="false" ht="15.65" hidden="false" customHeight="true" outlineLevel="0" collapsed="false">
      <c r="A2557" s="5" t="str">
        <f aca="false">HYPERLINK("https://www.fabsurplus.com/sdi_catalog/salesItemDetails.do?id=31645")</f>
        <v>https://www.fabsurplus.com/sdi_catalog/salesItemDetails.do?id=31645</v>
      </c>
      <c r="B2557" s="5" t="s">
        <v>7154</v>
      </c>
      <c r="C2557" s="5" t="s">
        <v>6831</v>
      </c>
      <c r="D2557" s="5" t="s">
        <v>7155</v>
      </c>
      <c r="E2557" s="5" t="s">
        <v>7156</v>
      </c>
      <c r="F2557" s="5" t="s">
        <v>108</v>
      </c>
      <c r="G2557" s="5" t="s">
        <v>104</v>
      </c>
      <c r="H2557" s="5" t="s">
        <v>18</v>
      </c>
      <c r="I2557" s="6" t="n">
        <v>33390</v>
      </c>
      <c r="J2557" s="5" t="s">
        <v>19</v>
      </c>
      <c r="K2557" s="5" t="s">
        <v>20</v>
      </c>
      <c r="L2557" s="7" t="s">
        <v>7157</v>
      </c>
    </row>
    <row r="2558" customFormat="false" ht="15.65" hidden="false" customHeight="true" outlineLevel="0" collapsed="false">
      <c r="A2558" s="2" t="str">
        <f aca="false">HYPERLINK("https://www.fabsurplus.com/sdi_catalog/salesItemDetails.do?id=106141")</f>
        <v>https://www.fabsurplus.com/sdi_catalog/salesItemDetails.do?id=106141</v>
      </c>
      <c r="B2558" s="2" t="s">
        <v>7158</v>
      </c>
      <c r="C2558" s="2" t="s">
        <v>6831</v>
      </c>
      <c r="D2558" s="2" t="s">
        <v>7159</v>
      </c>
      <c r="E2558" s="2" t="s">
        <v>7160</v>
      </c>
      <c r="F2558" s="2" t="s">
        <v>151</v>
      </c>
      <c r="G2558" s="2" t="s">
        <v>104</v>
      </c>
      <c r="H2558" s="2" t="s">
        <v>18</v>
      </c>
      <c r="I2558" s="2"/>
      <c r="J2558" s="2" t="s">
        <v>19</v>
      </c>
      <c r="K2558" s="2" t="s">
        <v>20</v>
      </c>
      <c r="L2558" s="2" t="s">
        <v>6985</v>
      </c>
    </row>
    <row r="2559" customFormat="false" ht="15.65" hidden="false" customHeight="true" outlineLevel="0" collapsed="false">
      <c r="A2559" s="5" t="str">
        <f aca="false">HYPERLINK("https://www.fabsurplus.com/sdi_catalog/salesItemDetails.do?id=106142")</f>
        <v>https://www.fabsurplus.com/sdi_catalog/salesItemDetails.do?id=106142</v>
      </c>
      <c r="B2559" s="5" t="s">
        <v>7161</v>
      </c>
      <c r="C2559" s="5" t="s">
        <v>6831</v>
      </c>
      <c r="D2559" s="5" t="s">
        <v>7162</v>
      </c>
      <c r="E2559" s="5" t="s">
        <v>7163</v>
      </c>
      <c r="F2559" s="5" t="s">
        <v>151</v>
      </c>
      <c r="G2559" s="5" t="s">
        <v>104</v>
      </c>
      <c r="H2559" s="5" t="s">
        <v>18</v>
      </c>
      <c r="I2559" s="5"/>
      <c r="J2559" s="5" t="s">
        <v>19</v>
      </c>
      <c r="K2559" s="5" t="s">
        <v>20</v>
      </c>
      <c r="L2559" s="7" t="s">
        <v>7164</v>
      </c>
    </row>
    <row r="2560" customFormat="false" ht="15.65" hidden="false" customHeight="true" outlineLevel="0" collapsed="false">
      <c r="A2560" s="2" t="str">
        <f aca="false">HYPERLINK("https://www.fabsurplus.com/sdi_catalog/salesItemDetails.do?id=27807")</f>
        <v>https://www.fabsurplus.com/sdi_catalog/salesItemDetails.do?id=27807</v>
      </c>
      <c r="B2560" s="2" t="s">
        <v>7165</v>
      </c>
      <c r="C2560" s="2" t="s">
        <v>6831</v>
      </c>
      <c r="D2560" s="2" t="s">
        <v>7166</v>
      </c>
      <c r="E2560" s="2" t="s">
        <v>7167</v>
      </c>
      <c r="F2560" s="2" t="s">
        <v>86</v>
      </c>
      <c r="G2560" s="2" t="s">
        <v>97</v>
      </c>
      <c r="H2560" s="2" t="s">
        <v>32</v>
      </c>
      <c r="I2560" s="2"/>
      <c r="J2560" s="2" t="s">
        <v>19</v>
      </c>
      <c r="K2560" s="2" t="s">
        <v>20</v>
      </c>
      <c r="L2560" s="2" t="s">
        <v>7168</v>
      </c>
    </row>
    <row r="2561" customFormat="false" ht="15.65" hidden="false" customHeight="true" outlineLevel="0" collapsed="false">
      <c r="A2561" s="5" t="str">
        <f aca="false">HYPERLINK("https://www.fabsurplus.com/sdi_catalog/salesItemDetails.do?id=106143")</f>
        <v>https://www.fabsurplus.com/sdi_catalog/salesItemDetails.do?id=106143</v>
      </c>
      <c r="B2561" s="5" t="s">
        <v>7169</v>
      </c>
      <c r="C2561" s="5" t="s">
        <v>6831</v>
      </c>
      <c r="D2561" s="5" t="s">
        <v>7170</v>
      </c>
      <c r="E2561" s="5" t="s">
        <v>7171</v>
      </c>
      <c r="F2561" s="5" t="s">
        <v>16</v>
      </c>
      <c r="G2561" s="5" t="s">
        <v>7172</v>
      </c>
      <c r="H2561" s="5" t="s">
        <v>18</v>
      </c>
      <c r="I2561" s="6" t="n">
        <v>36312</v>
      </c>
      <c r="J2561" s="5" t="s">
        <v>19</v>
      </c>
      <c r="K2561" s="5" t="s">
        <v>20</v>
      </c>
      <c r="L2561" s="7" t="s">
        <v>7173</v>
      </c>
    </row>
    <row r="2562" customFormat="false" ht="15.65" hidden="false" customHeight="true" outlineLevel="0" collapsed="false">
      <c r="A2562" s="2" t="str">
        <f aca="false">HYPERLINK("https://www.fabsurplus.com/sdi_catalog/salesItemDetails.do?id=27809")</f>
        <v>https://www.fabsurplus.com/sdi_catalog/salesItemDetails.do?id=27809</v>
      </c>
      <c r="B2562" s="2" t="s">
        <v>7174</v>
      </c>
      <c r="C2562" s="2" t="s">
        <v>6831</v>
      </c>
      <c r="D2562" s="2" t="s">
        <v>7175</v>
      </c>
      <c r="E2562" s="2" t="s">
        <v>7176</v>
      </c>
      <c r="F2562" s="2" t="s">
        <v>16</v>
      </c>
      <c r="G2562" s="2" t="s">
        <v>165</v>
      </c>
      <c r="H2562" s="2" t="s">
        <v>32</v>
      </c>
      <c r="I2562" s="3" t="n">
        <v>33725</v>
      </c>
      <c r="J2562" s="2" t="s">
        <v>19</v>
      </c>
      <c r="K2562" s="2" t="s">
        <v>20</v>
      </c>
      <c r="L2562" s="4" t="s">
        <v>7177</v>
      </c>
    </row>
    <row r="2563" customFormat="false" ht="15.65" hidden="false" customHeight="true" outlineLevel="0" collapsed="false">
      <c r="A2563" s="5" t="str">
        <f aca="false">HYPERLINK("https://www.fabsurplus.com/sdi_catalog/salesItemDetails.do?id=106146")</f>
        <v>https://www.fabsurplus.com/sdi_catalog/salesItemDetails.do?id=106146</v>
      </c>
      <c r="B2563" s="5" t="s">
        <v>7178</v>
      </c>
      <c r="C2563" s="5" t="s">
        <v>6831</v>
      </c>
      <c r="D2563" s="5" t="s">
        <v>7179</v>
      </c>
      <c r="E2563" s="5" t="s">
        <v>7180</v>
      </c>
      <c r="F2563" s="5" t="s">
        <v>16</v>
      </c>
      <c r="G2563" s="5" t="s">
        <v>97</v>
      </c>
      <c r="H2563" s="5" t="s">
        <v>18</v>
      </c>
      <c r="I2563" s="6" t="n">
        <v>33725</v>
      </c>
      <c r="J2563" s="5" t="s">
        <v>19</v>
      </c>
      <c r="K2563" s="5" t="s">
        <v>20</v>
      </c>
      <c r="L2563" s="5"/>
    </row>
    <row r="2564" customFormat="false" ht="15.65" hidden="false" customHeight="true" outlineLevel="0" collapsed="false">
      <c r="A2564" s="2" t="str">
        <f aca="false">HYPERLINK("https://www.fabsurplus.com/sdi_catalog/salesItemDetails.do?id=83635")</f>
        <v>https://www.fabsurplus.com/sdi_catalog/salesItemDetails.do?id=83635</v>
      </c>
      <c r="B2564" s="2" t="s">
        <v>7181</v>
      </c>
      <c r="C2564" s="2" t="s">
        <v>6831</v>
      </c>
      <c r="D2564" s="2" t="s">
        <v>7182</v>
      </c>
      <c r="E2564" s="2" t="s">
        <v>7183</v>
      </c>
      <c r="F2564" s="2" t="s">
        <v>16</v>
      </c>
      <c r="G2564" s="2" t="s">
        <v>165</v>
      </c>
      <c r="H2564" s="2" t="s">
        <v>32</v>
      </c>
      <c r="I2564" s="2"/>
      <c r="J2564" s="2" t="s">
        <v>19</v>
      </c>
      <c r="K2564" s="2" t="s">
        <v>20</v>
      </c>
      <c r="L2564" s="4" t="s">
        <v>7184</v>
      </c>
    </row>
    <row r="2565" customFormat="false" ht="15.65" hidden="false" customHeight="true" outlineLevel="0" collapsed="false">
      <c r="A2565" s="5" t="str">
        <f aca="false">HYPERLINK("https://www.fabsurplus.com/sdi_catalog/salesItemDetails.do?id=108989")</f>
        <v>https://www.fabsurplus.com/sdi_catalog/salesItemDetails.do?id=108989</v>
      </c>
      <c r="B2565" s="5" t="s">
        <v>7185</v>
      </c>
      <c r="C2565" s="5" t="s">
        <v>6831</v>
      </c>
      <c r="D2565" s="5" t="s">
        <v>7186</v>
      </c>
      <c r="E2565" s="5" t="s">
        <v>7187</v>
      </c>
      <c r="F2565" s="5" t="s">
        <v>16</v>
      </c>
      <c r="G2565" s="5" t="s">
        <v>104</v>
      </c>
      <c r="H2565" s="5" t="s">
        <v>32</v>
      </c>
      <c r="I2565" s="6" t="n">
        <v>35278</v>
      </c>
      <c r="J2565" s="5" t="s">
        <v>19</v>
      </c>
      <c r="K2565" s="5" t="s">
        <v>20</v>
      </c>
      <c r="L2565" s="7" t="s">
        <v>7188</v>
      </c>
    </row>
    <row r="2566" customFormat="false" ht="15.65" hidden="false" customHeight="true" outlineLevel="0" collapsed="false">
      <c r="A2566" s="2" t="str">
        <f aca="false">HYPERLINK("https://www.fabsurplus.com/sdi_catalog/salesItemDetails.do?id=4288")</f>
        <v>https://www.fabsurplus.com/sdi_catalog/salesItemDetails.do?id=4288</v>
      </c>
      <c r="B2566" s="2" t="s">
        <v>7189</v>
      </c>
      <c r="C2566" s="2" t="s">
        <v>6831</v>
      </c>
      <c r="D2566" s="2" t="s">
        <v>7190</v>
      </c>
      <c r="E2566" s="2" t="s">
        <v>7191</v>
      </c>
      <c r="F2566" s="2" t="s">
        <v>16</v>
      </c>
      <c r="G2566" s="2" t="s">
        <v>104</v>
      </c>
      <c r="H2566" s="2"/>
      <c r="I2566" s="2"/>
      <c r="J2566" s="2" t="s">
        <v>19</v>
      </c>
      <c r="K2566" s="2"/>
      <c r="L2566" s="2"/>
    </row>
    <row r="2567" customFormat="false" ht="15.65" hidden="false" customHeight="true" outlineLevel="0" collapsed="false">
      <c r="A2567" s="5" t="str">
        <f aca="false">HYPERLINK("https://www.fabsurplus.com/sdi_catalog/salesItemDetails.do?id=4289")</f>
        <v>https://www.fabsurplus.com/sdi_catalog/salesItemDetails.do?id=4289</v>
      </c>
      <c r="B2567" s="5" t="s">
        <v>7192</v>
      </c>
      <c r="C2567" s="5" t="s">
        <v>6831</v>
      </c>
      <c r="D2567" s="5" t="s">
        <v>7193</v>
      </c>
      <c r="E2567" s="5" t="s">
        <v>7194</v>
      </c>
      <c r="F2567" s="5" t="s">
        <v>151</v>
      </c>
      <c r="G2567" s="5" t="s">
        <v>104</v>
      </c>
      <c r="H2567" s="5"/>
      <c r="I2567" s="5"/>
      <c r="J2567" s="5" t="s">
        <v>19</v>
      </c>
      <c r="K2567" s="5"/>
      <c r="L2567" s="5"/>
    </row>
    <row r="2568" customFormat="false" ht="15.65" hidden="false" customHeight="true" outlineLevel="0" collapsed="false">
      <c r="A2568" s="2" t="str">
        <f aca="false">HYPERLINK("https://www.fabsurplus.com/sdi_catalog/salesItemDetails.do?id=4290")</f>
        <v>https://www.fabsurplus.com/sdi_catalog/salesItemDetails.do?id=4290</v>
      </c>
      <c r="B2568" s="2" t="s">
        <v>7195</v>
      </c>
      <c r="C2568" s="2" t="s">
        <v>6831</v>
      </c>
      <c r="D2568" s="2" t="s">
        <v>7196</v>
      </c>
      <c r="E2568" s="2" t="s">
        <v>7197</v>
      </c>
      <c r="F2568" s="2" t="s">
        <v>16</v>
      </c>
      <c r="G2568" s="2" t="s">
        <v>104</v>
      </c>
      <c r="H2568" s="2" t="s">
        <v>32</v>
      </c>
      <c r="I2568" s="3" t="n">
        <v>33208</v>
      </c>
      <c r="J2568" s="2" t="s">
        <v>19</v>
      </c>
      <c r="K2568" s="2" t="s">
        <v>20</v>
      </c>
      <c r="L2568" s="4" t="s">
        <v>7198</v>
      </c>
    </row>
    <row r="2569" customFormat="false" ht="15.65" hidden="false" customHeight="true" outlineLevel="0" collapsed="false">
      <c r="A2569" s="5" t="str">
        <f aca="false">HYPERLINK("https://www.fabsurplus.com/sdi_catalog/salesItemDetails.do?id=1736")</f>
        <v>https://www.fabsurplus.com/sdi_catalog/salesItemDetails.do?id=1736</v>
      </c>
      <c r="B2569" s="5" t="s">
        <v>7199</v>
      </c>
      <c r="C2569" s="5" t="s">
        <v>6831</v>
      </c>
      <c r="D2569" s="5" t="s">
        <v>7200</v>
      </c>
      <c r="E2569" s="5" t="s">
        <v>7201</v>
      </c>
      <c r="F2569" s="5" t="s">
        <v>16</v>
      </c>
      <c r="G2569" s="5" t="s">
        <v>165</v>
      </c>
      <c r="H2569" s="5" t="s">
        <v>32</v>
      </c>
      <c r="I2569" s="6" t="n">
        <v>31048</v>
      </c>
      <c r="J2569" s="5" t="s">
        <v>19</v>
      </c>
      <c r="K2569" s="5" t="s">
        <v>20</v>
      </c>
      <c r="L2569" s="5" t="s">
        <v>7202</v>
      </c>
    </row>
    <row r="2570" customFormat="false" ht="15.65" hidden="false" customHeight="true" outlineLevel="0" collapsed="false">
      <c r="A2570" s="2" t="str">
        <f aca="false">HYPERLINK("https://www.fabsurplus.com/sdi_catalog/salesItemDetails.do?id=106189")</f>
        <v>https://www.fabsurplus.com/sdi_catalog/salesItemDetails.do?id=106189</v>
      </c>
      <c r="B2570" s="2" t="s">
        <v>7203</v>
      </c>
      <c r="C2570" s="2" t="s">
        <v>6831</v>
      </c>
      <c r="D2570" s="2" t="s">
        <v>6860</v>
      </c>
      <c r="E2570" s="2" t="s">
        <v>7204</v>
      </c>
      <c r="F2570" s="2" t="s">
        <v>16</v>
      </c>
      <c r="G2570" s="2" t="s">
        <v>104</v>
      </c>
      <c r="H2570" s="2" t="s">
        <v>18</v>
      </c>
      <c r="I2570" s="3" t="n">
        <v>32752</v>
      </c>
      <c r="J2570" s="2" t="s">
        <v>19</v>
      </c>
      <c r="K2570" s="2" t="s">
        <v>20</v>
      </c>
      <c r="L2570" s="4" t="s">
        <v>7205</v>
      </c>
    </row>
    <row r="2571" customFormat="false" ht="15.65" hidden="false" customHeight="true" outlineLevel="0" collapsed="false">
      <c r="A2571" s="5" t="str">
        <f aca="false">HYPERLINK("https://www.fabsurplus.com/sdi_catalog/salesItemDetails.do?id=106191")</f>
        <v>https://www.fabsurplus.com/sdi_catalog/salesItemDetails.do?id=106191</v>
      </c>
      <c r="B2571" s="5" t="s">
        <v>7206</v>
      </c>
      <c r="C2571" s="5" t="s">
        <v>6831</v>
      </c>
      <c r="D2571" s="5" t="s">
        <v>7207</v>
      </c>
      <c r="E2571" s="5" t="s">
        <v>7208</v>
      </c>
      <c r="F2571" s="5" t="s">
        <v>16</v>
      </c>
      <c r="G2571" s="5" t="s">
        <v>104</v>
      </c>
      <c r="H2571" s="5" t="s">
        <v>98</v>
      </c>
      <c r="I2571" s="6" t="n">
        <v>36678</v>
      </c>
      <c r="J2571" s="5" t="s">
        <v>19</v>
      </c>
      <c r="K2571" s="5" t="s">
        <v>20</v>
      </c>
      <c r="L2571" s="5" t="s">
        <v>7209</v>
      </c>
    </row>
    <row r="2572" customFormat="false" ht="15.65" hidden="false" customHeight="true" outlineLevel="0" collapsed="false">
      <c r="A2572" s="2" t="str">
        <f aca="false">HYPERLINK("https://www.fabsurplus.com/sdi_catalog/salesItemDetails.do?id=106968")</f>
        <v>https://www.fabsurplus.com/sdi_catalog/salesItemDetails.do?id=106968</v>
      </c>
      <c r="B2572" s="2" t="s">
        <v>7210</v>
      </c>
      <c r="C2572" s="2" t="s">
        <v>6831</v>
      </c>
      <c r="D2572" s="2" t="s">
        <v>7211</v>
      </c>
      <c r="E2572" s="2" t="s">
        <v>7212</v>
      </c>
      <c r="F2572" s="2" t="s">
        <v>16</v>
      </c>
      <c r="G2572" s="2" t="s">
        <v>38</v>
      </c>
      <c r="H2572" s="2" t="s">
        <v>1969</v>
      </c>
      <c r="I2572" s="3" t="n">
        <v>44866</v>
      </c>
      <c r="J2572" s="2" t="s">
        <v>42</v>
      </c>
      <c r="K2572" s="2" t="s">
        <v>20</v>
      </c>
      <c r="L2572" s="4" t="s">
        <v>7213</v>
      </c>
    </row>
    <row r="2573" customFormat="false" ht="15.65" hidden="false" customHeight="true" outlineLevel="0" collapsed="false">
      <c r="A2573" s="5" t="str">
        <f aca="false">HYPERLINK("https://www.fabsurplus.com/sdi_catalog/salesItemDetails.do?id=109537")</f>
        <v>https://www.fabsurplus.com/sdi_catalog/salesItemDetails.do?id=109537</v>
      </c>
      <c r="B2573" s="5" t="s">
        <v>7214</v>
      </c>
      <c r="C2573" s="5" t="s">
        <v>6831</v>
      </c>
      <c r="D2573" s="5" t="s">
        <v>7215</v>
      </c>
      <c r="E2573" s="5" t="s">
        <v>7216</v>
      </c>
      <c r="F2573" s="5" t="s">
        <v>16</v>
      </c>
      <c r="G2573" s="5" t="s">
        <v>38</v>
      </c>
      <c r="H2573" s="5" t="s">
        <v>32</v>
      </c>
      <c r="I2573" s="6" t="n">
        <v>37408</v>
      </c>
      <c r="J2573" s="5" t="s">
        <v>19</v>
      </c>
      <c r="K2573" s="5" t="s">
        <v>20</v>
      </c>
      <c r="L2573" s="7" t="s">
        <v>7217</v>
      </c>
    </row>
    <row r="2574" customFormat="false" ht="15.65" hidden="false" customHeight="true" outlineLevel="0" collapsed="false">
      <c r="A2574" s="2" t="str">
        <f aca="false">HYPERLINK("https://www.fabsurplus.com/sdi_catalog/salesItemDetails.do?id=108775")</f>
        <v>https://www.fabsurplus.com/sdi_catalog/salesItemDetails.do?id=108775</v>
      </c>
      <c r="B2574" s="2" t="s">
        <v>7218</v>
      </c>
      <c r="C2574" s="2" t="s">
        <v>6831</v>
      </c>
      <c r="D2574" s="2" t="s">
        <v>7219</v>
      </c>
      <c r="E2574" s="2" t="s">
        <v>7220</v>
      </c>
      <c r="F2574" s="2" t="s">
        <v>16</v>
      </c>
      <c r="G2574" s="2"/>
      <c r="H2574" s="2"/>
      <c r="I2574" s="2"/>
      <c r="J2574" s="2" t="s">
        <v>42</v>
      </c>
      <c r="K2574" s="2"/>
      <c r="L2574" s="4" t="s">
        <v>7221</v>
      </c>
    </row>
    <row r="2575" customFormat="false" ht="15.65" hidden="false" customHeight="true" outlineLevel="0" collapsed="false">
      <c r="A2575" s="5" t="str">
        <f aca="false">HYPERLINK("https://www.fabsurplus.com/sdi_catalog/salesItemDetails.do?id=108009")</f>
        <v>https://www.fabsurplus.com/sdi_catalog/salesItemDetails.do?id=108009</v>
      </c>
      <c r="B2575" s="5" t="s">
        <v>7222</v>
      </c>
      <c r="C2575" s="5" t="s">
        <v>6831</v>
      </c>
      <c r="D2575" s="5" t="s">
        <v>6863</v>
      </c>
      <c r="E2575" s="5" t="s">
        <v>7223</v>
      </c>
      <c r="F2575" s="5" t="s">
        <v>16</v>
      </c>
      <c r="G2575" s="5" t="s">
        <v>38</v>
      </c>
      <c r="H2575" s="5" t="s">
        <v>2785</v>
      </c>
      <c r="I2575" s="6" t="n">
        <v>35339</v>
      </c>
      <c r="J2575" s="5" t="s">
        <v>19</v>
      </c>
      <c r="K2575" s="5" t="s">
        <v>20</v>
      </c>
      <c r="L2575" s="7" t="s">
        <v>7224</v>
      </c>
    </row>
    <row r="2576" customFormat="false" ht="15.65" hidden="false" customHeight="true" outlineLevel="0" collapsed="false">
      <c r="A2576" s="2" t="str">
        <f aca="false">HYPERLINK("https://www.fabsurplus.com/sdi_catalog/salesItemDetails.do?id=84216")</f>
        <v>https://www.fabsurplus.com/sdi_catalog/salesItemDetails.do?id=84216</v>
      </c>
      <c r="B2576" s="2" t="s">
        <v>7225</v>
      </c>
      <c r="C2576" s="2" t="s">
        <v>6831</v>
      </c>
      <c r="D2576" s="2" t="s">
        <v>7226</v>
      </c>
      <c r="E2576" s="2" t="s">
        <v>7227</v>
      </c>
      <c r="F2576" s="2" t="s">
        <v>16</v>
      </c>
      <c r="G2576" s="2" t="s">
        <v>104</v>
      </c>
      <c r="H2576" s="2" t="s">
        <v>18</v>
      </c>
      <c r="I2576" s="3" t="n">
        <v>33725</v>
      </c>
      <c r="J2576" s="2" t="s">
        <v>19</v>
      </c>
      <c r="K2576" s="2" t="s">
        <v>20</v>
      </c>
      <c r="L2576" s="4" t="s">
        <v>7228</v>
      </c>
    </row>
    <row r="2577" customFormat="false" ht="15.65" hidden="false" customHeight="true" outlineLevel="0" collapsed="false">
      <c r="A2577" s="5" t="str">
        <f aca="false">HYPERLINK("https://www.fabsurplus.com/sdi_catalog/salesItemDetails.do?id=84218")</f>
        <v>https://www.fabsurplus.com/sdi_catalog/salesItemDetails.do?id=84218</v>
      </c>
      <c r="B2577" s="5" t="s">
        <v>7229</v>
      </c>
      <c r="C2577" s="5" t="s">
        <v>6831</v>
      </c>
      <c r="D2577" s="5" t="s">
        <v>7230</v>
      </c>
      <c r="E2577" s="5" t="s">
        <v>7231</v>
      </c>
      <c r="F2577" s="5" t="s">
        <v>16</v>
      </c>
      <c r="G2577" s="5" t="s">
        <v>104</v>
      </c>
      <c r="H2577" s="5" t="s">
        <v>18</v>
      </c>
      <c r="I2577" s="6" t="n">
        <v>33725</v>
      </c>
      <c r="J2577" s="5" t="s">
        <v>19</v>
      </c>
      <c r="K2577" s="5" t="s">
        <v>20</v>
      </c>
      <c r="L2577" s="7" t="s">
        <v>7232</v>
      </c>
    </row>
    <row r="2578" customFormat="false" ht="15.65" hidden="false" customHeight="true" outlineLevel="0" collapsed="false">
      <c r="A2578" s="2" t="str">
        <f aca="false">HYPERLINK("https://www.fabsurplus.com/sdi_catalog/salesItemDetails.do?id=109562")</f>
        <v>https://www.fabsurplus.com/sdi_catalog/salesItemDetails.do?id=109562</v>
      </c>
      <c r="B2578" s="2" t="s">
        <v>7233</v>
      </c>
      <c r="C2578" s="2" t="s">
        <v>6831</v>
      </c>
      <c r="D2578" s="2" t="s">
        <v>7234</v>
      </c>
      <c r="E2578" s="2" t="s">
        <v>7235</v>
      </c>
      <c r="F2578" s="2" t="s">
        <v>16</v>
      </c>
      <c r="G2578" s="2" t="s">
        <v>38</v>
      </c>
      <c r="H2578" s="2" t="s">
        <v>32</v>
      </c>
      <c r="I2578" s="3" t="n">
        <v>38961</v>
      </c>
      <c r="J2578" s="2" t="s">
        <v>19</v>
      </c>
      <c r="K2578" s="2" t="s">
        <v>20</v>
      </c>
      <c r="L2578" s="4" t="s">
        <v>7236</v>
      </c>
    </row>
    <row r="2579" customFormat="false" ht="15.65" hidden="false" customHeight="true" outlineLevel="0" collapsed="false">
      <c r="A2579" s="5" t="str">
        <f aca="false">HYPERLINK("https://www.fabsurplus.com/sdi_catalog/salesItemDetails.do?id=86672")</f>
        <v>https://www.fabsurplus.com/sdi_catalog/salesItemDetails.do?id=86672</v>
      </c>
      <c r="B2579" s="5" t="s">
        <v>7237</v>
      </c>
      <c r="C2579" s="5" t="s">
        <v>7238</v>
      </c>
      <c r="D2579" s="5" t="s">
        <v>7239</v>
      </c>
      <c r="E2579" s="5" t="s">
        <v>7240</v>
      </c>
      <c r="F2579" s="5" t="s">
        <v>16</v>
      </c>
      <c r="G2579" s="5" t="s">
        <v>104</v>
      </c>
      <c r="H2579" s="5" t="s">
        <v>18</v>
      </c>
      <c r="I2579" s="5"/>
      <c r="J2579" s="5" t="s">
        <v>19</v>
      </c>
      <c r="K2579" s="5" t="s">
        <v>20</v>
      </c>
      <c r="L2579" s="5" t="s">
        <v>6889</v>
      </c>
    </row>
    <row r="2580" customFormat="false" ht="15.65" hidden="false" customHeight="true" outlineLevel="0" collapsed="false">
      <c r="A2580" s="2" t="str">
        <f aca="false">HYPERLINK("https://www.fabsurplus.com/sdi_catalog/salesItemDetails.do?id=95117")</f>
        <v>https://www.fabsurplus.com/sdi_catalog/salesItemDetails.do?id=95117</v>
      </c>
      <c r="B2580" s="2" t="s">
        <v>7241</v>
      </c>
      <c r="C2580" s="2" t="s">
        <v>7242</v>
      </c>
      <c r="D2580" s="2" t="s">
        <v>7243</v>
      </c>
      <c r="E2580" s="2" t="s">
        <v>7244</v>
      </c>
      <c r="F2580" s="2" t="s">
        <v>151</v>
      </c>
      <c r="G2580" s="2" t="s">
        <v>165</v>
      </c>
      <c r="H2580" s="2" t="s">
        <v>18</v>
      </c>
      <c r="I2580" s="2"/>
      <c r="J2580" s="2" t="s">
        <v>19</v>
      </c>
      <c r="K2580" s="2" t="s">
        <v>20</v>
      </c>
      <c r="L2580" s="4" t="s">
        <v>7245</v>
      </c>
    </row>
    <row r="2581" customFormat="false" ht="15.65" hidden="false" customHeight="true" outlineLevel="0" collapsed="false">
      <c r="A2581" s="5" t="str">
        <f aca="false">HYPERLINK("https://www.fabsurplus.com/sdi_catalog/salesItemDetails.do?id=34117")</f>
        <v>https://www.fabsurplus.com/sdi_catalog/salesItemDetails.do?id=34117</v>
      </c>
      <c r="B2581" s="5" t="s">
        <v>7246</v>
      </c>
      <c r="C2581" s="5" t="s">
        <v>7247</v>
      </c>
      <c r="D2581" s="5" t="s">
        <v>6868</v>
      </c>
      <c r="E2581" s="5" t="s">
        <v>7248</v>
      </c>
      <c r="F2581" s="5" t="s">
        <v>16</v>
      </c>
      <c r="G2581" s="5" t="s">
        <v>165</v>
      </c>
      <c r="H2581" s="5" t="s">
        <v>18</v>
      </c>
      <c r="I2581" s="6" t="n">
        <v>34943</v>
      </c>
      <c r="J2581" s="5"/>
      <c r="K2581" s="5" t="s">
        <v>20</v>
      </c>
      <c r="L2581" s="7" t="s">
        <v>7249</v>
      </c>
    </row>
    <row r="2582" customFormat="false" ht="15.65" hidden="false" customHeight="true" outlineLevel="0" collapsed="false">
      <c r="A2582" s="2" t="str">
        <f aca="false">HYPERLINK("https://www.fabsurplus.com/sdi_catalog/salesItemDetails.do?id=34126")</f>
        <v>https://www.fabsurplus.com/sdi_catalog/salesItemDetails.do?id=34126</v>
      </c>
      <c r="B2582" s="2" t="s">
        <v>7250</v>
      </c>
      <c r="C2582" s="2" t="s">
        <v>7251</v>
      </c>
      <c r="D2582" s="2" t="s">
        <v>7252</v>
      </c>
      <c r="E2582" s="2" t="s">
        <v>7253</v>
      </c>
      <c r="F2582" s="2" t="s">
        <v>16</v>
      </c>
      <c r="G2582" s="2" t="s">
        <v>165</v>
      </c>
      <c r="H2582" s="2" t="s">
        <v>18</v>
      </c>
      <c r="I2582" s="2"/>
      <c r="J2582" s="2" t="s">
        <v>19</v>
      </c>
      <c r="K2582" s="2" t="s">
        <v>20</v>
      </c>
      <c r="L2582" s="2"/>
    </row>
    <row r="2583" customFormat="false" ht="15.65" hidden="false" customHeight="true" outlineLevel="0" collapsed="false">
      <c r="A2583" s="5" t="str">
        <f aca="false">HYPERLINK("https://www.fabsurplus.com/sdi_catalog/salesItemDetails.do?id=34137")</f>
        <v>https://www.fabsurplus.com/sdi_catalog/salesItemDetails.do?id=34137</v>
      </c>
      <c r="B2583" s="5" t="s">
        <v>7254</v>
      </c>
      <c r="C2583" s="5" t="s">
        <v>7251</v>
      </c>
      <c r="D2583" s="5" t="s">
        <v>6879</v>
      </c>
      <c r="E2583" s="5" t="s">
        <v>7255</v>
      </c>
      <c r="F2583" s="5" t="s">
        <v>16</v>
      </c>
      <c r="G2583" s="5" t="s">
        <v>165</v>
      </c>
      <c r="H2583" s="5" t="s">
        <v>18</v>
      </c>
      <c r="I2583" s="5"/>
      <c r="J2583" s="5" t="s">
        <v>19</v>
      </c>
      <c r="K2583" s="5" t="s">
        <v>20</v>
      </c>
      <c r="L2583" s="7" t="s">
        <v>7256</v>
      </c>
    </row>
    <row r="2584" customFormat="false" ht="15.65" hidden="false" customHeight="true" outlineLevel="0" collapsed="false">
      <c r="A2584" s="2" t="str">
        <f aca="false">HYPERLINK("https://www.fabsurplus.com/sdi_catalog/salesItemDetails.do?id=83562")</f>
        <v>https://www.fabsurplus.com/sdi_catalog/salesItemDetails.do?id=83562</v>
      </c>
      <c r="B2584" s="2" t="s">
        <v>7257</v>
      </c>
      <c r="C2584" s="2" t="s">
        <v>7247</v>
      </c>
      <c r="D2584" s="2" t="s">
        <v>7258</v>
      </c>
      <c r="E2584" s="2" t="s">
        <v>7259</v>
      </c>
      <c r="F2584" s="2" t="s">
        <v>16</v>
      </c>
      <c r="G2584" s="2" t="s">
        <v>104</v>
      </c>
      <c r="H2584" s="2" t="s">
        <v>18</v>
      </c>
      <c r="I2584" s="2"/>
      <c r="J2584" s="2" t="s">
        <v>19</v>
      </c>
      <c r="K2584" s="2" t="s">
        <v>20</v>
      </c>
      <c r="L2584" s="2"/>
    </row>
    <row r="2585" customFormat="false" ht="15.65" hidden="false" customHeight="true" outlineLevel="0" collapsed="false">
      <c r="A2585" s="5" t="str">
        <f aca="false">HYPERLINK("https://www.fabsurplus.com/sdi_catalog/salesItemDetails.do?id=83624")</f>
        <v>https://www.fabsurplus.com/sdi_catalog/salesItemDetails.do?id=83624</v>
      </c>
      <c r="B2585" s="5" t="s">
        <v>7260</v>
      </c>
      <c r="C2585" s="5" t="s">
        <v>7251</v>
      </c>
      <c r="D2585" s="5" t="s">
        <v>7004</v>
      </c>
      <c r="E2585" s="5" t="s">
        <v>7261</v>
      </c>
      <c r="F2585" s="5" t="s">
        <v>16</v>
      </c>
      <c r="G2585" s="5" t="s">
        <v>165</v>
      </c>
      <c r="H2585" s="5" t="s">
        <v>1969</v>
      </c>
      <c r="I2585" s="6" t="n">
        <v>35947</v>
      </c>
      <c r="J2585" s="5" t="s">
        <v>19</v>
      </c>
      <c r="K2585" s="5" t="s">
        <v>20</v>
      </c>
      <c r="L2585" s="7" t="s">
        <v>7262</v>
      </c>
    </row>
    <row r="2586" customFormat="false" ht="15.65" hidden="false" customHeight="true" outlineLevel="0" collapsed="false">
      <c r="A2586" s="2" t="str">
        <f aca="false">HYPERLINK("https://www.fabsurplus.com/sdi_catalog/salesItemDetails.do?id=108075")</f>
        <v>https://www.fabsurplus.com/sdi_catalog/salesItemDetails.do?id=108075</v>
      </c>
      <c r="B2586" s="2" t="s">
        <v>7263</v>
      </c>
      <c r="C2586" s="2" t="s">
        <v>7264</v>
      </c>
      <c r="D2586" s="2" t="s">
        <v>6836</v>
      </c>
      <c r="E2586" s="2" t="s">
        <v>7265</v>
      </c>
      <c r="F2586" s="2" t="s">
        <v>16</v>
      </c>
      <c r="G2586" s="2" t="s">
        <v>1293</v>
      </c>
      <c r="H2586" s="2"/>
      <c r="I2586" s="2"/>
      <c r="J2586" s="2" t="s">
        <v>19</v>
      </c>
      <c r="K2586" s="2"/>
      <c r="L2586" s="2"/>
    </row>
    <row r="2587" customFormat="false" ht="15.65" hidden="false" customHeight="true" outlineLevel="0" collapsed="false">
      <c r="A2587" s="5" t="str">
        <f aca="false">HYPERLINK("https://www.fabsurplus.com/sdi_catalog/salesItemDetails.do?id=106574")</f>
        <v>https://www.fabsurplus.com/sdi_catalog/salesItemDetails.do?id=106574</v>
      </c>
      <c r="B2587" s="5" t="s">
        <v>7266</v>
      </c>
      <c r="C2587" s="5" t="s">
        <v>7267</v>
      </c>
      <c r="D2587" s="5" t="s">
        <v>7268</v>
      </c>
      <c r="E2587" s="5" t="s">
        <v>6236</v>
      </c>
      <c r="F2587" s="5" t="s">
        <v>16</v>
      </c>
      <c r="G2587" s="5" t="s">
        <v>2868</v>
      </c>
      <c r="H2587" s="5"/>
      <c r="I2587" s="5"/>
      <c r="J2587" s="5" t="s">
        <v>19</v>
      </c>
      <c r="K2587" s="5"/>
      <c r="L2587" s="5" t="s">
        <v>518</v>
      </c>
    </row>
    <row r="2588" customFormat="false" ht="15.65" hidden="false" customHeight="true" outlineLevel="0" collapsed="false">
      <c r="A2588" s="2" t="str">
        <f aca="false">HYPERLINK("https://www.fabsurplus.com/sdi_catalog/salesItemDetails.do?id=34140")</f>
        <v>https://www.fabsurplus.com/sdi_catalog/salesItemDetails.do?id=34140</v>
      </c>
      <c r="B2588" s="2" t="s">
        <v>7269</v>
      </c>
      <c r="C2588" s="2" t="s">
        <v>7270</v>
      </c>
      <c r="D2588" s="2" t="s">
        <v>7271</v>
      </c>
      <c r="E2588" s="2" t="s">
        <v>7272</v>
      </c>
      <c r="F2588" s="2" t="s">
        <v>16</v>
      </c>
      <c r="G2588" s="2"/>
      <c r="H2588" s="2" t="s">
        <v>18</v>
      </c>
      <c r="I2588" s="2"/>
      <c r="J2588" s="2" t="s">
        <v>19</v>
      </c>
      <c r="K2588" s="2" t="s">
        <v>20</v>
      </c>
      <c r="L2588" s="4" t="s">
        <v>7273</v>
      </c>
    </row>
    <row r="2589" customFormat="false" ht="15.65" hidden="false" customHeight="true" outlineLevel="0" collapsed="false">
      <c r="A2589" s="5" t="str">
        <f aca="false">HYPERLINK("https://www.fabsurplus.com/sdi_catalog/salesItemDetails.do?id=83555")</f>
        <v>https://www.fabsurplus.com/sdi_catalog/salesItemDetails.do?id=83555</v>
      </c>
      <c r="B2589" s="5" t="s">
        <v>7274</v>
      </c>
      <c r="C2589" s="5" t="s">
        <v>7270</v>
      </c>
      <c r="D2589" s="5" t="s">
        <v>7275</v>
      </c>
      <c r="E2589" s="5" t="s">
        <v>7276</v>
      </c>
      <c r="F2589" s="5" t="s">
        <v>151</v>
      </c>
      <c r="G2589" s="5"/>
      <c r="H2589" s="5" t="s">
        <v>18</v>
      </c>
      <c r="I2589" s="5"/>
      <c r="J2589" s="5" t="s">
        <v>19</v>
      </c>
      <c r="K2589" s="5" t="s">
        <v>20</v>
      </c>
      <c r="L2589" s="7" t="s">
        <v>7277</v>
      </c>
    </row>
    <row r="2590" customFormat="false" ht="15.65" hidden="false" customHeight="true" outlineLevel="0" collapsed="false">
      <c r="A2590" s="2" t="str">
        <f aca="false">HYPERLINK("https://www.fabsurplus.com/sdi_catalog/salesItemDetails.do?id=83572")</f>
        <v>https://www.fabsurplus.com/sdi_catalog/salesItemDetails.do?id=83572</v>
      </c>
      <c r="B2590" s="2" t="s">
        <v>7278</v>
      </c>
      <c r="C2590" s="2" t="s">
        <v>7270</v>
      </c>
      <c r="D2590" s="2" t="s">
        <v>7166</v>
      </c>
      <c r="E2590" s="2" t="s">
        <v>7279</v>
      </c>
      <c r="F2590" s="2" t="s">
        <v>16</v>
      </c>
      <c r="G2590" s="2" t="s">
        <v>165</v>
      </c>
      <c r="H2590" s="2" t="s">
        <v>18</v>
      </c>
      <c r="I2590" s="3" t="n">
        <v>35462</v>
      </c>
      <c r="J2590" s="2" t="s">
        <v>19</v>
      </c>
      <c r="K2590" s="2" t="s">
        <v>20</v>
      </c>
      <c r="L2590" s="4" t="s">
        <v>7280</v>
      </c>
    </row>
    <row r="2591" customFormat="false" ht="15.65" hidden="false" customHeight="true" outlineLevel="0" collapsed="false">
      <c r="A2591" s="5" t="str">
        <f aca="false">HYPERLINK("https://www.fabsurplus.com/sdi_catalog/salesItemDetails.do?id=83574")</f>
        <v>https://www.fabsurplus.com/sdi_catalog/salesItemDetails.do?id=83574</v>
      </c>
      <c r="B2591" s="5" t="s">
        <v>7281</v>
      </c>
      <c r="C2591" s="5" t="s">
        <v>7270</v>
      </c>
      <c r="D2591" s="5" t="s">
        <v>7166</v>
      </c>
      <c r="E2591" s="5" t="s">
        <v>7279</v>
      </c>
      <c r="F2591" s="5" t="s">
        <v>16</v>
      </c>
      <c r="G2591" s="5" t="s">
        <v>7282</v>
      </c>
      <c r="H2591" s="5" t="s">
        <v>18</v>
      </c>
      <c r="I2591" s="6" t="n">
        <v>35462</v>
      </c>
      <c r="J2591" s="5" t="s">
        <v>19</v>
      </c>
      <c r="K2591" s="5" t="s">
        <v>20</v>
      </c>
      <c r="L2591" s="7" t="s">
        <v>7283</v>
      </c>
    </row>
    <row r="2592" customFormat="false" ht="15.65" hidden="false" customHeight="true" outlineLevel="0" collapsed="false">
      <c r="A2592" s="2" t="str">
        <f aca="false">HYPERLINK("https://www.fabsurplus.com/sdi_catalog/salesItemDetails.do?id=83577")</f>
        <v>https://www.fabsurplus.com/sdi_catalog/salesItemDetails.do?id=83577</v>
      </c>
      <c r="B2592" s="2" t="s">
        <v>7284</v>
      </c>
      <c r="C2592" s="2" t="s">
        <v>7270</v>
      </c>
      <c r="D2592" s="2" t="s">
        <v>7285</v>
      </c>
      <c r="E2592" s="2" t="s">
        <v>7286</v>
      </c>
      <c r="F2592" s="2" t="s">
        <v>16</v>
      </c>
      <c r="G2592" s="2" t="s">
        <v>7287</v>
      </c>
      <c r="H2592" s="2" t="s">
        <v>18</v>
      </c>
      <c r="I2592" s="3" t="n">
        <v>36039</v>
      </c>
      <c r="J2592" s="2" t="s">
        <v>19</v>
      </c>
      <c r="K2592" s="2" t="s">
        <v>20</v>
      </c>
      <c r="L2592" s="4" t="s">
        <v>7288</v>
      </c>
    </row>
    <row r="2593" customFormat="false" ht="15.65" hidden="false" customHeight="true" outlineLevel="0" collapsed="false">
      <c r="A2593" s="5" t="str">
        <f aca="false">HYPERLINK("https://www.fabsurplus.com/sdi_catalog/salesItemDetails.do?id=31612")</f>
        <v>https://www.fabsurplus.com/sdi_catalog/salesItemDetails.do?id=31612</v>
      </c>
      <c r="B2593" s="5" t="s">
        <v>7289</v>
      </c>
      <c r="C2593" s="5" t="s">
        <v>7270</v>
      </c>
      <c r="D2593" s="5" t="s">
        <v>6996</v>
      </c>
      <c r="E2593" s="5" t="s">
        <v>7290</v>
      </c>
      <c r="F2593" s="5" t="s">
        <v>86</v>
      </c>
      <c r="G2593" s="5"/>
      <c r="H2593" s="5" t="s">
        <v>18</v>
      </c>
      <c r="I2593" s="5"/>
      <c r="J2593" s="5" t="s">
        <v>19</v>
      </c>
      <c r="K2593" s="5"/>
      <c r="L2593" s="5" t="s">
        <v>7291</v>
      </c>
    </row>
    <row r="2594" customFormat="false" ht="15.65" hidden="false" customHeight="true" outlineLevel="0" collapsed="false">
      <c r="A2594" s="2" t="str">
        <f aca="false">HYPERLINK("https://www.fabsurplus.com/sdi_catalog/salesItemDetails.do?id=83581")</f>
        <v>https://www.fabsurplus.com/sdi_catalog/salesItemDetails.do?id=83581</v>
      </c>
      <c r="B2594" s="2" t="s">
        <v>7292</v>
      </c>
      <c r="C2594" s="2" t="s">
        <v>7270</v>
      </c>
      <c r="D2594" s="2" t="s">
        <v>7293</v>
      </c>
      <c r="E2594" s="2" t="s">
        <v>7294</v>
      </c>
      <c r="F2594" s="2" t="s">
        <v>16</v>
      </c>
      <c r="G2594" s="2" t="s">
        <v>7295</v>
      </c>
      <c r="H2594" s="2" t="s">
        <v>18</v>
      </c>
      <c r="I2594" s="3" t="n">
        <v>35462</v>
      </c>
      <c r="J2594" s="2" t="s">
        <v>19</v>
      </c>
      <c r="K2594" s="2" t="s">
        <v>20</v>
      </c>
      <c r="L2594" s="4" t="s">
        <v>7296</v>
      </c>
    </row>
    <row r="2595" customFormat="false" ht="15.65" hidden="false" customHeight="true" outlineLevel="0" collapsed="false">
      <c r="A2595" s="5" t="str">
        <f aca="false">HYPERLINK("https://www.fabsurplus.com/sdi_catalog/salesItemDetails.do?id=108165")</f>
        <v>https://www.fabsurplus.com/sdi_catalog/salesItemDetails.do?id=108165</v>
      </c>
      <c r="B2595" s="5" t="s">
        <v>7297</v>
      </c>
      <c r="C2595" s="5" t="s">
        <v>7267</v>
      </c>
      <c r="D2595" s="5" t="s">
        <v>7298</v>
      </c>
      <c r="E2595" s="5" t="s">
        <v>7299</v>
      </c>
      <c r="F2595" s="5" t="s">
        <v>16</v>
      </c>
      <c r="G2595" s="5" t="s">
        <v>6176</v>
      </c>
      <c r="H2595" s="5"/>
      <c r="I2595" s="6" t="n">
        <v>33390</v>
      </c>
      <c r="J2595" s="5" t="s">
        <v>19</v>
      </c>
      <c r="K2595" s="5"/>
      <c r="L2595" s="5" t="s">
        <v>1480</v>
      </c>
    </row>
    <row r="2596" customFormat="false" ht="15.65" hidden="false" customHeight="true" outlineLevel="0" collapsed="false">
      <c r="A2596" s="2" t="str">
        <f aca="false">HYPERLINK("https://www.fabsurplus.com/sdi_catalog/salesItemDetails.do?id=108166")</f>
        <v>https://www.fabsurplus.com/sdi_catalog/salesItemDetails.do?id=108166</v>
      </c>
      <c r="B2596" s="2" t="s">
        <v>7300</v>
      </c>
      <c r="C2596" s="2" t="s">
        <v>7267</v>
      </c>
      <c r="D2596" s="2" t="s">
        <v>7298</v>
      </c>
      <c r="E2596" s="2" t="s">
        <v>7299</v>
      </c>
      <c r="F2596" s="2" t="s">
        <v>16</v>
      </c>
      <c r="G2596" s="2" t="s">
        <v>6176</v>
      </c>
      <c r="H2596" s="2"/>
      <c r="I2596" s="3" t="n">
        <v>33025</v>
      </c>
      <c r="J2596" s="2" t="s">
        <v>19</v>
      </c>
      <c r="K2596" s="2"/>
      <c r="L2596" s="2" t="s">
        <v>1480</v>
      </c>
    </row>
    <row r="2597" customFormat="false" ht="15.65" hidden="false" customHeight="true" outlineLevel="0" collapsed="false">
      <c r="A2597" s="5" t="str">
        <f aca="false">HYPERLINK("https://www.fabsurplus.com/sdi_catalog/salesItemDetails.do?id=83614")</f>
        <v>https://www.fabsurplus.com/sdi_catalog/salesItemDetails.do?id=83614</v>
      </c>
      <c r="B2597" s="5" t="s">
        <v>7301</v>
      </c>
      <c r="C2597" s="5" t="s">
        <v>7270</v>
      </c>
      <c r="D2597" s="5" t="s">
        <v>7302</v>
      </c>
      <c r="E2597" s="5" t="s">
        <v>7303</v>
      </c>
      <c r="F2597" s="5" t="s">
        <v>16</v>
      </c>
      <c r="G2597" s="5" t="s">
        <v>165</v>
      </c>
      <c r="H2597" s="5" t="s">
        <v>32</v>
      </c>
      <c r="I2597" s="5"/>
      <c r="J2597" s="5" t="s">
        <v>19</v>
      </c>
      <c r="K2597" s="5" t="s">
        <v>20</v>
      </c>
      <c r="L2597" s="7" t="s">
        <v>7304</v>
      </c>
    </row>
    <row r="2598" customFormat="false" ht="15.65" hidden="false" customHeight="true" outlineLevel="0" collapsed="false">
      <c r="A2598" s="2" t="str">
        <f aca="false">HYPERLINK("https://www.fabsurplus.com/sdi_catalog/salesItemDetails.do?id=27808")</f>
        <v>https://www.fabsurplus.com/sdi_catalog/salesItemDetails.do?id=27808</v>
      </c>
      <c r="B2598" s="2" t="s">
        <v>7305</v>
      </c>
      <c r="C2598" s="2" t="s">
        <v>7270</v>
      </c>
      <c r="D2598" s="2" t="s">
        <v>7306</v>
      </c>
      <c r="E2598" s="2" t="s">
        <v>7307</v>
      </c>
      <c r="F2598" s="2" t="s">
        <v>16</v>
      </c>
      <c r="G2598" s="2" t="s">
        <v>104</v>
      </c>
      <c r="H2598" s="2" t="s">
        <v>18</v>
      </c>
      <c r="I2598" s="2"/>
      <c r="J2598" s="2" t="s">
        <v>19</v>
      </c>
      <c r="K2598" s="2" t="s">
        <v>20</v>
      </c>
      <c r="L2598" s="4" t="s">
        <v>7308</v>
      </c>
    </row>
    <row r="2599" customFormat="false" ht="15.65" hidden="false" customHeight="true" outlineLevel="0" collapsed="false">
      <c r="A2599" s="5" t="str">
        <f aca="false">HYPERLINK("https://www.fabsurplus.com/sdi_catalog/salesItemDetails.do?id=21670")</f>
        <v>https://www.fabsurplus.com/sdi_catalog/salesItemDetails.do?id=21670</v>
      </c>
      <c r="B2599" s="5" t="s">
        <v>7309</v>
      </c>
      <c r="C2599" s="5" t="s">
        <v>7264</v>
      </c>
      <c r="D2599" s="5" t="s">
        <v>7310</v>
      </c>
      <c r="E2599" s="5" t="s">
        <v>7311</v>
      </c>
      <c r="F2599" s="5" t="s">
        <v>16</v>
      </c>
      <c r="G2599" s="5" t="s">
        <v>165</v>
      </c>
      <c r="H2599" s="5" t="s">
        <v>32</v>
      </c>
      <c r="I2599" s="6" t="n">
        <v>35096</v>
      </c>
      <c r="J2599" s="5" t="s">
        <v>42</v>
      </c>
      <c r="K2599" s="5" t="s">
        <v>20</v>
      </c>
      <c r="L2599" s="5" t="s">
        <v>7312</v>
      </c>
    </row>
    <row r="2600" customFormat="false" ht="15.65" hidden="false" customHeight="true" outlineLevel="0" collapsed="false">
      <c r="A2600" s="2" t="str">
        <f aca="false">HYPERLINK("https://www.fabsurplus.com/sdi_catalog/salesItemDetails.do?id=21671")</f>
        <v>https://www.fabsurplus.com/sdi_catalog/salesItemDetails.do?id=21671</v>
      </c>
      <c r="B2600" s="2" t="s">
        <v>7313</v>
      </c>
      <c r="C2600" s="2" t="s">
        <v>7264</v>
      </c>
      <c r="D2600" s="2" t="s">
        <v>7314</v>
      </c>
      <c r="E2600" s="2" t="s">
        <v>7315</v>
      </c>
      <c r="F2600" s="2" t="s">
        <v>16</v>
      </c>
      <c r="G2600" s="2" t="s">
        <v>165</v>
      </c>
      <c r="H2600" s="2" t="s">
        <v>32</v>
      </c>
      <c r="I2600" s="3" t="n">
        <v>35096</v>
      </c>
      <c r="J2600" s="2" t="s">
        <v>42</v>
      </c>
      <c r="K2600" s="2" t="s">
        <v>20</v>
      </c>
      <c r="L2600" s="2" t="s">
        <v>7316</v>
      </c>
    </row>
    <row r="2601" customFormat="false" ht="15.65" hidden="false" customHeight="true" outlineLevel="0" collapsed="false">
      <c r="A2601" s="5" t="str">
        <f aca="false">HYPERLINK("https://www.fabsurplus.com/sdi_catalog/salesItemDetails.do?id=106674")</f>
        <v>https://www.fabsurplus.com/sdi_catalog/salesItemDetails.do?id=106674</v>
      </c>
      <c r="B2601" s="5" t="s">
        <v>7317</v>
      </c>
      <c r="C2601" s="5" t="s">
        <v>7267</v>
      </c>
      <c r="D2601" s="5" t="s">
        <v>7318</v>
      </c>
      <c r="E2601" s="5" t="s">
        <v>7319</v>
      </c>
      <c r="F2601" s="5" t="s">
        <v>16</v>
      </c>
      <c r="G2601" s="5" t="s">
        <v>61</v>
      </c>
      <c r="H2601" s="5" t="s">
        <v>18</v>
      </c>
      <c r="I2601" s="6" t="n">
        <v>38139</v>
      </c>
      <c r="J2601" s="5" t="s">
        <v>19</v>
      </c>
      <c r="K2601" s="5" t="s">
        <v>20</v>
      </c>
      <c r="L2601" s="5" t="s">
        <v>7320</v>
      </c>
    </row>
    <row r="2602" customFormat="false" ht="15.65" hidden="false" customHeight="true" outlineLevel="0" collapsed="false">
      <c r="A2602" s="2" t="str">
        <f aca="false">HYPERLINK("https://www.fabsurplus.com/sdi_catalog/salesItemDetails.do?id=106675")</f>
        <v>https://www.fabsurplus.com/sdi_catalog/salesItemDetails.do?id=106675</v>
      </c>
      <c r="B2602" s="2" t="s">
        <v>7321</v>
      </c>
      <c r="C2602" s="2" t="s">
        <v>7267</v>
      </c>
      <c r="D2602" s="2" t="s">
        <v>7322</v>
      </c>
      <c r="E2602" s="2" t="s">
        <v>7319</v>
      </c>
      <c r="F2602" s="2" t="s">
        <v>16</v>
      </c>
      <c r="G2602" s="2" t="s">
        <v>61</v>
      </c>
      <c r="H2602" s="2"/>
      <c r="I2602" s="3" t="n">
        <v>38139</v>
      </c>
      <c r="J2602" s="2" t="s">
        <v>19</v>
      </c>
      <c r="K2602" s="2"/>
      <c r="L2602" s="2" t="s">
        <v>518</v>
      </c>
    </row>
    <row r="2603" customFormat="false" ht="15.65" hidden="false" customHeight="true" outlineLevel="0" collapsed="false">
      <c r="A2603" s="5" t="str">
        <f aca="false">HYPERLINK("https://www.fabsurplus.com/sdi_catalog/salesItemDetails.do?id=106676")</f>
        <v>https://www.fabsurplus.com/sdi_catalog/salesItemDetails.do?id=106676</v>
      </c>
      <c r="B2603" s="5" t="s">
        <v>7323</v>
      </c>
      <c r="C2603" s="5" t="s">
        <v>7267</v>
      </c>
      <c r="D2603" s="5" t="s">
        <v>7324</v>
      </c>
      <c r="E2603" s="5" t="s">
        <v>7319</v>
      </c>
      <c r="F2603" s="5" t="s">
        <v>16</v>
      </c>
      <c r="G2603" s="5" t="s">
        <v>61</v>
      </c>
      <c r="H2603" s="5"/>
      <c r="I2603" s="6" t="n">
        <v>38139</v>
      </c>
      <c r="J2603" s="5" t="s">
        <v>19</v>
      </c>
      <c r="K2603" s="5"/>
      <c r="L2603" s="5" t="s">
        <v>518</v>
      </c>
    </row>
    <row r="2604" customFormat="false" ht="15.65" hidden="false" customHeight="true" outlineLevel="0" collapsed="false">
      <c r="A2604" s="2" t="str">
        <f aca="false">HYPERLINK("https://www.fabsurplus.com/sdi_catalog/salesItemDetails.do?id=106677")</f>
        <v>https://www.fabsurplus.com/sdi_catalog/salesItemDetails.do?id=106677</v>
      </c>
      <c r="B2604" s="2" t="s">
        <v>7325</v>
      </c>
      <c r="C2604" s="2" t="s">
        <v>7267</v>
      </c>
      <c r="D2604" s="2" t="s">
        <v>7326</v>
      </c>
      <c r="E2604" s="2" t="s">
        <v>7327</v>
      </c>
      <c r="F2604" s="2" t="s">
        <v>16</v>
      </c>
      <c r="G2604" s="2" t="s">
        <v>61</v>
      </c>
      <c r="H2604" s="2"/>
      <c r="I2604" s="2"/>
      <c r="J2604" s="2" t="s">
        <v>19</v>
      </c>
      <c r="K2604" s="2"/>
      <c r="L2604" s="2" t="s">
        <v>518</v>
      </c>
    </row>
    <row r="2605" customFormat="false" ht="15.65" hidden="false" customHeight="true" outlineLevel="0" collapsed="false">
      <c r="A2605" s="5" t="str">
        <f aca="false">HYPERLINK("https://www.fabsurplus.com/sdi_catalog/salesItemDetails.do?id=106678")</f>
        <v>https://www.fabsurplus.com/sdi_catalog/salesItemDetails.do?id=106678</v>
      </c>
      <c r="B2605" s="5" t="s">
        <v>7328</v>
      </c>
      <c r="C2605" s="5" t="s">
        <v>7267</v>
      </c>
      <c r="D2605" s="5" t="s">
        <v>7326</v>
      </c>
      <c r="E2605" s="5" t="s">
        <v>7327</v>
      </c>
      <c r="F2605" s="5" t="s">
        <v>16</v>
      </c>
      <c r="G2605" s="5" t="s">
        <v>61</v>
      </c>
      <c r="H2605" s="5"/>
      <c r="I2605" s="6" t="n">
        <v>38869</v>
      </c>
      <c r="J2605" s="5" t="s">
        <v>19</v>
      </c>
      <c r="K2605" s="5"/>
      <c r="L2605" s="5" t="s">
        <v>518</v>
      </c>
    </row>
    <row r="2606" customFormat="false" ht="15.65" hidden="false" customHeight="true" outlineLevel="0" collapsed="false">
      <c r="A2606" s="2" t="str">
        <f aca="false">HYPERLINK("https://www.fabsurplus.com/sdi_catalog/salesItemDetails.do?id=83895")</f>
        <v>https://www.fabsurplus.com/sdi_catalog/salesItemDetails.do?id=83895</v>
      </c>
      <c r="B2606" s="2" t="s">
        <v>7329</v>
      </c>
      <c r="C2606" s="2" t="s">
        <v>7270</v>
      </c>
      <c r="D2606" s="2" t="s">
        <v>7258</v>
      </c>
      <c r="E2606" s="2" t="s">
        <v>7330</v>
      </c>
      <c r="F2606" s="2" t="s">
        <v>16</v>
      </c>
      <c r="G2606" s="2" t="s">
        <v>165</v>
      </c>
      <c r="H2606" s="2" t="s">
        <v>18</v>
      </c>
      <c r="I2606" s="3" t="n">
        <v>33755.9166666667</v>
      </c>
      <c r="J2606" s="2" t="s">
        <v>19</v>
      </c>
      <c r="K2606" s="2" t="s">
        <v>20</v>
      </c>
      <c r="L2606" s="4" t="s">
        <v>7331</v>
      </c>
    </row>
    <row r="2607" customFormat="false" ht="15.65" hidden="false" customHeight="true" outlineLevel="0" collapsed="false">
      <c r="A2607" s="5" t="str">
        <f aca="false">HYPERLINK("https://www.fabsurplus.com/sdi_catalog/salesItemDetails.do?id=106679")</f>
        <v>https://www.fabsurplus.com/sdi_catalog/salesItemDetails.do?id=106679</v>
      </c>
      <c r="B2607" s="5" t="s">
        <v>7332</v>
      </c>
      <c r="C2607" s="5" t="s">
        <v>7267</v>
      </c>
      <c r="D2607" s="5" t="s">
        <v>7333</v>
      </c>
      <c r="E2607" s="5" t="s">
        <v>7334</v>
      </c>
      <c r="F2607" s="5" t="s">
        <v>16</v>
      </c>
      <c r="G2607" s="5" t="s">
        <v>6176</v>
      </c>
      <c r="H2607" s="5"/>
      <c r="I2607" s="6" t="n">
        <v>34851</v>
      </c>
      <c r="J2607" s="5" t="s">
        <v>19</v>
      </c>
      <c r="K2607" s="5"/>
      <c r="L2607" s="5" t="s">
        <v>518</v>
      </c>
    </row>
    <row r="2608" customFormat="false" ht="15.65" hidden="false" customHeight="true" outlineLevel="0" collapsed="false">
      <c r="A2608" s="2" t="str">
        <f aca="false">HYPERLINK("https://www.fabsurplus.com/sdi_catalog/salesItemDetails.do?id=106681")</f>
        <v>https://www.fabsurplus.com/sdi_catalog/salesItemDetails.do?id=106681</v>
      </c>
      <c r="B2608" s="2" t="s">
        <v>7335</v>
      </c>
      <c r="C2608" s="2" t="s">
        <v>7267</v>
      </c>
      <c r="D2608" s="2" t="s">
        <v>7336</v>
      </c>
      <c r="E2608" s="2" t="s">
        <v>7337</v>
      </c>
      <c r="F2608" s="2" t="s">
        <v>16</v>
      </c>
      <c r="G2608" s="2" t="s">
        <v>6176</v>
      </c>
      <c r="H2608" s="2"/>
      <c r="I2608" s="3" t="n">
        <v>35217</v>
      </c>
      <c r="J2608" s="2" t="s">
        <v>19</v>
      </c>
      <c r="K2608" s="2"/>
      <c r="L2608" s="2" t="s">
        <v>518</v>
      </c>
    </row>
    <row r="2609" customFormat="false" ht="15.65" hidden="false" customHeight="true" outlineLevel="0" collapsed="false">
      <c r="A2609" s="5" t="str">
        <f aca="false">HYPERLINK("https://www.fabsurplus.com/sdi_catalog/salesItemDetails.do?id=83898")</f>
        <v>https://www.fabsurplus.com/sdi_catalog/salesItemDetails.do?id=83898</v>
      </c>
      <c r="B2609" s="5" t="s">
        <v>7338</v>
      </c>
      <c r="C2609" s="5" t="s">
        <v>7270</v>
      </c>
      <c r="D2609" s="5" t="s">
        <v>7258</v>
      </c>
      <c r="E2609" s="5" t="s">
        <v>7339</v>
      </c>
      <c r="F2609" s="5" t="s">
        <v>16</v>
      </c>
      <c r="G2609" s="5" t="s">
        <v>165</v>
      </c>
      <c r="H2609" s="5" t="s">
        <v>18</v>
      </c>
      <c r="I2609" s="5"/>
      <c r="J2609" s="5" t="s">
        <v>19</v>
      </c>
      <c r="K2609" s="5" t="s">
        <v>20</v>
      </c>
      <c r="L2609" s="7" t="s">
        <v>7340</v>
      </c>
    </row>
    <row r="2610" customFormat="false" ht="15.65" hidden="false" customHeight="true" outlineLevel="0" collapsed="false">
      <c r="A2610" s="2" t="str">
        <f aca="false">HYPERLINK("https://www.fabsurplus.com/sdi_catalog/salesItemDetails.do?id=83899")</f>
        <v>https://www.fabsurplus.com/sdi_catalog/salesItemDetails.do?id=83899</v>
      </c>
      <c r="B2610" s="2" t="s">
        <v>7341</v>
      </c>
      <c r="C2610" s="2" t="s">
        <v>7270</v>
      </c>
      <c r="D2610" s="2" t="s">
        <v>7258</v>
      </c>
      <c r="E2610" s="2" t="s">
        <v>7342</v>
      </c>
      <c r="F2610" s="2" t="s">
        <v>151</v>
      </c>
      <c r="G2610" s="2" t="s">
        <v>165</v>
      </c>
      <c r="H2610" s="2" t="s">
        <v>32</v>
      </c>
      <c r="I2610" s="2"/>
      <c r="J2610" s="2" t="s">
        <v>19</v>
      </c>
      <c r="K2610" s="2" t="s">
        <v>20</v>
      </c>
      <c r="L2610" s="4" t="s">
        <v>7343</v>
      </c>
    </row>
    <row r="2611" customFormat="false" ht="15.65" hidden="false" customHeight="true" outlineLevel="0" collapsed="false">
      <c r="A2611" s="5" t="str">
        <f aca="false">HYPERLINK("https://www.fabsurplus.com/sdi_catalog/salesItemDetails.do?id=83900")</f>
        <v>https://www.fabsurplus.com/sdi_catalog/salesItemDetails.do?id=83900</v>
      </c>
      <c r="B2611" s="5" t="s">
        <v>7344</v>
      </c>
      <c r="C2611" s="5" t="s">
        <v>7270</v>
      </c>
      <c r="D2611" s="5" t="s">
        <v>6868</v>
      </c>
      <c r="E2611" s="5" t="s">
        <v>7345</v>
      </c>
      <c r="F2611" s="5" t="s">
        <v>16</v>
      </c>
      <c r="G2611" s="5" t="s">
        <v>165</v>
      </c>
      <c r="H2611" s="5" t="s">
        <v>18</v>
      </c>
      <c r="I2611" s="5"/>
      <c r="J2611" s="5" t="s">
        <v>19</v>
      </c>
      <c r="K2611" s="5" t="s">
        <v>20</v>
      </c>
      <c r="L2611" s="7" t="s">
        <v>7346</v>
      </c>
    </row>
    <row r="2612" customFormat="false" ht="15.65" hidden="false" customHeight="true" outlineLevel="0" collapsed="false">
      <c r="A2612" s="2" t="str">
        <f aca="false">HYPERLINK("https://www.fabsurplus.com/sdi_catalog/salesItemDetails.do?id=32230")</f>
        <v>https://www.fabsurplus.com/sdi_catalog/salesItemDetails.do?id=32230</v>
      </c>
      <c r="B2612" s="2" t="s">
        <v>7347</v>
      </c>
      <c r="C2612" s="2" t="s">
        <v>7270</v>
      </c>
      <c r="D2612" s="2" t="s">
        <v>7348</v>
      </c>
      <c r="E2612" s="2" t="s">
        <v>7349</v>
      </c>
      <c r="F2612" s="2" t="s">
        <v>16</v>
      </c>
      <c r="G2612" s="2" t="s">
        <v>3803</v>
      </c>
      <c r="H2612" s="2" t="s">
        <v>18</v>
      </c>
      <c r="I2612" s="2"/>
      <c r="J2612" s="2" t="s">
        <v>19</v>
      </c>
      <c r="K2612" s="2" t="s">
        <v>20</v>
      </c>
      <c r="L2612" s="4" t="s">
        <v>7350</v>
      </c>
    </row>
    <row r="2613" customFormat="false" ht="15.65" hidden="false" customHeight="true" outlineLevel="0" collapsed="false">
      <c r="A2613" s="5" t="str">
        <f aca="false">HYPERLINK("https://www.fabsurplus.com/sdi_catalog/salesItemDetails.do?id=32231")</f>
        <v>https://www.fabsurplus.com/sdi_catalog/salesItemDetails.do?id=32231</v>
      </c>
      <c r="B2613" s="5" t="s">
        <v>7351</v>
      </c>
      <c r="C2613" s="5" t="s">
        <v>7270</v>
      </c>
      <c r="D2613" s="5" t="s">
        <v>7352</v>
      </c>
      <c r="E2613" s="5" t="s">
        <v>7352</v>
      </c>
      <c r="F2613" s="5" t="s">
        <v>16</v>
      </c>
      <c r="G2613" s="5" t="s">
        <v>3803</v>
      </c>
      <c r="H2613" s="5" t="s">
        <v>18</v>
      </c>
      <c r="I2613" s="5"/>
      <c r="J2613" s="5" t="s">
        <v>19</v>
      </c>
      <c r="K2613" s="5" t="s">
        <v>20</v>
      </c>
      <c r="L2613" s="7" t="s">
        <v>7353</v>
      </c>
    </row>
    <row r="2614" customFormat="false" ht="15.65" hidden="false" customHeight="true" outlineLevel="0" collapsed="false">
      <c r="A2614" s="2" t="str">
        <f aca="false">HYPERLINK("https://www.fabsurplus.com/sdi_catalog/salesItemDetails.do?id=32232")</f>
        <v>https://www.fabsurplus.com/sdi_catalog/salesItemDetails.do?id=32232</v>
      </c>
      <c r="B2614" s="2" t="s">
        <v>7354</v>
      </c>
      <c r="C2614" s="2" t="s">
        <v>7270</v>
      </c>
      <c r="D2614" s="2" t="s">
        <v>7355</v>
      </c>
      <c r="E2614" s="2" t="s">
        <v>7356</v>
      </c>
      <c r="F2614" s="2" t="s">
        <v>16</v>
      </c>
      <c r="G2614" s="2" t="s">
        <v>3803</v>
      </c>
      <c r="H2614" s="2" t="s">
        <v>18</v>
      </c>
      <c r="I2614" s="2"/>
      <c r="J2614" s="2" t="s">
        <v>19</v>
      </c>
      <c r="K2614" s="2" t="s">
        <v>20</v>
      </c>
      <c r="L2614" s="4" t="s">
        <v>7357</v>
      </c>
    </row>
    <row r="2615" customFormat="false" ht="15.65" hidden="false" customHeight="true" outlineLevel="0" collapsed="false">
      <c r="A2615" s="5" t="str">
        <f aca="false">HYPERLINK("https://www.fabsurplus.com/sdi_catalog/salesItemDetails.do?id=32233")</f>
        <v>https://www.fabsurplus.com/sdi_catalog/salesItemDetails.do?id=32233</v>
      </c>
      <c r="B2615" s="5" t="s">
        <v>7358</v>
      </c>
      <c r="C2615" s="5" t="s">
        <v>7270</v>
      </c>
      <c r="D2615" s="5" t="s">
        <v>7359</v>
      </c>
      <c r="E2615" s="5" t="s">
        <v>7356</v>
      </c>
      <c r="F2615" s="5" t="s">
        <v>16</v>
      </c>
      <c r="G2615" s="5" t="s">
        <v>3803</v>
      </c>
      <c r="H2615" s="5" t="s">
        <v>18</v>
      </c>
      <c r="I2615" s="5"/>
      <c r="J2615" s="5" t="s">
        <v>19</v>
      </c>
      <c r="K2615" s="5" t="s">
        <v>20</v>
      </c>
      <c r="L2615" s="7" t="s">
        <v>7360</v>
      </c>
    </row>
    <row r="2616" customFormat="false" ht="15.65" hidden="false" customHeight="true" outlineLevel="0" collapsed="false">
      <c r="A2616" s="2" t="str">
        <f aca="false">HYPERLINK("https://www.fabsurplus.com/sdi_catalog/salesItemDetails.do?id=106481")</f>
        <v>https://www.fabsurplus.com/sdi_catalog/salesItemDetails.do?id=106481</v>
      </c>
      <c r="B2616" s="2" t="s">
        <v>7361</v>
      </c>
      <c r="C2616" s="2" t="s">
        <v>7264</v>
      </c>
      <c r="D2616" s="2" t="s">
        <v>7362</v>
      </c>
      <c r="E2616" s="2" t="s">
        <v>7363</v>
      </c>
      <c r="F2616" s="2" t="s">
        <v>16</v>
      </c>
      <c r="G2616" s="2" t="s">
        <v>2858</v>
      </c>
      <c r="H2616" s="2" t="s">
        <v>32</v>
      </c>
      <c r="I2616" s="3" t="n">
        <v>34851</v>
      </c>
      <c r="J2616" s="2" t="s">
        <v>19</v>
      </c>
      <c r="K2616" s="2" t="s">
        <v>20</v>
      </c>
      <c r="L2616" s="2" t="s">
        <v>2863</v>
      </c>
    </row>
    <row r="2617" customFormat="false" ht="15.65" hidden="false" customHeight="true" outlineLevel="0" collapsed="false">
      <c r="A2617" s="5" t="str">
        <f aca="false">HYPERLINK("https://www.fabsurplus.com/sdi_catalog/salesItemDetails.do?id=27801")</f>
        <v>https://www.fabsurplus.com/sdi_catalog/salesItemDetails.do?id=27801</v>
      </c>
      <c r="B2617" s="5" t="s">
        <v>7364</v>
      </c>
      <c r="C2617" s="5" t="s">
        <v>7365</v>
      </c>
      <c r="D2617" s="5" t="s">
        <v>7366</v>
      </c>
      <c r="E2617" s="5" t="s">
        <v>7367</v>
      </c>
      <c r="F2617" s="5" t="s">
        <v>86</v>
      </c>
      <c r="G2617" s="5" t="s">
        <v>165</v>
      </c>
      <c r="H2617" s="5" t="s">
        <v>32</v>
      </c>
      <c r="I2617" s="5"/>
      <c r="J2617" s="5" t="s">
        <v>19</v>
      </c>
      <c r="K2617" s="5" t="s">
        <v>20</v>
      </c>
      <c r="L2617" s="5" t="s">
        <v>7368</v>
      </c>
    </row>
    <row r="2618" customFormat="false" ht="15.65" hidden="false" customHeight="true" outlineLevel="0" collapsed="false">
      <c r="A2618" s="2" t="str">
        <f aca="false">HYPERLINK("https://www.fabsurplus.com/sdi_catalog/salesItemDetails.do?id=34149")</f>
        <v>https://www.fabsurplus.com/sdi_catalog/salesItemDetails.do?id=34149</v>
      </c>
      <c r="B2618" s="2" t="s">
        <v>7369</v>
      </c>
      <c r="C2618" s="2" t="s">
        <v>7370</v>
      </c>
      <c r="D2618" s="2" t="s">
        <v>7371</v>
      </c>
      <c r="E2618" s="2" t="s">
        <v>7372</v>
      </c>
      <c r="F2618" s="2" t="s">
        <v>16</v>
      </c>
      <c r="G2618" s="2" t="s">
        <v>97</v>
      </c>
      <c r="H2618" s="2" t="s">
        <v>18</v>
      </c>
      <c r="I2618" s="2"/>
      <c r="J2618" s="2"/>
      <c r="K2618" s="2"/>
      <c r="L2618" s="2"/>
    </row>
    <row r="2619" customFormat="false" ht="15.65" hidden="false" customHeight="true" outlineLevel="0" collapsed="false">
      <c r="A2619" s="5" t="str">
        <f aca="false">HYPERLINK("https://www.fabsurplus.com/sdi_catalog/salesItemDetails.do?id=34116")</f>
        <v>https://www.fabsurplus.com/sdi_catalog/salesItemDetails.do?id=34116</v>
      </c>
      <c r="B2619" s="5" t="s">
        <v>7373</v>
      </c>
      <c r="C2619" s="5" t="s">
        <v>7374</v>
      </c>
      <c r="D2619" s="5" t="s">
        <v>7375</v>
      </c>
      <c r="E2619" s="5" t="s">
        <v>7376</v>
      </c>
      <c r="F2619" s="5" t="s">
        <v>16</v>
      </c>
      <c r="G2619" s="5" t="s">
        <v>165</v>
      </c>
      <c r="H2619" s="5" t="s">
        <v>18</v>
      </c>
      <c r="I2619" s="5"/>
      <c r="J2619" s="5" t="s">
        <v>19</v>
      </c>
      <c r="K2619" s="5" t="s">
        <v>20</v>
      </c>
      <c r="L2619" s="7" t="s">
        <v>7377</v>
      </c>
    </row>
    <row r="2620" customFormat="false" ht="15.65" hidden="false" customHeight="true" outlineLevel="0" collapsed="false">
      <c r="A2620" s="2" t="str">
        <f aca="false">HYPERLINK("https://www.fabsurplus.com/sdi_catalog/salesItemDetails.do?id=84411")</f>
        <v>https://www.fabsurplus.com/sdi_catalog/salesItemDetails.do?id=84411</v>
      </c>
      <c r="B2620" s="2" t="s">
        <v>7378</v>
      </c>
      <c r="C2620" s="2" t="s">
        <v>7379</v>
      </c>
      <c r="D2620" s="2" t="s">
        <v>7258</v>
      </c>
      <c r="E2620" s="2" t="s">
        <v>7380</v>
      </c>
      <c r="F2620" s="2" t="s">
        <v>16</v>
      </c>
      <c r="G2620" s="2" t="s">
        <v>165</v>
      </c>
      <c r="H2620" s="2" t="s">
        <v>18</v>
      </c>
      <c r="I2620" s="3" t="n">
        <v>34850.9166666667</v>
      </c>
      <c r="J2620" s="2" t="s">
        <v>19</v>
      </c>
      <c r="K2620" s="2" t="s">
        <v>20</v>
      </c>
      <c r="L2620" s="4" t="s">
        <v>7381</v>
      </c>
    </row>
    <row r="2621" customFormat="false" ht="15.65" hidden="false" customHeight="true" outlineLevel="0" collapsed="false">
      <c r="A2621" s="5" t="str">
        <f aca="false">HYPERLINK("https://www.fabsurplus.com/sdi_catalog/salesItemDetails.do?id=109059")</f>
        <v>https://www.fabsurplus.com/sdi_catalog/salesItemDetails.do?id=109059</v>
      </c>
      <c r="B2621" s="5" t="s">
        <v>7382</v>
      </c>
      <c r="C2621" s="5" t="s">
        <v>7383</v>
      </c>
      <c r="D2621" s="5" t="s">
        <v>7384</v>
      </c>
      <c r="E2621" s="5" t="s">
        <v>7385</v>
      </c>
      <c r="F2621" s="5" t="s">
        <v>16</v>
      </c>
      <c r="G2621" s="5" t="s">
        <v>165</v>
      </c>
      <c r="H2621" s="5" t="s">
        <v>18</v>
      </c>
      <c r="I2621" s="5"/>
      <c r="J2621" s="5" t="s">
        <v>19</v>
      </c>
      <c r="K2621" s="5" t="s">
        <v>20</v>
      </c>
      <c r="L2621" s="7" t="s">
        <v>7386</v>
      </c>
    </row>
    <row r="2622" customFormat="false" ht="15.65" hidden="false" customHeight="true" outlineLevel="0" collapsed="false">
      <c r="A2622" s="2" t="str">
        <f aca="false">HYPERLINK("https://www.fabsurplus.com/sdi_catalog/salesItemDetails.do?id=109598")</f>
        <v>https://www.fabsurplus.com/sdi_catalog/salesItemDetails.do?id=109598</v>
      </c>
      <c r="B2622" s="2" t="s">
        <v>7387</v>
      </c>
      <c r="C2622" s="2" t="s">
        <v>7383</v>
      </c>
      <c r="D2622" s="2" t="s">
        <v>7388</v>
      </c>
      <c r="E2622" s="2" t="s">
        <v>7389</v>
      </c>
      <c r="F2622" s="2" t="s">
        <v>16</v>
      </c>
      <c r="G2622" s="2" t="s">
        <v>38</v>
      </c>
      <c r="H2622" s="2"/>
      <c r="I2622" s="2"/>
      <c r="J2622" s="2" t="s">
        <v>42</v>
      </c>
      <c r="K2622" s="2"/>
      <c r="L2622" s="2" t="s">
        <v>2398</v>
      </c>
    </row>
    <row r="2623" customFormat="false" ht="15.65" hidden="false" customHeight="true" outlineLevel="0" collapsed="false">
      <c r="A2623" s="5" t="str">
        <f aca="false">HYPERLINK("https://www.fabsurplus.com/sdi_catalog/salesItemDetails.do?id=109601")</f>
        <v>https://www.fabsurplus.com/sdi_catalog/salesItemDetails.do?id=109601</v>
      </c>
      <c r="B2623" s="5" t="s">
        <v>7390</v>
      </c>
      <c r="C2623" s="5" t="s">
        <v>7383</v>
      </c>
      <c r="D2623" s="5" t="s">
        <v>7391</v>
      </c>
      <c r="E2623" s="5" t="s">
        <v>7392</v>
      </c>
      <c r="F2623" s="5" t="s">
        <v>16</v>
      </c>
      <c r="G2623" s="5" t="s">
        <v>38</v>
      </c>
      <c r="H2623" s="5"/>
      <c r="I2623" s="5"/>
      <c r="J2623" s="5" t="s">
        <v>42</v>
      </c>
      <c r="K2623" s="5"/>
      <c r="L2623" s="5" t="s">
        <v>7393</v>
      </c>
    </row>
    <row r="2624" customFormat="false" ht="15.65" hidden="false" customHeight="true" outlineLevel="0" collapsed="false">
      <c r="A2624" s="2" t="str">
        <f aca="false">HYPERLINK("https://www.fabsurplus.com/sdi_catalog/salesItemDetails.do?id=103206")</f>
        <v>https://www.fabsurplus.com/sdi_catalog/salesItemDetails.do?id=103206</v>
      </c>
      <c r="B2624" s="2" t="s">
        <v>7394</v>
      </c>
      <c r="C2624" s="2" t="s">
        <v>7383</v>
      </c>
      <c r="D2624" s="2" t="s">
        <v>7395</v>
      </c>
      <c r="E2624" s="2" t="s">
        <v>7396</v>
      </c>
      <c r="F2624" s="2" t="s">
        <v>16</v>
      </c>
      <c r="G2624" s="2" t="s">
        <v>104</v>
      </c>
      <c r="H2624" s="2" t="s">
        <v>32</v>
      </c>
      <c r="I2624" s="3" t="n">
        <v>34850.9166666667</v>
      </c>
      <c r="J2624" s="2" t="s">
        <v>19</v>
      </c>
      <c r="K2624" s="2" t="s">
        <v>20</v>
      </c>
      <c r="L2624" s="4" t="s">
        <v>7397</v>
      </c>
    </row>
    <row r="2625" customFormat="false" ht="15.65" hidden="false" customHeight="true" outlineLevel="0" collapsed="false">
      <c r="A2625" s="5" t="str">
        <f aca="false">HYPERLINK("https://www.fabsurplus.com/sdi_catalog/salesItemDetails.do?id=91435")</f>
        <v>https://www.fabsurplus.com/sdi_catalog/salesItemDetails.do?id=91435</v>
      </c>
      <c r="B2625" s="5" t="s">
        <v>7398</v>
      </c>
      <c r="C2625" s="5" t="s">
        <v>7383</v>
      </c>
      <c r="D2625" s="5" t="s">
        <v>7399</v>
      </c>
      <c r="E2625" s="5" t="s">
        <v>7400</v>
      </c>
      <c r="F2625" s="5" t="s">
        <v>16</v>
      </c>
      <c r="G2625" s="5" t="s">
        <v>38</v>
      </c>
      <c r="H2625" s="5"/>
      <c r="I2625" s="6" t="n">
        <v>35581.9166666667</v>
      </c>
      <c r="J2625" s="5" t="s">
        <v>19</v>
      </c>
      <c r="K2625" s="5"/>
      <c r="L2625" s="5" t="s">
        <v>142</v>
      </c>
    </row>
    <row r="2626" customFormat="false" ht="15.65" hidden="false" customHeight="true" outlineLevel="0" collapsed="false">
      <c r="A2626" s="2" t="str">
        <f aca="false">HYPERLINK("https://www.fabsurplus.com/sdi_catalog/salesItemDetails.do?id=53035")</f>
        <v>https://www.fabsurplus.com/sdi_catalog/salesItemDetails.do?id=53035</v>
      </c>
      <c r="B2626" s="2" t="s">
        <v>7401</v>
      </c>
      <c r="C2626" s="2" t="s">
        <v>7383</v>
      </c>
      <c r="D2626" s="2" t="s">
        <v>7402</v>
      </c>
      <c r="E2626" s="2" t="s">
        <v>7403</v>
      </c>
      <c r="F2626" s="2" t="s">
        <v>16</v>
      </c>
      <c r="G2626" s="2" t="s">
        <v>97</v>
      </c>
      <c r="H2626" s="2" t="s">
        <v>18</v>
      </c>
      <c r="I2626" s="2"/>
      <c r="J2626" s="2" t="s">
        <v>19</v>
      </c>
      <c r="K2626" s="2" t="s">
        <v>20</v>
      </c>
      <c r="L2626" s="4" t="s">
        <v>7404</v>
      </c>
    </row>
    <row r="2627" customFormat="false" ht="15.65" hidden="false" customHeight="true" outlineLevel="0" collapsed="false">
      <c r="A2627" s="5" t="str">
        <f aca="false">HYPERLINK("https://www.fabsurplus.com/sdi_catalog/salesItemDetails.do?id=53036")</f>
        <v>https://www.fabsurplus.com/sdi_catalog/salesItemDetails.do?id=53036</v>
      </c>
      <c r="B2627" s="5" t="s">
        <v>7405</v>
      </c>
      <c r="C2627" s="5" t="s">
        <v>7406</v>
      </c>
      <c r="D2627" s="5" t="s">
        <v>7407</v>
      </c>
      <c r="E2627" s="5" t="s">
        <v>7408</v>
      </c>
      <c r="F2627" s="5" t="s">
        <v>16</v>
      </c>
      <c r="G2627" s="5" t="s">
        <v>97</v>
      </c>
      <c r="H2627" s="5" t="s">
        <v>18</v>
      </c>
      <c r="I2627" s="5"/>
      <c r="J2627" s="5" t="s">
        <v>19</v>
      </c>
      <c r="K2627" s="5" t="s">
        <v>20</v>
      </c>
      <c r="L2627" s="7" t="s">
        <v>7409</v>
      </c>
    </row>
    <row r="2628" customFormat="false" ht="15.65" hidden="false" customHeight="true" outlineLevel="0" collapsed="false">
      <c r="A2628" s="2" t="str">
        <f aca="false">HYPERLINK("https://www.fabsurplus.com/sdi_catalog/salesItemDetails.do?id=109613")</f>
        <v>https://www.fabsurplus.com/sdi_catalog/salesItemDetails.do?id=109613</v>
      </c>
      <c r="B2628" s="2" t="s">
        <v>7410</v>
      </c>
      <c r="C2628" s="2" t="s">
        <v>7383</v>
      </c>
      <c r="D2628" s="2" t="s">
        <v>7399</v>
      </c>
      <c r="E2628" s="2" t="s">
        <v>6869</v>
      </c>
      <c r="F2628" s="2" t="s">
        <v>16</v>
      </c>
      <c r="G2628" s="2" t="s">
        <v>1293</v>
      </c>
      <c r="H2628" s="2"/>
      <c r="I2628" s="2"/>
      <c r="J2628" s="2" t="s">
        <v>42</v>
      </c>
      <c r="K2628" s="2"/>
      <c r="L2628" s="2" t="s">
        <v>5550</v>
      </c>
    </row>
    <row r="2629" customFormat="false" ht="15.65" hidden="false" customHeight="true" outlineLevel="0" collapsed="false">
      <c r="A2629" s="5" t="str">
        <f aca="false">HYPERLINK("https://www.fabsurplus.com/sdi_catalog/salesItemDetails.do?id=109107")</f>
        <v>https://www.fabsurplus.com/sdi_catalog/salesItemDetails.do?id=109107</v>
      </c>
      <c r="B2629" s="5" t="s">
        <v>7411</v>
      </c>
      <c r="C2629" s="5" t="s">
        <v>7383</v>
      </c>
      <c r="D2629" s="5" t="s">
        <v>7412</v>
      </c>
      <c r="E2629" s="5" t="s">
        <v>7413</v>
      </c>
      <c r="F2629" s="5" t="s">
        <v>16</v>
      </c>
      <c r="G2629" s="5"/>
      <c r="H2629" s="5" t="s">
        <v>32</v>
      </c>
      <c r="I2629" s="6" t="n">
        <v>33390</v>
      </c>
      <c r="J2629" s="5" t="s">
        <v>19</v>
      </c>
      <c r="K2629" s="5" t="s">
        <v>20</v>
      </c>
      <c r="L2629" s="7" t="s">
        <v>7414</v>
      </c>
    </row>
    <row r="2630" customFormat="false" ht="15.65" hidden="false" customHeight="true" outlineLevel="0" collapsed="false">
      <c r="A2630" s="2" t="str">
        <f aca="false">HYPERLINK("https://www.fabsurplus.com/sdi_catalog/salesItemDetails.do?id=76358")</f>
        <v>https://www.fabsurplus.com/sdi_catalog/salesItemDetails.do?id=76358</v>
      </c>
      <c r="B2630" s="2" t="s">
        <v>7415</v>
      </c>
      <c r="C2630" s="2" t="s">
        <v>7383</v>
      </c>
      <c r="D2630" s="2" t="s">
        <v>7416</v>
      </c>
      <c r="E2630" s="2" t="s">
        <v>7417</v>
      </c>
      <c r="F2630" s="2" t="s">
        <v>16</v>
      </c>
      <c r="G2630" s="2" t="s">
        <v>104</v>
      </c>
      <c r="H2630" s="2" t="s">
        <v>18</v>
      </c>
      <c r="I2630" s="2"/>
      <c r="J2630" s="2" t="s">
        <v>19</v>
      </c>
      <c r="K2630" s="2" t="s">
        <v>20</v>
      </c>
      <c r="L2630" s="2" t="s">
        <v>7418</v>
      </c>
    </row>
    <row r="2631" customFormat="false" ht="15.65" hidden="false" customHeight="true" outlineLevel="0" collapsed="false">
      <c r="A2631" s="5" t="str">
        <f aca="false">HYPERLINK("https://www.fabsurplus.com/sdi_catalog/salesItemDetails.do?id=91464")</f>
        <v>https://www.fabsurplus.com/sdi_catalog/salesItemDetails.do?id=91464</v>
      </c>
      <c r="B2631" s="5" t="s">
        <v>7419</v>
      </c>
      <c r="C2631" s="5" t="s">
        <v>7383</v>
      </c>
      <c r="D2631" s="5" t="s">
        <v>7420</v>
      </c>
      <c r="E2631" s="5" t="s">
        <v>7421</v>
      </c>
      <c r="F2631" s="5" t="s">
        <v>16</v>
      </c>
      <c r="G2631" s="5" t="s">
        <v>38</v>
      </c>
      <c r="H2631" s="5" t="s">
        <v>32</v>
      </c>
      <c r="I2631" s="5"/>
      <c r="J2631" s="5" t="s">
        <v>19</v>
      </c>
      <c r="K2631" s="5" t="s">
        <v>20</v>
      </c>
      <c r="L2631" s="5" t="s">
        <v>142</v>
      </c>
    </row>
    <row r="2632" customFormat="false" ht="15.65" hidden="false" customHeight="true" outlineLevel="0" collapsed="false">
      <c r="A2632" s="2" t="str">
        <f aca="false">HYPERLINK("https://www.fabsurplus.com/sdi_catalog/salesItemDetails.do?id=91466")</f>
        <v>https://www.fabsurplus.com/sdi_catalog/salesItemDetails.do?id=91466</v>
      </c>
      <c r="B2632" s="2" t="s">
        <v>7422</v>
      </c>
      <c r="C2632" s="2" t="s">
        <v>7383</v>
      </c>
      <c r="D2632" s="2" t="s">
        <v>7420</v>
      </c>
      <c r="E2632" s="2" t="s">
        <v>7421</v>
      </c>
      <c r="F2632" s="2" t="s">
        <v>16</v>
      </c>
      <c r="G2632" s="2"/>
      <c r="H2632" s="2"/>
      <c r="I2632" s="2"/>
      <c r="J2632" s="2" t="s">
        <v>19</v>
      </c>
      <c r="K2632" s="2"/>
      <c r="L2632" s="2" t="s">
        <v>142</v>
      </c>
    </row>
    <row r="2633" customFormat="false" ht="15.65" hidden="false" customHeight="true" outlineLevel="0" collapsed="false">
      <c r="A2633" s="5" t="str">
        <f aca="false">HYPERLINK("https://www.fabsurplus.com/sdi_catalog/salesItemDetails.do?id=34125")</f>
        <v>https://www.fabsurplus.com/sdi_catalog/salesItemDetails.do?id=34125</v>
      </c>
      <c r="B2633" s="5" t="s">
        <v>7423</v>
      </c>
      <c r="C2633" s="5" t="s">
        <v>7383</v>
      </c>
      <c r="D2633" s="5" t="s">
        <v>6931</v>
      </c>
      <c r="E2633" s="5" t="s">
        <v>7424</v>
      </c>
      <c r="F2633" s="5" t="s">
        <v>16</v>
      </c>
      <c r="G2633" s="5" t="s">
        <v>97</v>
      </c>
      <c r="H2633" s="5" t="s">
        <v>18</v>
      </c>
      <c r="I2633" s="5"/>
      <c r="J2633" s="5" t="s">
        <v>19</v>
      </c>
      <c r="K2633" s="5" t="s">
        <v>20</v>
      </c>
      <c r="L2633" s="5"/>
    </row>
    <row r="2634" customFormat="false" ht="15.65" hidden="false" customHeight="true" outlineLevel="0" collapsed="false">
      <c r="A2634" s="2" t="str">
        <f aca="false">HYPERLINK("https://www.fabsurplus.com/sdi_catalog/salesItemDetails.do?id=34127")</f>
        <v>https://www.fabsurplus.com/sdi_catalog/salesItemDetails.do?id=34127</v>
      </c>
      <c r="B2634" s="2" t="s">
        <v>7425</v>
      </c>
      <c r="C2634" s="2" t="s">
        <v>7383</v>
      </c>
      <c r="D2634" s="2" t="s">
        <v>7252</v>
      </c>
      <c r="E2634" s="2" t="s">
        <v>7426</v>
      </c>
      <c r="F2634" s="2" t="s">
        <v>16</v>
      </c>
      <c r="G2634" s="2" t="s">
        <v>97</v>
      </c>
      <c r="H2634" s="2" t="s">
        <v>18</v>
      </c>
      <c r="I2634" s="2"/>
      <c r="J2634" s="2" t="s">
        <v>19</v>
      </c>
      <c r="K2634" s="2" t="s">
        <v>20</v>
      </c>
      <c r="L2634" s="4" t="s">
        <v>7427</v>
      </c>
    </row>
    <row r="2635" customFormat="false" ht="15.65" hidden="false" customHeight="true" outlineLevel="0" collapsed="false">
      <c r="A2635" s="5" t="str">
        <f aca="false">HYPERLINK("https://www.fabsurplus.com/sdi_catalog/salesItemDetails.do?id=34130")</f>
        <v>https://www.fabsurplus.com/sdi_catalog/salesItemDetails.do?id=34130</v>
      </c>
      <c r="B2635" s="5" t="s">
        <v>7428</v>
      </c>
      <c r="C2635" s="5" t="s">
        <v>7429</v>
      </c>
      <c r="D2635" s="5" t="s">
        <v>7252</v>
      </c>
      <c r="E2635" s="5" t="s">
        <v>7430</v>
      </c>
      <c r="F2635" s="5" t="s">
        <v>16</v>
      </c>
      <c r="G2635" s="5" t="s">
        <v>165</v>
      </c>
      <c r="H2635" s="5" t="s">
        <v>18</v>
      </c>
      <c r="I2635" s="5"/>
      <c r="J2635" s="5" t="s">
        <v>19</v>
      </c>
      <c r="K2635" s="5" t="s">
        <v>20</v>
      </c>
      <c r="L2635" s="7" t="s">
        <v>7431</v>
      </c>
    </row>
    <row r="2636" customFormat="false" ht="15.65" hidden="false" customHeight="true" outlineLevel="0" collapsed="false">
      <c r="A2636" s="2" t="str">
        <f aca="false">HYPERLINK("https://www.fabsurplus.com/sdi_catalog/salesItemDetails.do?id=84054")</f>
        <v>https://www.fabsurplus.com/sdi_catalog/salesItemDetails.do?id=84054</v>
      </c>
      <c r="B2636" s="2" t="s">
        <v>7432</v>
      </c>
      <c r="C2636" s="2" t="s">
        <v>7433</v>
      </c>
      <c r="D2636" s="2" t="s">
        <v>7004</v>
      </c>
      <c r="E2636" s="2" t="s">
        <v>7434</v>
      </c>
      <c r="F2636" s="2" t="s">
        <v>151</v>
      </c>
      <c r="G2636" s="2" t="s">
        <v>104</v>
      </c>
      <c r="H2636" s="2" t="s">
        <v>18</v>
      </c>
      <c r="I2636" s="2"/>
      <c r="J2636" s="2" t="s">
        <v>19</v>
      </c>
      <c r="K2636" s="2" t="s">
        <v>20</v>
      </c>
      <c r="L2636" s="4" t="s">
        <v>7435</v>
      </c>
    </row>
    <row r="2637" customFormat="false" ht="15.65" hidden="false" customHeight="true" outlineLevel="0" collapsed="false">
      <c r="A2637" s="5" t="str">
        <f aca="false">HYPERLINK("https://www.fabsurplus.com/sdi_catalog/salesItemDetails.do?id=34134")</f>
        <v>https://www.fabsurplus.com/sdi_catalog/salesItemDetails.do?id=34134</v>
      </c>
      <c r="B2637" s="5" t="s">
        <v>7436</v>
      </c>
      <c r="C2637" s="5" t="s">
        <v>7429</v>
      </c>
      <c r="D2637" s="5" t="s">
        <v>7252</v>
      </c>
      <c r="E2637" s="5" t="s">
        <v>7437</v>
      </c>
      <c r="F2637" s="5" t="s">
        <v>16</v>
      </c>
      <c r="G2637" s="5" t="s">
        <v>97</v>
      </c>
      <c r="H2637" s="5" t="s">
        <v>18</v>
      </c>
      <c r="I2637" s="5"/>
      <c r="J2637" s="5" t="s">
        <v>19</v>
      </c>
      <c r="K2637" s="5" t="s">
        <v>20</v>
      </c>
      <c r="L2637" s="5"/>
    </row>
    <row r="2638" customFormat="false" ht="15.65" hidden="false" customHeight="true" outlineLevel="0" collapsed="false">
      <c r="A2638" s="2" t="str">
        <f aca="false">HYPERLINK("https://www.fabsurplus.com/sdi_catalog/salesItemDetails.do?id=34136")</f>
        <v>https://www.fabsurplus.com/sdi_catalog/salesItemDetails.do?id=34136</v>
      </c>
      <c r="B2638" s="2" t="s">
        <v>7438</v>
      </c>
      <c r="C2638" s="2" t="s">
        <v>7383</v>
      </c>
      <c r="D2638" s="2" t="s">
        <v>7252</v>
      </c>
      <c r="E2638" s="2" t="s">
        <v>7439</v>
      </c>
      <c r="F2638" s="2" t="s">
        <v>16</v>
      </c>
      <c r="G2638" s="2" t="s">
        <v>165</v>
      </c>
      <c r="H2638" s="2" t="s">
        <v>18</v>
      </c>
      <c r="I2638" s="2"/>
      <c r="J2638" s="2" t="s">
        <v>19</v>
      </c>
      <c r="K2638" s="2" t="s">
        <v>20</v>
      </c>
      <c r="L2638" s="2" t="s">
        <v>7440</v>
      </c>
    </row>
    <row r="2639" customFormat="false" ht="15.65" hidden="false" customHeight="true" outlineLevel="0" collapsed="false">
      <c r="A2639" s="5" t="str">
        <f aca="false">HYPERLINK("https://www.fabsurplus.com/sdi_catalog/salesItemDetails.do?id=4958")</f>
        <v>https://www.fabsurplus.com/sdi_catalog/salesItemDetails.do?id=4958</v>
      </c>
      <c r="B2639" s="5" t="s">
        <v>7441</v>
      </c>
      <c r="C2639" s="5" t="s">
        <v>7383</v>
      </c>
      <c r="D2639" s="5" t="s">
        <v>7442</v>
      </c>
      <c r="E2639" s="5" t="s">
        <v>7443</v>
      </c>
      <c r="F2639" s="5" t="s">
        <v>16</v>
      </c>
      <c r="G2639" s="5" t="s">
        <v>1272</v>
      </c>
      <c r="H2639" s="5" t="s">
        <v>32</v>
      </c>
      <c r="I2639" s="5"/>
      <c r="J2639" s="5" t="s">
        <v>19</v>
      </c>
      <c r="K2639" s="5" t="s">
        <v>20</v>
      </c>
      <c r="L2639" s="7" t="s">
        <v>7444</v>
      </c>
    </row>
    <row r="2640" customFormat="false" ht="15.65" hidden="false" customHeight="true" outlineLevel="0" collapsed="false">
      <c r="A2640" s="2" t="str">
        <f aca="false">HYPERLINK("https://www.fabsurplus.com/sdi_catalog/salesItemDetails.do?id=4959")</f>
        <v>https://www.fabsurplus.com/sdi_catalog/salesItemDetails.do?id=4959</v>
      </c>
      <c r="B2640" s="2" t="s">
        <v>7445</v>
      </c>
      <c r="C2640" s="2" t="s">
        <v>7383</v>
      </c>
      <c r="D2640" s="2" t="s">
        <v>7446</v>
      </c>
      <c r="E2640" s="2" t="s">
        <v>7447</v>
      </c>
      <c r="F2640" s="2" t="s">
        <v>16</v>
      </c>
      <c r="G2640" s="2" t="s">
        <v>38</v>
      </c>
      <c r="H2640" s="2" t="s">
        <v>18</v>
      </c>
      <c r="I2640" s="2"/>
      <c r="J2640" s="2" t="s">
        <v>19</v>
      </c>
      <c r="K2640" s="2" t="s">
        <v>20</v>
      </c>
      <c r="L2640" s="2" t="s">
        <v>7448</v>
      </c>
    </row>
    <row r="2641" customFormat="false" ht="15.65" hidden="false" customHeight="true" outlineLevel="0" collapsed="false">
      <c r="A2641" s="5" t="str">
        <f aca="false">HYPERLINK("https://www.fabsurplus.com/sdi_catalog/salesItemDetails.do?id=83810")</f>
        <v>https://www.fabsurplus.com/sdi_catalog/salesItemDetails.do?id=83810</v>
      </c>
      <c r="B2641" s="5" t="s">
        <v>7449</v>
      </c>
      <c r="C2641" s="5" t="s">
        <v>7383</v>
      </c>
      <c r="D2641" s="5" t="s">
        <v>7258</v>
      </c>
      <c r="E2641" s="5" t="s">
        <v>7450</v>
      </c>
      <c r="F2641" s="5" t="s">
        <v>16</v>
      </c>
      <c r="G2641" s="5" t="s">
        <v>97</v>
      </c>
      <c r="H2641" s="5" t="s">
        <v>18</v>
      </c>
      <c r="I2641" s="6" t="n">
        <v>35581.9166666667</v>
      </c>
      <c r="J2641" s="5" t="s">
        <v>19</v>
      </c>
      <c r="K2641" s="5" t="s">
        <v>20</v>
      </c>
      <c r="L2641" s="5" t="s">
        <v>7451</v>
      </c>
    </row>
    <row r="2642" customFormat="false" ht="15.65" hidden="false" customHeight="true" outlineLevel="0" collapsed="false">
      <c r="A2642" s="2" t="str">
        <f aca="false">HYPERLINK("https://www.fabsurplus.com/sdi_catalog/salesItemDetails.do?id=34148")</f>
        <v>https://www.fabsurplus.com/sdi_catalog/salesItemDetails.do?id=34148</v>
      </c>
      <c r="B2642" s="2" t="s">
        <v>7452</v>
      </c>
      <c r="C2642" s="2" t="s">
        <v>7383</v>
      </c>
      <c r="D2642" s="2" t="s">
        <v>7252</v>
      </c>
      <c r="E2642" s="2" t="s">
        <v>7453</v>
      </c>
      <c r="F2642" s="2" t="s">
        <v>16</v>
      </c>
      <c r="G2642" s="2" t="s">
        <v>97</v>
      </c>
      <c r="H2642" s="2" t="s">
        <v>18</v>
      </c>
      <c r="I2642" s="2"/>
      <c r="J2642" s="2" t="s">
        <v>19</v>
      </c>
      <c r="K2642" s="2" t="s">
        <v>20</v>
      </c>
      <c r="L2642" s="2" t="s">
        <v>7454</v>
      </c>
    </row>
    <row r="2643" customFormat="false" ht="15.65" hidden="false" customHeight="true" outlineLevel="0" collapsed="false">
      <c r="A2643" s="5" t="str">
        <f aca="false">HYPERLINK("https://www.fabsurplus.com/sdi_catalog/salesItemDetails.do?id=34150")</f>
        <v>https://www.fabsurplus.com/sdi_catalog/salesItemDetails.do?id=34150</v>
      </c>
      <c r="B2643" s="5" t="s">
        <v>7455</v>
      </c>
      <c r="C2643" s="5" t="s">
        <v>7383</v>
      </c>
      <c r="D2643" s="5" t="s">
        <v>6879</v>
      </c>
      <c r="E2643" s="5" t="s">
        <v>7371</v>
      </c>
      <c r="F2643" s="5" t="s">
        <v>16</v>
      </c>
      <c r="G2643" s="5" t="s">
        <v>97</v>
      </c>
      <c r="H2643" s="5" t="s">
        <v>18</v>
      </c>
      <c r="I2643" s="5"/>
      <c r="J2643" s="5" t="s">
        <v>19</v>
      </c>
      <c r="K2643" s="5" t="s">
        <v>20</v>
      </c>
      <c r="L2643" s="7" t="s">
        <v>7456</v>
      </c>
    </row>
    <row r="2644" customFormat="false" ht="15.65" hidden="false" customHeight="true" outlineLevel="0" collapsed="false">
      <c r="A2644" s="2" t="str">
        <f aca="false">HYPERLINK("https://www.fabsurplus.com/sdi_catalog/salesItemDetails.do?id=34152")</f>
        <v>https://www.fabsurplus.com/sdi_catalog/salesItemDetails.do?id=34152</v>
      </c>
      <c r="B2644" s="2" t="s">
        <v>7457</v>
      </c>
      <c r="C2644" s="2" t="s">
        <v>7383</v>
      </c>
      <c r="D2644" s="2" t="s">
        <v>6931</v>
      </c>
      <c r="E2644" s="2" t="s">
        <v>7458</v>
      </c>
      <c r="F2644" s="2" t="s">
        <v>16</v>
      </c>
      <c r="G2644" s="2" t="s">
        <v>97</v>
      </c>
      <c r="H2644" s="2" t="s">
        <v>18</v>
      </c>
      <c r="I2644" s="2"/>
      <c r="J2644" s="2" t="s">
        <v>19</v>
      </c>
      <c r="K2644" s="2" t="s">
        <v>20</v>
      </c>
      <c r="L2644" s="2"/>
    </row>
    <row r="2645" customFormat="false" ht="15.65" hidden="false" customHeight="true" outlineLevel="0" collapsed="false">
      <c r="A2645" s="5" t="str">
        <f aca="false">HYPERLINK("https://www.fabsurplus.com/sdi_catalog/salesItemDetails.do?id=34153")</f>
        <v>https://www.fabsurplus.com/sdi_catalog/salesItemDetails.do?id=34153</v>
      </c>
      <c r="B2645" s="5" t="s">
        <v>7459</v>
      </c>
      <c r="C2645" s="5" t="s">
        <v>7383</v>
      </c>
      <c r="D2645" s="5" t="s">
        <v>6931</v>
      </c>
      <c r="E2645" s="5" t="s">
        <v>7460</v>
      </c>
      <c r="F2645" s="5" t="s">
        <v>16</v>
      </c>
      <c r="G2645" s="5" t="s">
        <v>165</v>
      </c>
      <c r="H2645" s="5" t="s">
        <v>18</v>
      </c>
      <c r="I2645" s="5"/>
      <c r="J2645" s="5" t="s">
        <v>19</v>
      </c>
      <c r="K2645" s="5" t="s">
        <v>20</v>
      </c>
      <c r="L2645" s="5"/>
    </row>
    <row r="2646" customFormat="false" ht="15.65" hidden="false" customHeight="true" outlineLevel="0" collapsed="false">
      <c r="A2646" s="2" t="str">
        <f aca="false">HYPERLINK("https://www.fabsurplus.com/sdi_catalog/salesItemDetails.do?id=34165")</f>
        <v>https://www.fabsurplus.com/sdi_catalog/salesItemDetails.do?id=34165</v>
      </c>
      <c r="B2646" s="2" t="s">
        <v>7461</v>
      </c>
      <c r="C2646" s="2" t="s">
        <v>7433</v>
      </c>
      <c r="D2646" s="2" t="s">
        <v>7462</v>
      </c>
      <c r="E2646" s="2" t="s">
        <v>7463</v>
      </c>
      <c r="F2646" s="2" t="s">
        <v>16</v>
      </c>
      <c r="G2646" s="2" t="s">
        <v>104</v>
      </c>
      <c r="H2646" s="2" t="s">
        <v>18</v>
      </c>
      <c r="I2646" s="2"/>
      <c r="J2646" s="2" t="s">
        <v>19</v>
      </c>
      <c r="K2646" s="2" t="s">
        <v>20</v>
      </c>
      <c r="L2646" s="2" t="s">
        <v>7464</v>
      </c>
    </row>
    <row r="2647" customFormat="false" ht="15.65" hidden="false" customHeight="true" outlineLevel="0" collapsed="false">
      <c r="A2647" s="5" t="str">
        <f aca="false">HYPERLINK("https://www.fabsurplus.com/sdi_catalog/salesItemDetails.do?id=84086")</f>
        <v>https://www.fabsurplus.com/sdi_catalog/salesItemDetails.do?id=84086</v>
      </c>
      <c r="B2647" s="5" t="s">
        <v>7465</v>
      </c>
      <c r="C2647" s="5" t="s">
        <v>7433</v>
      </c>
      <c r="D2647" s="5" t="s">
        <v>7466</v>
      </c>
      <c r="E2647" s="5" t="s">
        <v>7467</v>
      </c>
      <c r="F2647" s="5" t="s">
        <v>5998</v>
      </c>
      <c r="G2647" s="5"/>
      <c r="H2647" s="5" t="s">
        <v>1395</v>
      </c>
      <c r="I2647" s="6" t="n">
        <v>36678</v>
      </c>
      <c r="J2647" s="5" t="s">
        <v>19</v>
      </c>
      <c r="K2647" s="5" t="s">
        <v>20</v>
      </c>
      <c r="L2647" s="7" t="s">
        <v>7468</v>
      </c>
    </row>
    <row r="2648" customFormat="false" ht="15.65" hidden="false" customHeight="true" outlineLevel="0" collapsed="false">
      <c r="A2648" s="2" t="str">
        <f aca="false">HYPERLINK("https://www.fabsurplus.com/sdi_catalog/salesItemDetails.do?id=34166")</f>
        <v>https://www.fabsurplus.com/sdi_catalog/salesItemDetails.do?id=34166</v>
      </c>
      <c r="B2648" s="2" t="s">
        <v>7469</v>
      </c>
      <c r="C2648" s="2" t="s">
        <v>7433</v>
      </c>
      <c r="D2648" s="2" t="s">
        <v>7470</v>
      </c>
      <c r="E2648" s="2" t="s">
        <v>7471</v>
      </c>
      <c r="F2648" s="2" t="s">
        <v>16</v>
      </c>
      <c r="G2648" s="2" t="s">
        <v>165</v>
      </c>
      <c r="H2648" s="2" t="s">
        <v>18</v>
      </c>
      <c r="I2648" s="2"/>
      <c r="J2648" s="2" t="s">
        <v>19</v>
      </c>
      <c r="K2648" s="2" t="s">
        <v>20</v>
      </c>
      <c r="L2648" s="2" t="s">
        <v>7472</v>
      </c>
    </row>
    <row r="2649" customFormat="false" ht="15.65" hidden="false" customHeight="true" outlineLevel="0" collapsed="false">
      <c r="A2649" s="5" t="str">
        <f aca="false">HYPERLINK("https://www.fabsurplus.com/sdi_catalog/salesItemDetails.do?id=84087")</f>
        <v>https://www.fabsurplus.com/sdi_catalog/salesItemDetails.do?id=84087</v>
      </c>
      <c r="B2649" s="5" t="s">
        <v>7473</v>
      </c>
      <c r="C2649" s="5" t="s">
        <v>7433</v>
      </c>
      <c r="D2649" s="5" t="s">
        <v>7258</v>
      </c>
      <c r="E2649" s="5" t="s">
        <v>7474</v>
      </c>
      <c r="F2649" s="5" t="s">
        <v>16</v>
      </c>
      <c r="G2649" s="5" t="s">
        <v>104</v>
      </c>
      <c r="H2649" s="5" t="s">
        <v>18</v>
      </c>
      <c r="I2649" s="5"/>
      <c r="J2649" s="5" t="s">
        <v>19</v>
      </c>
      <c r="K2649" s="5" t="s">
        <v>20</v>
      </c>
      <c r="L2649" s="7" t="s">
        <v>7475</v>
      </c>
    </row>
    <row r="2650" customFormat="false" ht="15.65" hidden="false" customHeight="true" outlineLevel="0" collapsed="false">
      <c r="A2650" s="2" t="str">
        <f aca="false">HYPERLINK("https://www.fabsurplus.com/sdi_catalog/salesItemDetails.do?id=84088")</f>
        <v>https://www.fabsurplus.com/sdi_catalog/salesItemDetails.do?id=84088</v>
      </c>
      <c r="B2650" s="2" t="s">
        <v>7476</v>
      </c>
      <c r="C2650" s="2" t="s">
        <v>7433</v>
      </c>
      <c r="D2650" s="2" t="s">
        <v>7258</v>
      </c>
      <c r="E2650" s="2" t="s">
        <v>7477</v>
      </c>
      <c r="F2650" s="2" t="s">
        <v>16</v>
      </c>
      <c r="G2650" s="2" t="s">
        <v>104</v>
      </c>
      <c r="H2650" s="2" t="s">
        <v>18</v>
      </c>
      <c r="I2650" s="2"/>
      <c r="J2650" s="2" t="s">
        <v>19</v>
      </c>
      <c r="K2650" s="2" t="s">
        <v>20</v>
      </c>
      <c r="L2650" s="4" t="s">
        <v>7478</v>
      </c>
    </row>
    <row r="2651" customFormat="false" ht="15.65" hidden="false" customHeight="true" outlineLevel="0" collapsed="false">
      <c r="A2651" s="5" t="str">
        <f aca="false">HYPERLINK("https://www.fabsurplus.com/sdi_catalog/salesItemDetails.do?id=84089")</f>
        <v>https://www.fabsurplus.com/sdi_catalog/salesItemDetails.do?id=84089</v>
      </c>
      <c r="B2651" s="5" t="s">
        <v>7479</v>
      </c>
      <c r="C2651" s="5" t="s">
        <v>7433</v>
      </c>
      <c r="D2651" s="5" t="s">
        <v>7480</v>
      </c>
      <c r="E2651" s="5" t="s">
        <v>7481</v>
      </c>
      <c r="F2651" s="5" t="s">
        <v>16</v>
      </c>
      <c r="G2651" s="5" t="s">
        <v>104</v>
      </c>
      <c r="H2651" s="5" t="s">
        <v>18</v>
      </c>
      <c r="I2651" s="6" t="n">
        <v>35854.9583333333</v>
      </c>
      <c r="J2651" s="5" t="s">
        <v>19</v>
      </c>
      <c r="K2651" s="5" t="s">
        <v>20</v>
      </c>
      <c r="L2651" s="7" t="s">
        <v>7482</v>
      </c>
    </row>
    <row r="2652" customFormat="false" ht="15.65" hidden="false" customHeight="true" outlineLevel="0" collapsed="false">
      <c r="A2652" s="2" t="str">
        <f aca="false">HYPERLINK("https://www.fabsurplus.com/sdi_catalog/salesItemDetails.do?id=84091")</f>
        <v>https://www.fabsurplus.com/sdi_catalog/salesItemDetails.do?id=84091</v>
      </c>
      <c r="B2652" s="2" t="s">
        <v>7483</v>
      </c>
      <c r="C2652" s="2" t="s">
        <v>7433</v>
      </c>
      <c r="D2652" s="2" t="s">
        <v>7484</v>
      </c>
      <c r="E2652" s="2" t="s">
        <v>7485</v>
      </c>
      <c r="F2652" s="2" t="s">
        <v>16</v>
      </c>
      <c r="G2652" s="2" t="s">
        <v>104</v>
      </c>
      <c r="H2652" s="2" t="s">
        <v>18</v>
      </c>
      <c r="I2652" s="3" t="n">
        <v>34850.9166666667</v>
      </c>
      <c r="J2652" s="2" t="s">
        <v>19</v>
      </c>
      <c r="K2652" s="2" t="s">
        <v>20</v>
      </c>
      <c r="L2652" s="4" t="s">
        <v>7486</v>
      </c>
    </row>
    <row r="2653" customFormat="false" ht="15.65" hidden="false" customHeight="true" outlineLevel="0" collapsed="false">
      <c r="A2653" s="5" t="str">
        <f aca="false">HYPERLINK("https://www.fabsurplus.com/sdi_catalog/salesItemDetails.do?id=84092")</f>
        <v>https://www.fabsurplus.com/sdi_catalog/salesItemDetails.do?id=84092</v>
      </c>
      <c r="B2653" s="5" t="s">
        <v>7487</v>
      </c>
      <c r="C2653" s="5" t="s">
        <v>7433</v>
      </c>
      <c r="D2653" s="5" t="s">
        <v>7488</v>
      </c>
      <c r="E2653" s="5" t="s">
        <v>7489</v>
      </c>
      <c r="F2653" s="5" t="s">
        <v>16</v>
      </c>
      <c r="G2653" s="5" t="s">
        <v>38</v>
      </c>
      <c r="H2653" s="5" t="s">
        <v>18</v>
      </c>
      <c r="I2653" s="6" t="n">
        <v>35946.9166666667</v>
      </c>
      <c r="J2653" s="5" t="s">
        <v>19</v>
      </c>
      <c r="K2653" s="5" t="s">
        <v>20</v>
      </c>
      <c r="L2653" s="7" t="s">
        <v>7490</v>
      </c>
    </row>
    <row r="2654" customFormat="false" ht="15.65" hidden="false" customHeight="true" outlineLevel="0" collapsed="false">
      <c r="A2654" s="2" t="str">
        <f aca="false">HYPERLINK("https://www.fabsurplus.com/sdi_catalog/salesItemDetails.do?id=83837")</f>
        <v>https://www.fabsurplus.com/sdi_catalog/salesItemDetails.do?id=83837</v>
      </c>
      <c r="B2654" s="2" t="s">
        <v>7491</v>
      </c>
      <c r="C2654" s="2" t="s">
        <v>7433</v>
      </c>
      <c r="D2654" s="2" t="s">
        <v>7258</v>
      </c>
      <c r="E2654" s="2" t="s">
        <v>7492</v>
      </c>
      <c r="F2654" s="2" t="s">
        <v>16</v>
      </c>
      <c r="G2654" s="2" t="s">
        <v>165</v>
      </c>
      <c r="H2654" s="2" t="s">
        <v>18</v>
      </c>
      <c r="I2654" s="2"/>
      <c r="J2654" s="2" t="s">
        <v>19</v>
      </c>
      <c r="K2654" s="2" t="s">
        <v>20</v>
      </c>
      <c r="L2654" s="2" t="s">
        <v>7493</v>
      </c>
    </row>
    <row r="2655" customFormat="false" ht="15.65" hidden="false" customHeight="true" outlineLevel="0" collapsed="false">
      <c r="A2655" s="5" t="str">
        <f aca="false">HYPERLINK("https://www.fabsurplus.com/sdi_catalog/salesItemDetails.do?id=84093")</f>
        <v>https://www.fabsurplus.com/sdi_catalog/salesItemDetails.do?id=84093</v>
      </c>
      <c r="B2655" s="5" t="s">
        <v>7494</v>
      </c>
      <c r="C2655" s="5" t="s">
        <v>7433</v>
      </c>
      <c r="D2655" s="5" t="s">
        <v>7495</v>
      </c>
      <c r="E2655" s="5" t="s">
        <v>7496</v>
      </c>
      <c r="F2655" s="5" t="s">
        <v>16</v>
      </c>
      <c r="G2655" s="5" t="s">
        <v>104</v>
      </c>
      <c r="H2655" s="5" t="s">
        <v>32</v>
      </c>
      <c r="I2655" s="5"/>
      <c r="J2655" s="5" t="s">
        <v>19</v>
      </c>
      <c r="K2655" s="5" t="s">
        <v>20</v>
      </c>
      <c r="L2655" s="7" t="s">
        <v>7497</v>
      </c>
    </row>
    <row r="2656" customFormat="false" ht="15.65" hidden="false" customHeight="true" outlineLevel="0" collapsed="false">
      <c r="A2656" s="2" t="str">
        <f aca="false">HYPERLINK("https://www.fabsurplus.com/sdi_catalog/salesItemDetails.do?id=31613")</f>
        <v>https://www.fabsurplus.com/sdi_catalog/salesItemDetails.do?id=31613</v>
      </c>
      <c r="B2656" s="2" t="s">
        <v>7498</v>
      </c>
      <c r="C2656" s="2" t="s">
        <v>7383</v>
      </c>
      <c r="D2656" s="2" t="s">
        <v>7004</v>
      </c>
      <c r="E2656" s="2" t="s">
        <v>7499</v>
      </c>
      <c r="F2656" s="2" t="s">
        <v>145</v>
      </c>
      <c r="G2656" s="2" t="s">
        <v>97</v>
      </c>
      <c r="H2656" s="2" t="s">
        <v>18</v>
      </c>
      <c r="I2656" s="2"/>
      <c r="J2656" s="2" t="s">
        <v>19</v>
      </c>
      <c r="K2656" s="2" t="s">
        <v>20</v>
      </c>
      <c r="L2656" s="2"/>
    </row>
    <row r="2657" customFormat="false" ht="15.65" hidden="false" customHeight="true" outlineLevel="0" collapsed="false">
      <c r="A2657" s="5" t="str">
        <f aca="false">HYPERLINK("https://www.fabsurplus.com/sdi_catalog/salesItemDetails.do?id=109191")</f>
        <v>https://www.fabsurplus.com/sdi_catalog/salesItemDetails.do?id=109191</v>
      </c>
      <c r="B2657" s="5" t="s">
        <v>7500</v>
      </c>
      <c r="C2657" s="5" t="s">
        <v>7383</v>
      </c>
      <c r="D2657" s="5" t="s">
        <v>7501</v>
      </c>
      <c r="E2657" s="5" t="s">
        <v>7502</v>
      </c>
      <c r="F2657" s="5" t="s">
        <v>16</v>
      </c>
      <c r="G2657" s="5" t="s">
        <v>84</v>
      </c>
      <c r="H2657" s="5"/>
      <c r="I2657" s="5"/>
      <c r="J2657" s="5" t="s">
        <v>19</v>
      </c>
      <c r="K2657" s="5"/>
      <c r="L2657" s="5"/>
    </row>
    <row r="2658" customFormat="false" ht="15.65" hidden="false" customHeight="true" outlineLevel="0" collapsed="false">
      <c r="A2658" s="2" t="str">
        <f aca="false">HYPERLINK("https://www.fabsurplus.com/sdi_catalog/salesItemDetails.do?id=109192")</f>
        <v>https://www.fabsurplus.com/sdi_catalog/salesItemDetails.do?id=109192</v>
      </c>
      <c r="B2658" s="2" t="s">
        <v>7503</v>
      </c>
      <c r="C2658" s="2" t="s">
        <v>7383</v>
      </c>
      <c r="D2658" s="2" t="s">
        <v>7501</v>
      </c>
      <c r="E2658" s="2" t="s">
        <v>7502</v>
      </c>
      <c r="F2658" s="2" t="s">
        <v>16</v>
      </c>
      <c r="G2658" s="2" t="s">
        <v>84</v>
      </c>
      <c r="H2658" s="2"/>
      <c r="I2658" s="2"/>
      <c r="J2658" s="2" t="s">
        <v>19</v>
      </c>
      <c r="K2658" s="2"/>
      <c r="L2658" s="2"/>
    </row>
    <row r="2659" customFormat="false" ht="15.65" hidden="false" customHeight="true" outlineLevel="0" collapsed="false">
      <c r="A2659" s="5" t="str">
        <f aca="false">HYPERLINK("https://www.fabsurplus.com/sdi_catalog/salesItemDetails.do?id=109193")</f>
        <v>https://www.fabsurplus.com/sdi_catalog/salesItemDetails.do?id=109193</v>
      </c>
      <c r="B2659" s="5" t="s">
        <v>7504</v>
      </c>
      <c r="C2659" s="5" t="s">
        <v>7383</v>
      </c>
      <c r="D2659" s="5" t="s">
        <v>7505</v>
      </c>
      <c r="E2659" s="5" t="s">
        <v>7506</v>
      </c>
      <c r="F2659" s="5" t="s">
        <v>16</v>
      </c>
      <c r="G2659" s="5" t="s">
        <v>84</v>
      </c>
      <c r="H2659" s="5"/>
      <c r="I2659" s="5"/>
      <c r="J2659" s="5" t="s">
        <v>19</v>
      </c>
      <c r="K2659" s="5"/>
      <c r="L2659" s="5"/>
    </row>
    <row r="2660" customFormat="false" ht="15.65" hidden="false" customHeight="true" outlineLevel="0" collapsed="false">
      <c r="A2660" s="2" t="str">
        <f aca="false">HYPERLINK("https://www.fabsurplus.com/sdi_catalog/salesItemDetails.do?id=105866")</f>
        <v>https://www.fabsurplus.com/sdi_catalog/salesItemDetails.do?id=105866</v>
      </c>
      <c r="B2660" s="2" t="s">
        <v>7507</v>
      </c>
      <c r="C2660" s="2" t="s">
        <v>7383</v>
      </c>
      <c r="D2660" s="2" t="s">
        <v>7508</v>
      </c>
      <c r="E2660" s="2" t="s">
        <v>6883</v>
      </c>
      <c r="F2660" s="2" t="s">
        <v>16</v>
      </c>
      <c r="G2660" s="2"/>
      <c r="H2660" s="2" t="s">
        <v>32</v>
      </c>
      <c r="I2660" s="2"/>
      <c r="J2660" s="2" t="s">
        <v>19</v>
      </c>
      <c r="K2660" s="2" t="s">
        <v>20</v>
      </c>
      <c r="L2660" s="2" t="s">
        <v>7509</v>
      </c>
    </row>
    <row r="2661" customFormat="false" ht="15.65" hidden="false" customHeight="true" outlineLevel="0" collapsed="false">
      <c r="A2661" s="5" t="str">
        <f aca="false">HYPERLINK("https://www.fabsurplus.com/sdi_catalog/salesItemDetails.do?id=109194")</f>
        <v>https://www.fabsurplus.com/sdi_catalog/salesItemDetails.do?id=109194</v>
      </c>
      <c r="B2661" s="5" t="s">
        <v>7510</v>
      </c>
      <c r="C2661" s="5" t="s">
        <v>7383</v>
      </c>
      <c r="D2661" s="5" t="s">
        <v>7511</v>
      </c>
      <c r="E2661" s="5" t="s">
        <v>1883</v>
      </c>
      <c r="F2661" s="5" t="s">
        <v>16</v>
      </c>
      <c r="G2661" s="5" t="s">
        <v>84</v>
      </c>
      <c r="H2661" s="5"/>
      <c r="I2661" s="5"/>
      <c r="J2661" s="5" t="s">
        <v>19</v>
      </c>
      <c r="K2661" s="5"/>
      <c r="L2661" s="5"/>
    </row>
    <row r="2662" customFormat="false" ht="15.65" hidden="false" customHeight="true" outlineLevel="0" collapsed="false">
      <c r="A2662" s="2" t="str">
        <f aca="false">HYPERLINK("https://www.fabsurplus.com/sdi_catalog/salesItemDetails.do?id=109195")</f>
        <v>https://www.fabsurplus.com/sdi_catalog/salesItemDetails.do?id=109195</v>
      </c>
      <c r="B2662" s="2" t="s">
        <v>7512</v>
      </c>
      <c r="C2662" s="2" t="s">
        <v>7383</v>
      </c>
      <c r="D2662" s="2" t="s">
        <v>7513</v>
      </c>
      <c r="E2662" s="2" t="s">
        <v>7067</v>
      </c>
      <c r="F2662" s="2" t="s">
        <v>16</v>
      </c>
      <c r="G2662" s="2" t="s">
        <v>84</v>
      </c>
      <c r="H2662" s="2"/>
      <c r="I2662" s="2"/>
      <c r="J2662" s="2" t="s">
        <v>19</v>
      </c>
      <c r="K2662" s="2"/>
      <c r="L2662" s="2"/>
    </row>
    <row r="2663" customFormat="false" ht="15.65" hidden="false" customHeight="true" outlineLevel="0" collapsed="false">
      <c r="A2663" s="5" t="str">
        <f aca="false">HYPERLINK("https://www.fabsurplus.com/sdi_catalog/salesItemDetails.do?id=109196")</f>
        <v>https://www.fabsurplus.com/sdi_catalog/salesItemDetails.do?id=109196</v>
      </c>
      <c r="B2663" s="5" t="s">
        <v>7514</v>
      </c>
      <c r="C2663" s="5" t="s">
        <v>7383</v>
      </c>
      <c r="D2663" s="5" t="s">
        <v>7515</v>
      </c>
      <c r="E2663" s="5" t="s">
        <v>1883</v>
      </c>
      <c r="F2663" s="5" t="s">
        <v>16</v>
      </c>
      <c r="G2663" s="5" t="s">
        <v>84</v>
      </c>
      <c r="H2663" s="5"/>
      <c r="I2663" s="5"/>
      <c r="J2663" s="5" t="s">
        <v>19</v>
      </c>
      <c r="K2663" s="5"/>
      <c r="L2663" s="5"/>
    </row>
    <row r="2664" customFormat="false" ht="15.65" hidden="false" customHeight="true" outlineLevel="0" collapsed="false">
      <c r="A2664" s="2" t="str">
        <f aca="false">HYPERLINK("https://www.fabsurplus.com/sdi_catalog/salesItemDetails.do?id=109197")</f>
        <v>https://www.fabsurplus.com/sdi_catalog/salesItemDetails.do?id=109197</v>
      </c>
      <c r="B2664" s="2" t="s">
        <v>7516</v>
      </c>
      <c r="C2664" s="2" t="s">
        <v>7383</v>
      </c>
      <c r="D2664" s="2" t="s">
        <v>7515</v>
      </c>
      <c r="E2664" s="2" t="s">
        <v>1883</v>
      </c>
      <c r="F2664" s="2" t="s">
        <v>16</v>
      </c>
      <c r="G2664" s="2" t="s">
        <v>84</v>
      </c>
      <c r="H2664" s="2"/>
      <c r="I2664" s="2"/>
      <c r="J2664" s="2" t="s">
        <v>19</v>
      </c>
      <c r="K2664" s="2"/>
      <c r="L2664" s="2"/>
    </row>
    <row r="2665" customFormat="false" ht="15.65" hidden="false" customHeight="true" outlineLevel="0" collapsed="false">
      <c r="A2665" s="5" t="str">
        <f aca="false">HYPERLINK("https://www.fabsurplus.com/sdi_catalog/salesItemDetails.do?id=27790")</f>
        <v>https://www.fabsurplus.com/sdi_catalog/salesItemDetails.do?id=27790</v>
      </c>
      <c r="B2665" s="5" t="s">
        <v>7517</v>
      </c>
      <c r="C2665" s="5" t="s">
        <v>7383</v>
      </c>
      <c r="D2665" s="5" t="s">
        <v>7518</v>
      </c>
      <c r="E2665" s="5" t="s">
        <v>7519</v>
      </c>
      <c r="F2665" s="5" t="s">
        <v>16</v>
      </c>
      <c r="G2665" s="5"/>
      <c r="H2665" s="5" t="s">
        <v>18</v>
      </c>
      <c r="I2665" s="5"/>
      <c r="J2665" s="5" t="s">
        <v>19</v>
      </c>
      <c r="K2665" s="5" t="s">
        <v>20</v>
      </c>
      <c r="L2665" s="7" t="s">
        <v>7520</v>
      </c>
    </row>
    <row r="2666" customFormat="false" ht="15.65" hidden="false" customHeight="true" outlineLevel="0" collapsed="false">
      <c r="A2666" s="2" t="str">
        <f aca="false">HYPERLINK("https://www.fabsurplus.com/sdi_catalog/salesItemDetails.do?id=109198")</f>
        <v>https://www.fabsurplus.com/sdi_catalog/salesItemDetails.do?id=109198</v>
      </c>
      <c r="B2666" s="2" t="s">
        <v>7521</v>
      </c>
      <c r="C2666" s="2" t="s">
        <v>7383</v>
      </c>
      <c r="D2666" s="2" t="s">
        <v>7522</v>
      </c>
      <c r="E2666" s="2" t="s">
        <v>7082</v>
      </c>
      <c r="F2666" s="2" t="s">
        <v>16</v>
      </c>
      <c r="G2666" s="2" t="s">
        <v>84</v>
      </c>
      <c r="H2666" s="2"/>
      <c r="I2666" s="2"/>
      <c r="J2666" s="2" t="s">
        <v>19</v>
      </c>
      <c r="K2666" s="2"/>
      <c r="L2666" s="2"/>
    </row>
    <row r="2667" customFormat="false" ht="15.65" hidden="false" customHeight="true" outlineLevel="0" collapsed="false">
      <c r="A2667" s="5" t="str">
        <f aca="false">HYPERLINK("https://www.fabsurplus.com/sdi_catalog/salesItemDetails.do?id=74643")</f>
        <v>https://www.fabsurplus.com/sdi_catalog/salesItemDetails.do?id=74643</v>
      </c>
      <c r="B2667" s="5" t="s">
        <v>7523</v>
      </c>
      <c r="C2667" s="5" t="s">
        <v>7383</v>
      </c>
      <c r="D2667" s="5" t="s">
        <v>7524</v>
      </c>
      <c r="E2667" s="5" t="s">
        <v>7525</v>
      </c>
      <c r="F2667" s="5" t="s">
        <v>16</v>
      </c>
      <c r="G2667" s="5" t="s">
        <v>97</v>
      </c>
      <c r="H2667" s="5" t="s">
        <v>32</v>
      </c>
      <c r="I2667" s="6" t="n">
        <v>34121</v>
      </c>
      <c r="J2667" s="5" t="s">
        <v>19</v>
      </c>
      <c r="K2667" s="5" t="s">
        <v>20</v>
      </c>
      <c r="L2667" s="5" t="s">
        <v>7526</v>
      </c>
    </row>
    <row r="2668" customFormat="false" ht="15.65" hidden="false" customHeight="true" outlineLevel="0" collapsed="false">
      <c r="A2668" s="2" t="str">
        <f aca="false">HYPERLINK("https://www.fabsurplus.com/sdi_catalog/salesItemDetails.do?id=1691")</f>
        <v>https://www.fabsurplus.com/sdi_catalog/salesItemDetails.do?id=1691</v>
      </c>
      <c r="B2668" s="2" t="s">
        <v>7527</v>
      </c>
      <c r="C2668" s="2" t="s">
        <v>7433</v>
      </c>
      <c r="D2668" s="2" t="s">
        <v>7528</v>
      </c>
      <c r="E2668" s="2" t="s">
        <v>7529</v>
      </c>
      <c r="F2668" s="2" t="s">
        <v>16</v>
      </c>
      <c r="G2668" s="2" t="s">
        <v>7530</v>
      </c>
      <c r="H2668" s="2" t="s">
        <v>18</v>
      </c>
      <c r="I2668" s="3" t="n">
        <v>33573</v>
      </c>
      <c r="J2668" s="2" t="s">
        <v>42</v>
      </c>
      <c r="K2668" s="2" t="s">
        <v>20</v>
      </c>
      <c r="L2668" s="4" t="s">
        <v>7531</v>
      </c>
    </row>
    <row r="2669" customFormat="false" ht="15.65" hidden="false" customHeight="true" outlineLevel="0" collapsed="false">
      <c r="A2669" s="5" t="str">
        <f aca="false">HYPERLINK("https://www.fabsurplus.com/sdi_catalog/salesItemDetails.do?id=27806")</f>
        <v>https://www.fabsurplus.com/sdi_catalog/salesItemDetails.do?id=27806</v>
      </c>
      <c r="B2669" s="5" t="s">
        <v>7532</v>
      </c>
      <c r="C2669" s="5" t="s">
        <v>7383</v>
      </c>
      <c r="D2669" s="5" t="s">
        <v>7533</v>
      </c>
      <c r="E2669" s="5" t="s">
        <v>7534</v>
      </c>
      <c r="F2669" s="5" t="s">
        <v>151</v>
      </c>
      <c r="G2669" s="5" t="s">
        <v>104</v>
      </c>
      <c r="H2669" s="5" t="s">
        <v>32</v>
      </c>
      <c r="I2669" s="5"/>
      <c r="J2669" s="5" t="s">
        <v>19</v>
      </c>
      <c r="K2669" s="5" t="s">
        <v>20</v>
      </c>
      <c r="L2669" s="7" t="s">
        <v>7535</v>
      </c>
    </row>
    <row r="2670" customFormat="false" ht="15.65" hidden="false" customHeight="true" outlineLevel="0" collapsed="false">
      <c r="A2670" s="2" t="str">
        <f aca="false">HYPERLINK("https://www.fabsurplus.com/sdi_catalog/salesItemDetails.do?id=21667")</f>
        <v>https://www.fabsurplus.com/sdi_catalog/salesItemDetails.do?id=21667</v>
      </c>
      <c r="B2670" s="2" t="s">
        <v>7536</v>
      </c>
      <c r="C2670" s="2" t="s">
        <v>7383</v>
      </c>
      <c r="D2670" s="2" t="s">
        <v>7537</v>
      </c>
      <c r="E2670" s="2" t="s">
        <v>7538</v>
      </c>
      <c r="F2670" s="2" t="s">
        <v>16</v>
      </c>
      <c r="G2670" s="2" t="s">
        <v>165</v>
      </c>
      <c r="H2670" s="2" t="s">
        <v>32</v>
      </c>
      <c r="I2670" s="3" t="n">
        <v>35826.9583333333</v>
      </c>
      <c r="J2670" s="2" t="s">
        <v>42</v>
      </c>
      <c r="K2670" s="2" t="s">
        <v>20</v>
      </c>
      <c r="L2670" s="2" t="s">
        <v>7539</v>
      </c>
    </row>
    <row r="2671" customFormat="false" ht="15.65" hidden="false" customHeight="true" outlineLevel="0" collapsed="false">
      <c r="A2671" s="5" t="str">
        <f aca="false">HYPERLINK("https://www.fabsurplus.com/sdi_catalog/salesItemDetails.do?id=83621")</f>
        <v>https://www.fabsurplus.com/sdi_catalog/salesItemDetails.do?id=83621</v>
      </c>
      <c r="B2671" s="5" t="s">
        <v>7540</v>
      </c>
      <c r="C2671" s="5" t="s">
        <v>7383</v>
      </c>
      <c r="D2671" s="5" t="s">
        <v>7004</v>
      </c>
      <c r="E2671" s="5" t="s">
        <v>7541</v>
      </c>
      <c r="F2671" s="5" t="s">
        <v>86</v>
      </c>
      <c r="G2671" s="5" t="s">
        <v>7542</v>
      </c>
      <c r="H2671" s="5" t="s">
        <v>1969</v>
      </c>
      <c r="I2671" s="6" t="n">
        <v>35946.9166666667</v>
      </c>
      <c r="J2671" s="5" t="s">
        <v>19</v>
      </c>
      <c r="K2671" s="5" t="s">
        <v>20</v>
      </c>
      <c r="L2671" s="7" t="s">
        <v>7543</v>
      </c>
    </row>
    <row r="2672" customFormat="false" ht="15.65" hidden="false" customHeight="true" outlineLevel="0" collapsed="false">
      <c r="A2672" s="2" t="str">
        <f aca="false">HYPERLINK("https://www.fabsurplus.com/sdi_catalog/salesItemDetails.do?id=83622")</f>
        <v>https://www.fabsurplus.com/sdi_catalog/salesItemDetails.do?id=83622</v>
      </c>
      <c r="B2672" s="2" t="s">
        <v>7544</v>
      </c>
      <c r="C2672" s="2" t="s">
        <v>7383</v>
      </c>
      <c r="D2672" s="2" t="s">
        <v>7004</v>
      </c>
      <c r="E2672" s="2" t="s">
        <v>7545</v>
      </c>
      <c r="F2672" s="2" t="s">
        <v>16</v>
      </c>
      <c r="G2672" s="2" t="s">
        <v>7546</v>
      </c>
      <c r="H2672" s="2" t="s">
        <v>18</v>
      </c>
      <c r="I2672" s="3" t="n">
        <v>36678</v>
      </c>
      <c r="J2672" s="2" t="s">
        <v>19</v>
      </c>
      <c r="K2672" s="2" t="s">
        <v>20</v>
      </c>
      <c r="L2672" s="4" t="s">
        <v>7547</v>
      </c>
    </row>
    <row r="2673" customFormat="false" ht="15.65" hidden="false" customHeight="true" outlineLevel="0" collapsed="false">
      <c r="A2673" s="5" t="str">
        <f aca="false">HYPERLINK("https://www.fabsurplus.com/sdi_catalog/salesItemDetails.do?id=18598")</f>
        <v>https://www.fabsurplus.com/sdi_catalog/salesItemDetails.do?id=18598</v>
      </c>
      <c r="B2673" s="5" t="s">
        <v>7548</v>
      </c>
      <c r="C2673" s="5" t="s">
        <v>7433</v>
      </c>
      <c r="D2673" s="5" t="s">
        <v>7549</v>
      </c>
      <c r="E2673" s="5" t="s">
        <v>7550</v>
      </c>
      <c r="F2673" s="5" t="s">
        <v>16</v>
      </c>
      <c r="G2673" s="5" t="s">
        <v>1293</v>
      </c>
      <c r="H2673" s="5" t="s">
        <v>32</v>
      </c>
      <c r="I2673" s="6" t="n">
        <v>33208</v>
      </c>
      <c r="J2673" s="5" t="s">
        <v>19</v>
      </c>
      <c r="K2673" s="5" t="s">
        <v>20</v>
      </c>
      <c r="L2673" s="7" t="s">
        <v>7551</v>
      </c>
    </row>
    <row r="2674" customFormat="false" ht="15.65" hidden="false" customHeight="true" outlineLevel="0" collapsed="false">
      <c r="A2674" s="2" t="str">
        <f aca="false">HYPERLINK("https://www.fabsurplus.com/sdi_catalog/salesItemDetails.do?id=83623")</f>
        <v>https://www.fabsurplus.com/sdi_catalog/salesItemDetails.do?id=83623</v>
      </c>
      <c r="B2674" s="2" t="s">
        <v>7552</v>
      </c>
      <c r="C2674" s="2" t="s">
        <v>7383</v>
      </c>
      <c r="D2674" s="2" t="s">
        <v>7004</v>
      </c>
      <c r="E2674" s="2" t="s">
        <v>7545</v>
      </c>
      <c r="F2674" s="2" t="s">
        <v>16</v>
      </c>
      <c r="G2674" s="2" t="s">
        <v>97</v>
      </c>
      <c r="H2674" s="2" t="s">
        <v>1969</v>
      </c>
      <c r="I2674" s="3" t="n">
        <v>36678</v>
      </c>
      <c r="J2674" s="2" t="s">
        <v>19</v>
      </c>
      <c r="K2674" s="2" t="s">
        <v>20</v>
      </c>
      <c r="L2674" s="4" t="s">
        <v>7553</v>
      </c>
    </row>
    <row r="2675" customFormat="false" ht="15.65" hidden="false" customHeight="true" outlineLevel="0" collapsed="false">
      <c r="A2675" s="5" t="str">
        <f aca="false">HYPERLINK("https://www.fabsurplus.com/sdi_catalog/salesItemDetails.do?id=18599")</f>
        <v>https://www.fabsurplus.com/sdi_catalog/salesItemDetails.do?id=18599</v>
      </c>
      <c r="B2675" s="5" t="s">
        <v>7554</v>
      </c>
      <c r="C2675" s="5" t="s">
        <v>7383</v>
      </c>
      <c r="D2675" s="5" t="s">
        <v>7555</v>
      </c>
      <c r="E2675" s="5" t="s">
        <v>7556</v>
      </c>
      <c r="F2675" s="5" t="s">
        <v>16</v>
      </c>
      <c r="G2675" s="5" t="s">
        <v>165</v>
      </c>
      <c r="H2675" s="5" t="s">
        <v>18</v>
      </c>
      <c r="I2675" s="6" t="n">
        <v>33755.9166666667</v>
      </c>
      <c r="J2675" s="5" t="s">
        <v>19</v>
      </c>
      <c r="K2675" s="5" t="s">
        <v>20</v>
      </c>
      <c r="L2675" s="5" t="s">
        <v>7557</v>
      </c>
    </row>
    <row r="2676" customFormat="false" ht="15.65" hidden="false" customHeight="true" outlineLevel="0" collapsed="false">
      <c r="A2676" s="2" t="str">
        <f aca="false">HYPERLINK("https://www.fabsurplus.com/sdi_catalog/salesItemDetails.do?id=18600")</f>
        <v>https://www.fabsurplus.com/sdi_catalog/salesItemDetails.do?id=18600</v>
      </c>
      <c r="B2676" s="2" t="s">
        <v>7558</v>
      </c>
      <c r="C2676" s="2" t="s">
        <v>7383</v>
      </c>
      <c r="D2676" s="2" t="s">
        <v>7555</v>
      </c>
      <c r="E2676" s="2" t="s">
        <v>7559</v>
      </c>
      <c r="F2676" s="2" t="s">
        <v>16</v>
      </c>
      <c r="G2676" s="2" t="s">
        <v>104</v>
      </c>
      <c r="H2676" s="2" t="s">
        <v>18</v>
      </c>
      <c r="I2676" s="3" t="n">
        <v>33755.9166666667</v>
      </c>
      <c r="J2676" s="2" t="s">
        <v>19</v>
      </c>
      <c r="K2676" s="2" t="s">
        <v>20</v>
      </c>
      <c r="L2676" s="2" t="s">
        <v>7557</v>
      </c>
    </row>
    <row r="2677" customFormat="false" ht="15.65" hidden="false" customHeight="true" outlineLevel="0" collapsed="false">
      <c r="A2677" s="5" t="str">
        <f aca="false">HYPERLINK("https://www.fabsurplus.com/sdi_catalog/salesItemDetails.do?id=18602")</f>
        <v>https://www.fabsurplus.com/sdi_catalog/salesItemDetails.do?id=18602</v>
      </c>
      <c r="B2677" s="5" t="s">
        <v>7560</v>
      </c>
      <c r="C2677" s="5" t="s">
        <v>7383</v>
      </c>
      <c r="D2677" s="5" t="s">
        <v>7561</v>
      </c>
      <c r="E2677" s="5" t="s">
        <v>7562</v>
      </c>
      <c r="F2677" s="5" t="s">
        <v>16</v>
      </c>
      <c r="G2677" s="5" t="s">
        <v>104</v>
      </c>
      <c r="H2677" s="5" t="s">
        <v>32</v>
      </c>
      <c r="I2677" s="6" t="n">
        <v>33755.9166666667</v>
      </c>
      <c r="J2677" s="5" t="s">
        <v>19</v>
      </c>
      <c r="K2677" s="5" t="s">
        <v>20</v>
      </c>
      <c r="L2677" s="5" t="s">
        <v>7563</v>
      </c>
    </row>
    <row r="2678" customFormat="false" ht="15.65" hidden="false" customHeight="true" outlineLevel="0" collapsed="false">
      <c r="A2678" s="2" t="str">
        <f aca="false">HYPERLINK("https://www.fabsurplus.com/sdi_catalog/salesItemDetails.do?id=18603")</f>
        <v>https://www.fabsurplus.com/sdi_catalog/salesItemDetails.do?id=18603</v>
      </c>
      <c r="B2678" s="2" t="s">
        <v>7564</v>
      </c>
      <c r="C2678" s="2" t="s">
        <v>7383</v>
      </c>
      <c r="D2678" s="2" t="s">
        <v>7565</v>
      </c>
      <c r="E2678" s="2" t="s">
        <v>7566</v>
      </c>
      <c r="F2678" s="2" t="s">
        <v>16</v>
      </c>
      <c r="G2678" s="2" t="s">
        <v>104</v>
      </c>
      <c r="H2678" s="2" t="s">
        <v>32</v>
      </c>
      <c r="I2678" s="3" t="n">
        <v>33755.9166666667</v>
      </c>
      <c r="J2678" s="2" t="s">
        <v>19</v>
      </c>
      <c r="K2678" s="2" t="s">
        <v>20</v>
      </c>
      <c r="L2678" s="2" t="s">
        <v>7563</v>
      </c>
    </row>
    <row r="2679" customFormat="false" ht="15.65" hidden="false" customHeight="true" outlineLevel="0" collapsed="false">
      <c r="A2679" s="5" t="str">
        <f aca="false">HYPERLINK("https://www.fabsurplus.com/sdi_catalog/salesItemDetails.do?id=18604")</f>
        <v>https://www.fabsurplus.com/sdi_catalog/salesItemDetails.do?id=18604</v>
      </c>
      <c r="B2679" s="5" t="s">
        <v>7567</v>
      </c>
      <c r="C2679" s="5" t="s">
        <v>7383</v>
      </c>
      <c r="D2679" s="5" t="s">
        <v>7568</v>
      </c>
      <c r="E2679" s="5" t="s">
        <v>7559</v>
      </c>
      <c r="F2679" s="5" t="s">
        <v>16</v>
      </c>
      <c r="G2679" s="5" t="s">
        <v>104</v>
      </c>
      <c r="H2679" s="5" t="s">
        <v>32</v>
      </c>
      <c r="I2679" s="6" t="n">
        <v>33755.9166666667</v>
      </c>
      <c r="J2679" s="5" t="s">
        <v>19</v>
      </c>
      <c r="K2679" s="5" t="s">
        <v>20</v>
      </c>
      <c r="L2679" s="5" t="s">
        <v>7563</v>
      </c>
    </row>
    <row r="2680" customFormat="false" ht="15.65" hidden="false" customHeight="true" outlineLevel="0" collapsed="false">
      <c r="A2680" s="2" t="str">
        <f aca="false">HYPERLINK("https://www.fabsurplus.com/sdi_catalog/salesItemDetails.do?id=108716")</f>
        <v>https://www.fabsurplus.com/sdi_catalog/salesItemDetails.do?id=108716</v>
      </c>
      <c r="B2680" s="2" t="s">
        <v>7569</v>
      </c>
      <c r="C2680" s="2" t="s">
        <v>7383</v>
      </c>
      <c r="D2680" s="2" t="s">
        <v>7570</v>
      </c>
      <c r="E2680" s="2" t="s">
        <v>7571</v>
      </c>
      <c r="F2680" s="2" t="s">
        <v>16</v>
      </c>
      <c r="G2680" s="2" t="s">
        <v>7572</v>
      </c>
      <c r="H2680" s="2" t="s">
        <v>32</v>
      </c>
      <c r="I2680" s="3" t="n">
        <v>32813</v>
      </c>
      <c r="J2680" s="2" t="s">
        <v>19</v>
      </c>
      <c r="K2680" s="2" t="s">
        <v>20</v>
      </c>
      <c r="L2680" s="4" t="s">
        <v>7573</v>
      </c>
    </row>
    <row r="2681" customFormat="false" ht="15.65" hidden="false" customHeight="true" outlineLevel="0" collapsed="false">
      <c r="A2681" s="5" t="str">
        <f aca="false">HYPERLINK("https://www.fabsurplus.com/sdi_catalog/salesItemDetails.do?id=18605")</f>
        <v>https://www.fabsurplus.com/sdi_catalog/salesItemDetails.do?id=18605</v>
      </c>
      <c r="B2681" s="5" t="s">
        <v>7574</v>
      </c>
      <c r="C2681" s="5" t="s">
        <v>7383</v>
      </c>
      <c r="D2681" s="5" t="s">
        <v>7575</v>
      </c>
      <c r="E2681" s="5" t="s">
        <v>7576</v>
      </c>
      <c r="F2681" s="5" t="s">
        <v>16</v>
      </c>
      <c r="G2681" s="5" t="s">
        <v>104</v>
      </c>
      <c r="H2681" s="5" t="s">
        <v>32</v>
      </c>
      <c r="I2681" s="6" t="n">
        <v>33755.9166666667</v>
      </c>
      <c r="J2681" s="5" t="s">
        <v>19</v>
      </c>
      <c r="K2681" s="5" t="s">
        <v>20</v>
      </c>
      <c r="L2681" s="5" t="s">
        <v>7563</v>
      </c>
    </row>
    <row r="2682" customFormat="false" ht="15.65" hidden="false" customHeight="true" outlineLevel="0" collapsed="false">
      <c r="A2682" s="2" t="str">
        <f aca="false">HYPERLINK("https://www.fabsurplus.com/sdi_catalog/salesItemDetails.do?id=83630")</f>
        <v>https://www.fabsurplus.com/sdi_catalog/salesItemDetails.do?id=83630</v>
      </c>
      <c r="B2682" s="2" t="s">
        <v>7577</v>
      </c>
      <c r="C2682" s="2" t="s">
        <v>7433</v>
      </c>
      <c r="D2682" s="2" t="s">
        <v>7004</v>
      </c>
      <c r="E2682" s="2" t="s">
        <v>7545</v>
      </c>
      <c r="F2682" s="2" t="s">
        <v>16</v>
      </c>
      <c r="G2682" s="2" t="s">
        <v>97</v>
      </c>
      <c r="H2682" s="2" t="s">
        <v>1969</v>
      </c>
      <c r="I2682" s="3" t="n">
        <v>36861</v>
      </c>
      <c r="J2682" s="2" t="s">
        <v>19</v>
      </c>
      <c r="K2682" s="2" t="s">
        <v>20</v>
      </c>
      <c r="L2682" s="4" t="s">
        <v>7578</v>
      </c>
    </row>
    <row r="2683" customFormat="false" ht="15.65" hidden="false" customHeight="true" outlineLevel="0" collapsed="false">
      <c r="A2683" s="5" t="str">
        <f aca="false">HYPERLINK("https://www.fabsurplus.com/sdi_catalog/salesItemDetails.do?id=18606")</f>
        <v>https://www.fabsurplus.com/sdi_catalog/salesItemDetails.do?id=18606</v>
      </c>
      <c r="B2683" s="5" t="s">
        <v>7579</v>
      </c>
      <c r="C2683" s="5" t="s">
        <v>7383</v>
      </c>
      <c r="D2683" s="5" t="s">
        <v>7580</v>
      </c>
      <c r="E2683" s="5" t="s">
        <v>7581</v>
      </c>
      <c r="F2683" s="5" t="s">
        <v>16</v>
      </c>
      <c r="G2683" s="5" t="s">
        <v>104</v>
      </c>
      <c r="H2683" s="5" t="s">
        <v>32</v>
      </c>
      <c r="I2683" s="6" t="n">
        <v>33755.9166666667</v>
      </c>
      <c r="J2683" s="5" t="s">
        <v>19</v>
      </c>
      <c r="K2683" s="5" t="s">
        <v>20</v>
      </c>
      <c r="L2683" s="5" t="s">
        <v>7563</v>
      </c>
    </row>
    <row r="2684" customFormat="false" ht="15.65" hidden="false" customHeight="true" outlineLevel="0" collapsed="false">
      <c r="A2684" s="2" t="str">
        <f aca="false">HYPERLINK("https://www.fabsurplus.com/sdi_catalog/salesItemDetails.do?id=18607")</f>
        <v>https://www.fabsurplus.com/sdi_catalog/salesItemDetails.do?id=18607</v>
      </c>
      <c r="B2684" s="2" t="s">
        <v>7582</v>
      </c>
      <c r="C2684" s="2" t="s">
        <v>7383</v>
      </c>
      <c r="D2684" s="2" t="s">
        <v>7583</v>
      </c>
      <c r="E2684" s="2" t="s">
        <v>7584</v>
      </c>
      <c r="F2684" s="2" t="s">
        <v>16</v>
      </c>
      <c r="G2684" s="2" t="s">
        <v>104</v>
      </c>
      <c r="H2684" s="2" t="s">
        <v>18</v>
      </c>
      <c r="I2684" s="3" t="n">
        <v>33755.9166666667</v>
      </c>
      <c r="J2684" s="2" t="s">
        <v>19</v>
      </c>
      <c r="K2684" s="2" t="s">
        <v>20</v>
      </c>
      <c r="L2684" s="2" t="s">
        <v>7563</v>
      </c>
    </row>
    <row r="2685" customFormat="false" ht="15.65" hidden="false" customHeight="true" outlineLevel="0" collapsed="false">
      <c r="A2685" s="5" t="str">
        <f aca="false">HYPERLINK("https://www.fabsurplus.com/sdi_catalog/salesItemDetails.do?id=18608")</f>
        <v>https://www.fabsurplus.com/sdi_catalog/salesItemDetails.do?id=18608</v>
      </c>
      <c r="B2685" s="5" t="s">
        <v>7585</v>
      </c>
      <c r="C2685" s="5" t="s">
        <v>7383</v>
      </c>
      <c r="D2685" s="5" t="s">
        <v>7586</v>
      </c>
      <c r="E2685" s="5" t="s">
        <v>7587</v>
      </c>
      <c r="F2685" s="5" t="s">
        <v>16</v>
      </c>
      <c r="G2685" s="5" t="s">
        <v>7588</v>
      </c>
      <c r="H2685" s="5" t="s">
        <v>18</v>
      </c>
      <c r="I2685" s="6" t="n">
        <v>33755.9166666667</v>
      </c>
      <c r="J2685" s="5" t="s">
        <v>19</v>
      </c>
      <c r="K2685" s="5" t="s">
        <v>20</v>
      </c>
      <c r="L2685" s="5" t="s">
        <v>7563</v>
      </c>
    </row>
    <row r="2686" customFormat="false" ht="15.65" hidden="false" customHeight="true" outlineLevel="0" collapsed="false">
      <c r="A2686" s="2" t="str">
        <f aca="false">HYPERLINK("https://www.fabsurplus.com/sdi_catalog/salesItemDetails.do?id=18609")</f>
        <v>https://www.fabsurplus.com/sdi_catalog/salesItemDetails.do?id=18609</v>
      </c>
      <c r="B2686" s="2" t="s">
        <v>7589</v>
      </c>
      <c r="C2686" s="2" t="s">
        <v>7383</v>
      </c>
      <c r="D2686" s="2" t="s">
        <v>7590</v>
      </c>
      <c r="E2686" s="2" t="s">
        <v>7591</v>
      </c>
      <c r="F2686" s="2" t="s">
        <v>16</v>
      </c>
      <c r="G2686" s="2" t="s">
        <v>7592</v>
      </c>
      <c r="H2686" s="2" t="s">
        <v>32</v>
      </c>
      <c r="I2686" s="3" t="n">
        <v>33755.9166666667</v>
      </c>
      <c r="J2686" s="2" t="s">
        <v>19</v>
      </c>
      <c r="K2686" s="2" t="s">
        <v>20</v>
      </c>
      <c r="L2686" s="2" t="s">
        <v>7563</v>
      </c>
    </row>
    <row r="2687" customFormat="false" ht="15.65" hidden="false" customHeight="true" outlineLevel="0" collapsed="false">
      <c r="A2687" s="5" t="str">
        <f aca="false">HYPERLINK("https://www.fabsurplus.com/sdi_catalog/salesItemDetails.do?id=18610")</f>
        <v>https://www.fabsurplus.com/sdi_catalog/salesItemDetails.do?id=18610</v>
      </c>
      <c r="B2687" s="5" t="s">
        <v>7593</v>
      </c>
      <c r="C2687" s="5" t="s">
        <v>7383</v>
      </c>
      <c r="D2687" s="5" t="s">
        <v>7586</v>
      </c>
      <c r="E2687" s="5" t="s">
        <v>7591</v>
      </c>
      <c r="F2687" s="5" t="s">
        <v>16</v>
      </c>
      <c r="G2687" s="5" t="s">
        <v>104</v>
      </c>
      <c r="H2687" s="5" t="s">
        <v>32</v>
      </c>
      <c r="I2687" s="6" t="n">
        <v>33755.9166666667</v>
      </c>
      <c r="J2687" s="5" t="s">
        <v>19</v>
      </c>
      <c r="K2687" s="5" t="s">
        <v>20</v>
      </c>
      <c r="L2687" s="5" t="s">
        <v>7563</v>
      </c>
    </row>
    <row r="2688" customFormat="false" ht="15.65" hidden="false" customHeight="true" outlineLevel="0" collapsed="false">
      <c r="A2688" s="2" t="str">
        <f aca="false">HYPERLINK("https://www.fabsurplus.com/sdi_catalog/salesItemDetails.do?id=18611")</f>
        <v>https://www.fabsurplus.com/sdi_catalog/salesItemDetails.do?id=18611</v>
      </c>
      <c r="B2688" s="2" t="s">
        <v>7594</v>
      </c>
      <c r="C2688" s="2" t="s">
        <v>7383</v>
      </c>
      <c r="D2688" s="2" t="s">
        <v>7595</v>
      </c>
      <c r="E2688" s="2" t="s">
        <v>7591</v>
      </c>
      <c r="F2688" s="2" t="s">
        <v>16</v>
      </c>
      <c r="G2688" s="2" t="s">
        <v>104</v>
      </c>
      <c r="H2688" s="2" t="s">
        <v>18</v>
      </c>
      <c r="I2688" s="3" t="n">
        <v>33725</v>
      </c>
      <c r="J2688" s="2" t="s">
        <v>19</v>
      </c>
      <c r="K2688" s="2" t="s">
        <v>20</v>
      </c>
      <c r="L2688" s="2" t="s">
        <v>7563</v>
      </c>
    </row>
    <row r="2689" customFormat="false" ht="15.65" hidden="false" customHeight="true" outlineLevel="0" collapsed="false">
      <c r="A2689" s="5" t="str">
        <f aca="false">HYPERLINK("https://www.fabsurplus.com/sdi_catalog/salesItemDetails.do?id=18612")</f>
        <v>https://www.fabsurplus.com/sdi_catalog/salesItemDetails.do?id=18612</v>
      </c>
      <c r="B2689" s="5" t="s">
        <v>7596</v>
      </c>
      <c r="C2689" s="5" t="s">
        <v>7383</v>
      </c>
      <c r="D2689" s="5" t="s">
        <v>7597</v>
      </c>
      <c r="E2689" s="5" t="s">
        <v>7598</v>
      </c>
      <c r="F2689" s="5" t="s">
        <v>16</v>
      </c>
      <c r="G2689" s="5" t="s">
        <v>165</v>
      </c>
      <c r="H2689" s="5" t="s">
        <v>32</v>
      </c>
      <c r="I2689" s="6" t="n">
        <v>33755.9166666667</v>
      </c>
      <c r="J2689" s="5" t="s">
        <v>19</v>
      </c>
      <c r="K2689" s="5" t="s">
        <v>20</v>
      </c>
      <c r="L2689" s="5" t="s">
        <v>7563</v>
      </c>
    </row>
    <row r="2690" customFormat="false" ht="15.65" hidden="false" customHeight="true" outlineLevel="0" collapsed="false">
      <c r="A2690" s="2" t="str">
        <f aca="false">HYPERLINK("https://www.fabsurplus.com/sdi_catalog/salesItemDetails.do?id=18871")</f>
        <v>https://www.fabsurplus.com/sdi_catalog/salesItemDetails.do?id=18871</v>
      </c>
      <c r="B2690" s="2" t="s">
        <v>7599</v>
      </c>
      <c r="C2690" s="2" t="s">
        <v>7433</v>
      </c>
      <c r="D2690" s="2" t="s">
        <v>7600</v>
      </c>
      <c r="E2690" s="2" t="s">
        <v>7601</v>
      </c>
      <c r="F2690" s="2" t="s">
        <v>16</v>
      </c>
      <c r="G2690" s="2"/>
      <c r="H2690" s="2"/>
      <c r="I2690" s="2"/>
      <c r="J2690" s="2" t="s">
        <v>19</v>
      </c>
      <c r="K2690" s="2"/>
      <c r="L2690" s="2"/>
    </row>
    <row r="2691" customFormat="false" ht="15.65" hidden="false" customHeight="true" outlineLevel="0" collapsed="false">
      <c r="A2691" s="5" t="str">
        <f aca="false">HYPERLINK("https://www.fabsurplus.com/sdi_catalog/salesItemDetails.do?id=52151")</f>
        <v>https://www.fabsurplus.com/sdi_catalog/salesItemDetails.do?id=52151</v>
      </c>
      <c r="B2691" s="5" t="s">
        <v>7602</v>
      </c>
      <c r="C2691" s="5" t="s">
        <v>7383</v>
      </c>
      <c r="D2691" s="5" t="s">
        <v>7603</v>
      </c>
      <c r="E2691" s="5" t="s">
        <v>6981</v>
      </c>
      <c r="F2691" s="5" t="s">
        <v>16</v>
      </c>
      <c r="G2691" s="5" t="s">
        <v>97</v>
      </c>
      <c r="H2691" s="5" t="s">
        <v>1969</v>
      </c>
      <c r="I2691" s="6" t="n">
        <v>39142</v>
      </c>
      <c r="J2691" s="5" t="s">
        <v>19</v>
      </c>
      <c r="K2691" s="5" t="s">
        <v>20</v>
      </c>
      <c r="L2691" s="5" t="s">
        <v>7604</v>
      </c>
    </row>
    <row r="2692" customFormat="false" ht="15.65" hidden="false" customHeight="true" outlineLevel="0" collapsed="false">
      <c r="A2692" s="2" t="str">
        <f aca="false">HYPERLINK("https://www.fabsurplus.com/sdi_catalog/salesItemDetails.do?id=83896")</f>
        <v>https://www.fabsurplus.com/sdi_catalog/salesItemDetails.do?id=83896</v>
      </c>
      <c r="B2692" s="2" t="s">
        <v>7605</v>
      </c>
      <c r="C2692" s="2" t="s">
        <v>7433</v>
      </c>
      <c r="D2692" s="2" t="s">
        <v>7606</v>
      </c>
      <c r="E2692" s="2" t="s">
        <v>7607</v>
      </c>
      <c r="F2692" s="2" t="s">
        <v>16</v>
      </c>
      <c r="G2692" s="2" t="s">
        <v>165</v>
      </c>
      <c r="H2692" s="2" t="s">
        <v>32</v>
      </c>
      <c r="I2692" s="2"/>
      <c r="J2692" s="2" t="s">
        <v>19</v>
      </c>
      <c r="K2692" s="2" t="s">
        <v>20</v>
      </c>
      <c r="L2692" s="4" t="s">
        <v>7608</v>
      </c>
    </row>
    <row r="2693" customFormat="false" ht="15.65" hidden="false" customHeight="true" outlineLevel="0" collapsed="false">
      <c r="A2693" s="5" t="str">
        <f aca="false">HYPERLINK("https://www.fabsurplus.com/sdi_catalog/salesItemDetails.do?id=18872")</f>
        <v>https://www.fabsurplus.com/sdi_catalog/salesItemDetails.do?id=18872</v>
      </c>
      <c r="B2693" s="5" t="s">
        <v>7609</v>
      </c>
      <c r="C2693" s="5" t="s">
        <v>7433</v>
      </c>
      <c r="D2693" s="5" t="s">
        <v>7610</v>
      </c>
      <c r="E2693" s="5" t="s">
        <v>7611</v>
      </c>
      <c r="F2693" s="5" t="s">
        <v>16</v>
      </c>
      <c r="G2693" s="5"/>
      <c r="H2693" s="5"/>
      <c r="I2693" s="5"/>
      <c r="J2693" s="5" t="s">
        <v>19</v>
      </c>
      <c r="K2693" s="5"/>
      <c r="L2693" s="5"/>
    </row>
    <row r="2694" customFormat="false" ht="15.65" hidden="false" customHeight="true" outlineLevel="0" collapsed="false">
      <c r="A2694" s="2" t="str">
        <f aca="false">HYPERLINK("https://www.fabsurplus.com/sdi_catalog/salesItemDetails.do?id=83897")</f>
        <v>https://www.fabsurplus.com/sdi_catalog/salesItemDetails.do?id=83897</v>
      </c>
      <c r="B2694" s="2" t="s">
        <v>7612</v>
      </c>
      <c r="C2694" s="2" t="s">
        <v>7383</v>
      </c>
      <c r="D2694" s="2" t="s">
        <v>7258</v>
      </c>
      <c r="E2694" s="2" t="s">
        <v>7613</v>
      </c>
      <c r="F2694" s="2" t="s">
        <v>16</v>
      </c>
      <c r="G2694" s="2" t="s">
        <v>165</v>
      </c>
      <c r="H2694" s="2" t="s">
        <v>18</v>
      </c>
      <c r="I2694" s="3" t="n">
        <v>34912</v>
      </c>
      <c r="J2694" s="2" t="s">
        <v>19</v>
      </c>
      <c r="K2694" s="2" t="s">
        <v>20</v>
      </c>
      <c r="L2694" s="4" t="s">
        <v>7614</v>
      </c>
    </row>
    <row r="2695" customFormat="false" ht="15.65" hidden="false" customHeight="true" outlineLevel="0" collapsed="false">
      <c r="A2695" s="5" t="str">
        <f aca="false">HYPERLINK("https://www.fabsurplus.com/sdi_catalog/salesItemDetails.do?id=18873")</f>
        <v>https://www.fabsurplus.com/sdi_catalog/salesItemDetails.do?id=18873</v>
      </c>
      <c r="B2695" s="5" t="s">
        <v>7615</v>
      </c>
      <c r="C2695" s="5" t="s">
        <v>7433</v>
      </c>
      <c r="D2695" s="5" t="s">
        <v>7616</v>
      </c>
      <c r="E2695" s="5" t="s">
        <v>7617</v>
      </c>
      <c r="F2695" s="5" t="s">
        <v>16</v>
      </c>
      <c r="G2695" s="5"/>
      <c r="H2695" s="5"/>
      <c r="I2695" s="5"/>
      <c r="J2695" s="5" t="s">
        <v>19</v>
      </c>
      <c r="K2695" s="5"/>
      <c r="L2695" s="5"/>
    </row>
    <row r="2696" customFormat="false" ht="15.65" hidden="false" customHeight="true" outlineLevel="0" collapsed="false">
      <c r="A2696" s="2" t="str">
        <f aca="false">HYPERLINK("https://www.fabsurplus.com/sdi_catalog/salesItemDetails.do?id=84409")</f>
        <v>https://www.fabsurplus.com/sdi_catalog/salesItemDetails.do?id=84409</v>
      </c>
      <c r="B2696" s="2" t="s">
        <v>7618</v>
      </c>
      <c r="C2696" s="2" t="s">
        <v>7383</v>
      </c>
      <c r="D2696" s="2" t="s">
        <v>7619</v>
      </c>
      <c r="E2696" s="2" t="s">
        <v>7619</v>
      </c>
      <c r="F2696" s="2" t="s">
        <v>16</v>
      </c>
      <c r="G2696" s="2" t="s">
        <v>165</v>
      </c>
      <c r="H2696" s="2" t="s">
        <v>18</v>
      </c>
      <c r="I2696" s="2"/>
      <c r="J2696" s="2" t="s">
        <v>19</v>
      </c>
      <c r="K2696" s="2" t="s">
        <v>20</v>
      </c>
      <c r="L2696" s="2" t="s">
        <v>7620</v>
      </c>
    </row>
    <row r="2697" customFormat="false" ht="15.65" hidden="false" customHeight="true" outlineLevel="0" collapsed="false">
      <c r="A2697" s="5" t="str">
        <f aca="false">HYPERLINK("https://www.fabsurplus.com/sdi_catalog/salesItemDetails.do?id=18874")</f>
        <v>https://www.fabsurplus.com/sdi_catalog/salesItemDetails.do?id=18874</v>
      </c>
      <c r="B2697" s="5" t="s">
        <v>7621</v>
      </c>
      <c r="C2697" s="5" t="s">
        <v>7433</v>
      </c>
      <c r="D2697" s="5" t="s">
        <v>7622</v>
      </c>
      <c r="E2697" s="5" t="s">
        <v>7623</v>
      </c>
      <c r="F2697" s="5" t="s">
        <v>16</v>
      </c>
      <c r="G2697" s="5"/>
      <c r="H2697" s="5"/>
      <c r="I2697" s="5"/>
      <c r="J2697" s="5" t="s">
        <v>19</v>
      </c>
      <c r="K2697" s="5"/>
      <c r="L2697" s="5"/>
    </row>
    <row r="2698" customFormat="false" ht="15.65" hidden="false" customHeight="true" outlineLevel="0" collapsed="false">
      <c r="A2698" s="2" t="str">
        <f aca="false">HYPERLINK("https://www.fabsurplus.com/sdi_catalog/salesItemDetails.do?id=84410")</f>
        <v>https://www.fabsurplus.com/sdi_catalog/salesItemDetails.do?id=84410</v>
      </c>
      <c r="B2698" s="2" t="s">
        <v>7624</v>
      </c>
      <c r="C2698" s="2" t="s">
        <v>7433</v>
      </c>
      <c r="D2698" s="2" t="s">
        <v>7271</v>
      </c>
      <c r="E2698" s="2" t="s">
        <v>7625</v>
      </c>
      <c r="F2698" s="2" t="s">
        <v>16</v>
      </c>
      <c r="G2698" s="2" t="s">
        <v>165</v>
      </c>
      <c r="H2698" s="2" t="s">
        <v>18</v>
      </c>
      <c r="I2698" s="2"/>
      <c r="J2698" s="2" t="s">
        <v>19</v>
      </c>
      <c r="K2698" s="2" t="s">
        <v>20</v>
      </c>
      <c r="L2698" s="4" t="s">
        <v>7626</v>
      </c>
    </row>
    <row r="2699" customFormat="false" ht="15.65" hidden="false" customHeight="true" outlineLevel="0" collapsed="false">
      <c r="A2699" s="5" t="str">
        <f aca="false">HYPERLINK("https://www.fabsurplus.com/sdi_catalog/salesItemDetails.do?id=83643")</f>
        <v>https://www.fabsurplus.com/sdi_catalog/salesItemDetails.do?id=83643</v>
      </c>
      <c r="B2699" s="5" t="s">
        <v>7627</v>
      </c>
      <c r="C2699" s="5" t="s">
        <v>7383</v>
      </c>
      <c r="D2699" s="5"/>
      <c r="E2699" s="5" t="s">
        <v>7628</v>
      </c>
      <c r="F2699" s="5" t="s">
        <v>151</v>
      </c>
      <c r="G2699" s="5" t="s">
        <v>165</v>
      </c>
      <c r="H2699" s="5" t="s">
        <v>18</v>
      </c>
      <c r="I2699" s="5"/>
      <c r="J2699" s="5" t="s">
        <v>19</v>
      </c>
      <c r="K2699" s="5" t="s">
        <v>20</v>
      </c>
      <c r="L2699" s="5" t="s">
        <v>7629</v>
      </c>
    </row>
    <row r="2700" customFormat="false" ht="15.65" hidden="false" customHeight="true" outlineLevel="0" collapsed="false">
      <c r="A2700" s="2" t="str">
        <f aca="false">HYPERLINK("https://www.fabsurplus.com/sdi_catalog/salesItemDetails.do?id=18875")</f>
        <v>https://www.fabsurplus.com/sdi_catalog/salesItemDetails.do?id=18875</v>
      </c>
      <c r="B2700" s="2" t="s">
        <v>7630</v>
      </c>
      <c r="C2700" s="2" t="s">
        <v>7433</v>
      </c>
      <c r="D2700" s="2" t="s">
        <v>7631</v>
      </c>
      <c r="E2700" s="2" t="s">
        <v>7632</v>
      </c>
      <c r="F2700" s="2" t="s">
        <v>16</v>
      </c>
      <c r="G2700" s="2"/>
      <c r="H2700" s="2"/>
      <c r="I2700" s="2"/>
      <c r="J2700" s="2" t="s">
        <v>19</v>
      </c>
      <c r="K2700" s="2"/>
      <c r="L2700" s="2"/>
    </row>
    <row r="2701" customFormat="false" ht="15.65" hidden="false" customHeight="true" outlineLevel="0" collapsed="false">
      <c r="A2701" s="5" t="str">
        <f aca="false">HYPERLINK("https://www.fabsurplus.com/sdi_catalog/salesItemDetails.do?id=18876")</f>
        <v>https://www.fabsurplus.com/sdi_catalog/salesItemDetails.do?id=18876</v>
      </c>
      <c r="B2701" s="5" t="s">
        <v>7633</v>
      </c>
      <c r="C2701" s="5" t="s">
        <v>7433</v>
      </c>
      <c r="D2701" s="5" t="s">
        <v>7634</v>
      </c>
      <c r="E2701" s="5" t="s">
        <v>7635</v>
      </c>
      <c r="F2701" s="5" t="s">
        <v>16</v>
      </c>
      <c r="G2701" s="5"/>
      <c r="H2701" s="5"/>
      <c r="I2701" s="5"/>
      <c r="J2701" s="5" t="s">
        <v>19</v>
      </c>
      <c r="K2701" s="5"/>
      <c r="L2701" s="5"/>
    </row>
    <row r="2702" customFormat="false" ht="15.65" hidden="false" customHeight="true" outlineLevel="0" collapsed="false">
      <c r="A2702" s="2" t="str">
        <f aca="false">HYPERLINK("https://www.fabsurplus.com/sdi_catalog/salesItemDetails.do?id=83645")</f>
        <v>https://www.fabsurplus.com/sdi_catalog/salesItemDetails.do?id=83645</v>
      </c>
      <c r="B2702" s="2" t="s">
        <v>7636</v>
      </c>
      <c r="C2702" s="2" t="s">
        <v>7383</v>
      </c>
      <c r="D2702" s="2" t="s">
        <v>7637</v>
      </c>
      <c r="E2702" s="2" t="s">
        <v>7638</v>
      </c>
      <c r="F2702" s="2" t="s">
        <v>16</v>
      </c>
      <c r="G2702" s="2" t="s">
        <v>104</v>
      </c>
      <c r="H2702" s="2" t="s">
        <v>32</v>
      </c>
      <c r="I2702" s="3" t="n">
        <v>33756</v>
      </c>
      <c r="J2702" s="2" t="s">
        <v>19</v>
      </c>
      <c r="K2702" s="2" t="s">
        <v>20</v>
      </c>
      <c r="L2702" s="4" t="s">
        <v>7639</v>
      </c>
    </row>
    <row r="2703" customFormat="false" ht="15.65" hidden="false" customHeight="true" outlineLevel="0" collapsed="false">
      <c r="A2703" s="5" t="str">
        <f aca="false">HYPERLINK("https://www.fabsurplus.com/sdi_catalog/salesItemDetails.do?id=83901")</f>
        <v>https://www.fabsurplus.com/sdi_catalog/salesItemDetails.do?id=83901</v>
      </c>
      <c r="B2703" s="5" t="s">
        <v>7640</v>
      </c>
      <c r="C2703" s="5" t="s">
        <v>7383</v>
      </c>
      <c r="D2703" s="5" t="s">
        <v>7641</v>
      </c>
      <c r="E2703" s="5" t="s">
        <v>7642</v>
      </c>
      <c r="F2703" s="5" t="s">
        <v>16</v>
      </c>
      <c r="G2703" s="5" t="s">
        <v>165</v>
      </c>
      <c r="H2703" s="5" t="s">
        <v>18</v>
      </c>
      <c r="I2703" s="5"/>
      <c r="J2703" s="5" t="s">
        <v>19</v>
      </c>
      <c r="K2703" s="5" t="s">
        <v>20</v>
      </c>
      <c r="L2703" s="7" t="s">
        <v>7643</v>
      </c>
    </row>
    <row r="2704" customFormat="false" ht="15.65" hidden="false" customHeight="true" outlineLevel="0" collapsed="false">
      <c r="A2704" s="2" t="str">
        <f aca="false">HYPERLINK("https://www.fabsurplus.com/sdi_catalog/salesItemDetails.do?id=83902")</f>
        <v>https://www.fabsurplus.com/sdi_catalog/salesItemDetails.do?id=83902</v>
      </c>
      <c r="B2704" s="2" t="s">
        <v>7644</v>
      </c>
      <c r="C2704" s="2" t="s">
        <v>7383</v>
      </c>
      <c r="D2704" s="2" t="s">
        <v>7395</v>
      </c>
      <c r="E2704" s="2" t="s">
        <v>7645</v>
      </c>
      <c r="F2704" s="2" t="s">
        <v>16</v>
      </c>
      <c r="G2704" s="2" t="s">
        <v>104</v>
      </c>
      <c r="H2704" s="2" t="s">
        <v>32</v>
      </c>
      <c r="I2704" s="2"/>
      <c r="J2704" s="2" t="s">
        <v>19</v>
      </c>
      <c r="K2704" s="2" t="s">
        <v>20</v>
      </c>
      <c r="L2704" s="4" t="s">
        <v>7646</v>
      </c>
    </row>
    <row r="2705" customFormat="false" ht="15.65" hidden="false" customHeight="true" outlineLevel="0" collapsed="false">
      <c r="A2705" s="5" t="str">
        <f aca="false">HYPERLINK("https://www.fabsurplus.com/sdi_catalog/salesItemDetails.do?id=18622")</f>
        <v>https://www.fabsurplus.com/sdi_catalog/salesItemDetails.do?id=18622</v>
      </c>
      <c r="B2705" s="5" t="s">
        <v>7647</v>
      </c>
      <c r="C2705" s="5" t="s">
        <v>7383</v>
      </c>
      <c r="D2705" s="5" t="s">
        <v>7648</v>
      </c>
      <c r="E2705" s="5" t="s">
        <v>7562</v>
      </c>
      <c r="F2705" s="5" t="s">
        <v>16</v>
      </c>
      <c r="G2705" s="5" t="s">
        <v>104</v>
      </c>
      <c r="H2705" s="5" t="s">
        <v>32</v>
      </c>
      <c r="I2705" s="6" t="n">
        <v>33755.9166666667</v>
      </c>
      <c r="J2705" s="5" t="s">
        <v>19</v>
      </c>
      <c r="K2705" s="5" t="s">
        <v>20</v>
      </c>
      <c r="L2705" s="5" t="s">
        <v>7563</v>
      </c>
    </row>
    <row r="2706" customFormat="false" ht="15.65" hidden="false" customHeight="true" outlineLevel="0" collapsed="false">
      <c r="A2706" s="2" t="str">
        <f aca="false">HYPERLINK("https://www.fabsurplus.com/sdi_catalog/salesItemDetails.do?id=103366")</f>
        <v>https://www.fabsurplus.com/sdi_catalog/salesItemDetails.do?id=103366</v>
      </c>
      <c r="B2706" s="2" t="s">
        <v>7649</v>
      </c>
      <c r="C2706" s="2" t="s">
        <v>7433</v>
      </c>
      <c r="D2706" s="2" t="s">
        <v>7258</v>
      </c>
      <c r="E2706" s="2" t="s">
        <v>7650</v>
      </c>
      <c r="F2706" s="2" t="s">
        <v>16</v>
      </c>
      <c r="G2706" s="2" t="s">
        <v>104</v>
      </c>
      <c r="H2706" s="2" t="s">
        <v>18</v>
      </c>
      <c r="I2706" s="3" t="n">
        <v>34120.9166666667</v>
      </c>
      <c r="J2706" s="2" t="s">
        <v>19</v>
      </c>
      <c r="K2706" s="2" t="s">
        <v>20</v>
      </c>
      <c r="L2706" s="4" t="s">
        <v>7651</v>
      </c>
    </row>
    <row r="2707" customFormat="false" ht="15.65" hidden="false" customHeight="true" outlineLevel="0" collapsed="false">
      <c r="A2707" s="5" t="str">
        <f aca="false">HYPERLINK("https://www.fabsurplus.com/sdi_catalog/salesItemDetails.do?id=18632")</f>
        <v>https://www.fabsurplus.com/sdi_catalog/salesItemDetails.do?id=18632</v>
      </c>
      <c r="B2707" s="5" t="s">
        <v>7652</v>
      </c>
      <c r="C2707" s="5" t="s">
        <v>7383</v>
      </c>
      <c r="D2707" s="5" t="s">
        <v>7597</v>
      </c>
      <c r="E2707" s="5" t="s">
        <v>7598</v>
      </c>
      <c r="F2707" s="5" t="s">
        <v>16</v>
      </c>
      <c r="G2707" s="5" t="s">
        <v>104</v>
      </c>
      <c r="H2707" s="5" t="s">
        <v>32</v>
      </c>
      <c r="I2707" s="6" t="n">
        <v>33755.9166666667</v>
      </c>
      <c r="J2707" s="5" t="s">
        <v>19</v>
      </c>
      <c r="K2707" s="5" t="s">
        <v>20</v>
      </c>
      <c r="L2707" s="5" t="s">
        <v>7563</v>
      </c>
    </row>
    <row r="2708" customFormat="false" ht="15.65" hidden="false" customHeight="true" outlineLevel="0" collapsed="false">
      <c r="A2708" s="2" t="str">
        <f aca="false">HYPERLINK("https://www.fabsurplus.com/sdi_catalog/salesItemDetails.do?id=18634")</f>
        <v>https://www.fabsurplus.com/sdi_catalog/salesItemDetails.do?id=18634</v>
      </c>
      <c r="B2708" s="2" t="s">
        <v>7653</v>
      </c>
      <c r="C2708" s="2" t="s">
        <v>7383</v>
      </c>
      <c r="D2708" s="2"/>
      <c r="E2708" s="2" t="s">
        <v>7654</v>
      </c>
      <c r="F2708" s="2" t="s">
        <v>16</v>
      </c>
      <c r="G2708" s="2" t="s">
        <v>7655</v>
      </c>
      <c r="H2708" s="2"/>
      <c r="I2708" s="3" t="n">
        <v>33756</v>
      </c>
      <c r="J2708" s="2" t="s">
        <v>19</v>
      </c>
      <c r="K2708" s="2"/>
      <c r="L2708" s="2" t="s">
        <v>96</v>
      </c>
    </row>
    <row r="2709" customFormat="false" ht="15.65" hidden="false" customHeight="true" outlineLevel="0" collapsed="false">
      <c r="A2709" s="5" t="str">
        <f aca="false">HYPERLINK("https://www.fabsurplus.com/sdi_catalog/salesItemDetails.do?id=18635")</f>
        <v>https://www.fabsurplus.com/sdi_catalog/salesItemDetails.do?id=18635</v>
      </c>
      <c r="B2709" s="5" t="s">
        <v>7656</v>
      </c>
      <c r="C2709" s="5" t="s">
        <v>7383</v>
      </c>
      <c r="D2709" s="5" t="s">
        <v>7657</v>
      </c>
      <c r="E2709" s="5" t="s">
        <v>7658</v>
      </c>
      <c r="F2709" s="5" t="s">
        <v>16</v>
      </c>
      <c r="G2709" s="5" t="s">
        <v>7659</v>
      </c>
      <c r="H2709" s="5"/>
      <c r="I2709" s="6" t="n">
        <v>33756</v>
      </c>
      <c r="J2709" s="5" t="s">
        <v>19</v>
      </c>
      <c r="K2709" s="5"/>
      <c r="L2709" s="5" t="s">
        <v>96</v>
      </c>
    </row>
    <row r="2710" customFormat="false" ht="15.65" hidden="false" customHeight="true" outlineLevel="0" collapsed="false">
      <c r="A2710" s="2" t="str">
        <f aca="false">HYPERLINK("https://www.fabsurplus.com/sdi_catalog/salesItemDetails.do?id=83918")</f>
        <v>https://www.fabsurplus.com/sdi_catalog/salesItemDetails.do?id=83918</v>
      </c>
      <c r="B2710" s="2" t="s">
        <v>7660</v>
      </c>
      <c r="C2710" s="2" t="s">
        <v>7433</v>
      </c>
      <c r="D2710" s="2" t="s">
        <v>7258</v>
      </c>
      <c r="E2710" s="2" t="s">
        <v>7661</v>
      </c>
      <c r="F2710" s="2" t="s">
        <v>16</v>
      </c>
      <c r="G2710" s="2" t="s">
        <v>165</v>
      </c>
      <c r="H2710" s="2" t="s">
        <v>18</v>
      </c>
      <c r="I2710" s="2"/>
      <c r="J2710" s="2" t="s">
        <v>19</v>
      </c>
      <c r="K2710" s="2" t="s">
        <v>20</v>
      </c>
      <c r="L2710" s="4" t="s">
        <v>7662</v>
      </c>
    </row>
    <row r="2711" customFormat="false" ht="15.65" hidden="false" customHeight="true" outlineLevel="0" collapsed="false">
      <c r="A2711" s="5" t="str">
        <f aca="false">HYPERLINK("https://www.fabsurplus.com/sdi_catalog/salesItemDetails.do?id=71632")</f>
        <v>https://www.fabsurplus.com/sdi_catalog/salesItemDetails.do?id=71632</v>
      </c>
      <c r="B2711" s="5" t="s">
        <v>7663</v>
      </c>
      <c r="C2711" s="5" t="s">
        <v>7433</v>
      </c>
      <c r="D2711" s="5" t="s">
        <v>7664</v>
      </c>
      <c r="E2711" s="5" t="s">
        <v>7216</v>
      </c>
      <c r="F2711" s="5" t="s">
        <v>16</v>
      </c>
      <c r="G2711" s="5" t="s">
        <v>38</v>
      </c>
      <c r="H2711" s="5" t="s">
        <v>32</v>
      </c>
      <c r="I2711" s="6" t="n">
        <v>35156</v>
      </c>
      <c r="J2711" s="5" t="s">
        <v>19</v>
      </c>
      <c r="K2711" s="5" t="s">
        <v>20</v>
      </c>
      <c r="L2711" s="7" t="s">
        <v>7665</v>
      </c>
    </row>
    <row r="2712" customFormat="false" ht="15.65" hidden="false" customHeight="true" outlineLevel="0" collapsed="false">
      <c r="A2712" s="2" t="str">
        <f aca="false">HYPERLINK("https://www.fabsurplus.com/sdi_catalog/salesItemDetails.do?id=108760")</f>
        <v>https://www.fabsurplus.com/sdi_catalog/salesItemDetails.do?id=108760</v>
      </c>
      <c r="B2712" s="2" t="s">
        <v>7666</v>
      </c>
      <c r="C2712" s="2" t="s">
        <v>7383</v>
      </c>
      <c r="D2712" s="2" t="s">
        <v>7570</v>
      </c>
      <c r="E2712" s="2" t="s">
        <v>7667</v>
      </c>
      <c r="F2712" s="2" t="s">
        <v>16</v>
      </c>
      <c r="G2712" s="2" t="s">
        <v>7668</v>
      </c>
      <c r="H2712" s="2" t="s">
        <v>32</v>
      </c>
      <c r="I2712" s="3" t="n">
        <v>31533</v>
      </c>
      <c r="J2712" s="2" t="s">
        <v>19</v>
      </c>
      <c r="K2712" s="2" t="s">
        <v>20</v>
      </c>
      <c r="L2712" s="4" t="s">
        <v>7669</v>
      </c>
    </row>
    <row r="2713" customFormat="false" ht="15.65" hidden="false" customHeight="true" outlineLevel="0" collapsed="false">
      <c r="A2713" s="5" t="str">
        <f aca="false">HYPERLINK("https://www.fabsurplus.com/sdi_catalog/salesItemDetails.do?id=83929")</f>
        <v>https://www.fabsurplus.com/sdi_catalog/salesItemDetails.do?id=83929</v>
      </c>
      <c r="B2713" s="5" t="s">
        <v>7670</v>
      </c>
      <c r="C2713" s="5" t="s">
        <v>7433</v>
      </c>
      <c r="D2713" s="5" t="s">
        <v>7671</v>
      </c>
      <c r="E2713" s="5" t="s">
        <v>7672</v>
      </c>
      <c r="F2713" s="5" t="s">
        <v>16</v>
      </c>
      <c r="G2713" s="5" t="s">
        <v>97</v>
      </c>
      <c r="H2713" s="5" t="s">
        <v>18</v>
      </c>
      <c r="I2713" s="6" t="n">
        <v>35946.9166666667</v>
      </c>
      <c r="J2713" s="5" t="s">
        <v>19</v>
      </c>
      <c r="K2713" s="5" t="s">
        <v>20</v>
      </c>
      <c r="L2713" s="7" t="s">
        <v>7673</v>
      </c>
    </row>
    <row r="2714" customFormat="false" ht="15.65" hidden="false" customHeight="true" outlineLevel="0" collapsed="false">
      <c r="A2714" s="2" t="str">
        <f aca="false">HYPERLINK("https://www.fabsurplus.com/sdi_catalog/salesItemDetails.do?id=83930")</f>
        <v>https://www.fabsurplus.com/sdi_catalog/salesItemDetails.do?id=83930</v>
      </c>
      <c r="B2714" s="2" t="s">
        <v>7674</v>
      </c>
      <c r="C2714" s="2" t="s">
        <v>7433</v>
      </c>
      <c r="D2714" s="2" t="s">
        <v>7675</v>
      </c>
      <c r="E2714" s="2" t="s">
        <v>7676</v>
      </c>
      <c r="F2714" s="2" t="s">
        <v>151</v>
      </c>
      <c r="G2714" s="2" t="s">
        <v>165</v>
      </c>
      <c r="H2714" s="2" t="s">
        <v>18</v>
      </c>
      <c r="I2714" s="2"/>
      <c r="J2714" s="2" t="s">
        <v>19</v>
      </c>
      <c r="K2714" s="2" t="s">
        <v>20</v>
      </c>
      <c r="L2714" s="4" t="s">
        <v>7677</v>
      </c>
    </row>
    <row r="2715" customFormat="false" ht="15.65" hidden="false" customHeight="true" outlineLevel="0" collapsed="false">
      <c r="A2715" s="5" t="str">
        <f aca="false">HYPERLINK("https://www.fabsurplus.com/sdi_catalog/salesItemDetails.do?id=83932")</f>
        <v>https://www.fabsurplus.com/sdi_catalog/salesItemDetails.do?id=83932</v>
      </c>
      <c r="B2715" s="5" t="s">
        <v>7678</v>
      </c>
      <c r="C2715" s="5" t="s">
        <v>7433</v>
      </c>
      <c r="D2715" s="5" t="s">
        <v>7679</v>
      </c>
      <c r="E2715" s="5" t="s">
        <v>7680</v>
      </c>
      <c r="F2715" s="5" t="s">
        <v>16</v>
      </c>
      <c r="G2715" s="5" t="s">
        <v>165</v>
      </c>
      <c r="H2715" s="5" t="s">
        <v>18</v>
      </c>
      <c r="I2715" s="6" t="n">
        <v>31381.9583333333</v>
      </c>
      <c r="J2715" s="5" t="s">
        <v>19</v>
      </c>
      <c r="K2715" s="5" t="s">
        <v>20</v>
      </c>
      <c r="L2715" s="7" t="s">
        <v>7681</v>
      </c>
    </row>
    <row r="2716" customFormat="false" ht="15.65" hidden="false" customHeight="true" outlineLevel="0" collapsed="false">
      <c r="A2716" s="2" t="str">
        <f aca="false">HYPERLINK("https://www.fabsurplus.com/sdi_catalog/salesItemDetails.do?id=96998")</f>
        <v>https://www.fabsurplus.com/sdi_catalog/salesItemDetails.do?id=96998</v>
      </c>
      <c r="B2716" s="2" t="s">
        <v>7682</v>
      </c>
      <c r="C2716" s="2" t="s">
        <v>7383</v>
      </c>
      <c r="D2716" s="2" t="s">
        <v>7683</v>
      </c>
      <c r="E2716" s="2" t="s">
        <v>7684</v>
      </c>
      <c r="F2716" s="2" t="s">
        <v>16</v>
      </c>
      <c r="G2716" s="2" t="s">
        <v>38</v>
      </c>
      <c r="H2716" s="2" t="s">
        <v>2785</v>
      </c>
      <c r="I2716" s="3" t="n">
        <v>35551</v>
      </c>
      <c r="J2716" s="2" t="s">
        <v>19</v>
      </c>
      <c r="K2716" s="2" t="s">
        <v>20</v>
      </c>
      <c r="L2716" s="4" t="s">
        <v>7685</v>
      </c>
    </row>
    <row r="2717" customFormat="false" ht="15.65" hidden="false" customHeight="true" outlineLevel="0" collapsed="false">
      <c r="A2717" s="5" t="str">
        <f aca="false">HYPERLINK("https://www.fabsurplus.com/sdi_catalog/salesItemDetails.do?id=53227")</f>
        <v>https://www.fabsurplus.com/sdi_catalog/salesItemDetails.do?id=53227</v>
      </c>
      <c r="B2717" s="5" t="s">
        <v>7686</v>
      </c>
      <c r="C2717" s="5" t="s">
        <v>7383</v>
      </c>
      <c r="D2717" s="5" t="s">
        <v>7687</v>
      </c>
      <c r="E2717" s="5" t="s">
        <v>7688</v>
      </c>
      <c r="F2717" s="5" t="s">
        <v>16</v>
      </c>
      <c r="G2717" s="5" t="s">
        <v>165</v>
      </c>
      <c r="H2717" s="5" t="s">
        <v>18</v>
      </c>
      <c r="I2717" s="6" t="n">
        <v>32843</v>
      </c>
      <c r="J2717" s="5" t="s">
        <v>19</v>
      </c>
      <c r="K2717" s="5" t="s">
        <v>20</v>
      </c>
      <c r="L2717" s="7" t="s">
        <v>7689</v>
      </c>
    </row>
    <row r="2718" customFormat="false" ht="15.65" hidden="false" customHeight="true" outlineLevel="0" collapsed="false">
      <c r="A2718" s="2" t="str">
        <f aca="false">HYPERLINK("https://www.fabsurplus.com/sdi_catalog/salesItemDetails.do?id=84215")</f>
        <v>https://www.fabsurplus.com/sdi_catalog/salesItemDetails.do?id=84215</v>
      </c>
      <c r="B2718" s="2" t="s">
        <v>7690</v>
      </c>
      <c r="C2718" s="2" t="s">
        <v>7433</v>
      </c>
      <c r="D2718" s="2" t="s">
        <v>7258</v>
      </c>
      <c r="E2718" s="2" t="s">
        <v>7691</v>
      </c>
      <c r="F2718" s="2" t="s">
        <v>16</v>
      </c>
      <c r="G2718" s="2" t="s">
        <v>104</v>
      </c>
      <c r="H2718" s="2" t="s">
        <v>18</v>
      </c>
      <c r="I2718" s="3" t="n">
        <v>34090</v>
      </c>
      <c r="J2718" s="2" t="s">
        <v>19</v>
      </c>
      <c r="K2718" s="2" t="s">
        <v>20</v>
      </c>
      <c r="L2718" s="4" t="s">
        <v>7692</v>
      </c>
    </row>
    <row r="2719" customFormat="false" ht="15.65" hidden="false" customHeight="true" outlineLevel="0" collapsed="false">
      <c r="A2719" s="5" t="str">
        <f aca="false">HYPERLINK("https://www.fabsurplus.com/sdi_catalog/salesItemDetails.do?id=84217")</f>
        <v>https://www.fabsurplus.com/sdi_catalog/salesItemDetails.do?id=84217</v>
      </c>
      <c r="B2719" s="5" t="s">
        <v>7693</v>
      </c>
      <c r="C2719" s="5" t="s">
        <v>7433</v>
      </c>
      <c r="D2719" s="5" t="s">
        <v>7694</v>
      </c>
      <c r="E2719" s="5" t="s">
        <v>7695</v>
      </c>
      <c r="F2719" s="5" t="s">
        <v>16</v>
      </c>
      <c r="G2719" s="5" t="s">
        <v>97</v>
      </c>
      <c r="H2719" s="5" t="s">
        <v>18</v>
      </c>
      <c r="I2719" s="6" t="n">
        <v>33725</v>
      </c>
      <c r="J2719" s="5" t="s">
        <v>19</v>
      </c>
      <c r="K2719" s="5" t="s">
        <v>20</v>
      </c>
      <c r="L2719" s="7" t="s">
        <v>7696</v>
      </c>
    </row>
    <row r="2720" customFormat="false" ht="15.65" hidden="false" customHeight="true" outlineLevel="0" collapsed="false">
      <c r="A2720" s="2" t="str">
        <f aca="false">HYPERLINK("https://www.fabsurplus.com/sdi_catalog/salesItemDetails.do?id=84219")</f>
        <v>https://www.fabsurplus.com/sdi_catalog/salesItemDetails.do?id=84219</v>
      </c>
      <c r="B2720" s="2" t="s">
        <v>7697</v>
      </c>
      <c r="C2720" s="2" t="s">
        <v>7433</v>
      </c>
      <c r="D2720" s="2" t="s">
        <v>7698</v>
      </c>
      <c r="E2720" s="2" t="s">
        <v>7180</v>
      </c>
      <c r="F2720" s="2" t="s">
        <v>16</v>
      </c>
      <c r="G2720" s="2" t="s">
        <v>97</v>
      </c>
      <c r="H2720" s="2" t="s">
        <v>18</v>
      </c>
      <c r="I2720" s="3" t="n">
        <v>33725</v>
      </c>
      <c r="J2720" s="2" t="s">
        <v>19</v>
      </c>
      <c r="K2720" s="2" t="s">
        <v>20</v>
      </c>
      <c r="L2720" s="2"/>
    </row>
    <row r="2721" customFormat="false" ht="15.65" hidden="false" customHeight="true" outlineLevel="0" collapsed="false">
      <c r="A2721" s="5" t="str">
        <f aca="false">HYPERLINK("https://www.fabsurplus.com/sdi_catalog/salesItemDetails.do?id=84220")</f>
        <v>https://www.fabsurplus.com/sdi_catalog/salesItemDetails.do?id=84220</v>
      </c>
      <c r="B2721" s="5" t="s">
        <v>7699</v>
      </c>
      <c r="C2721" s="5" t="s">
        <v>7433</v>
      </c>
      <c r="D2721" s="5" t="s">
        <v>7700</v>
      </c>
      <c r="E2721" s="5" t="s">
        <v>7701</v>
      </c>
      <c r="F2721" s="5" t="s">
        <v>16</v>
      </c>
      <c r="G2721" s="5" t="s">
        <v>104</v>
      </c>
      <c r="H2721" s="5" t="s">
        <v>18</v>
      </c>
      <c r="I2721" s="5"/>
      <c r="J2721" s="5" t="s">
        <v>19</v>
      </c>
      <c r="K2721" s="5" t="s">
        <v>20</v>
      </c>
      <c r="L2721" s="5"/>
    </row>
    <row r="2722" customFormat="false" ht="15.65" hidden="false" customHeight="true" outlineLevel="0" collapsed="false">
      <c r="A2722" s="2" t="str">
        <f aca="false">HYPERLINK("https://www.fabsurplus.com/sdi_catalog/salesItemDetails.do?id=35971")</f>
        <v>https://www.fabsurplus.com/sdi_catalog/salesItemDetails.do?id=35971</v>
      </c>
      <c r="B2722" s="2" t="s">
        <v>7702</v>
      </c>
      <c r="C2722" s="2" t="s">
        <v>7703</v>
      </c>
      <c r="D2722" s="2" t="s">
        <v>7293</v>
      </c>
      <c r="E2722" s="2" t="s">
        <v>7704</v>
      </c>
      <c r="F2722" s="2" t="s">
        <v>151</v>
      </c>
      <c r="G2722" s="2" t="s">
        <v>97</v>
      </c>
      <c r="H2722" s="2" t="s">
        <v>18</v>
      </c>
      <c r="I2722" s="3" t="n">
        <v>35947</v>
      </c>
      <c r="J2722" s="2" t="s">
        <v>19</v>
      </c>
      <c r="K2722" s="2" t="s">
        <v>20</v>
      </c>
      <c r="L2722" s="2" t="s">
        <v>7705</v>
      </c>
    </row>
    <row r="2723" customFormat="false" ht="15.65" hidden="false" customHeight="true" outlineLevel="0" collapsed="false">
      <c r="A2723" s="5" t="str">
        <f aca="false">HYPERLINK("https://www.fabsurplus.com/sdi_catalog/salesItemDetails.do?id=80185")</f>
        <v>https://www.fabsurplus.com/sdi_catalog/salesItemDetails.do?id=80185</v>
      </c>
      <c r="B2723" s="5" t="s">
        <v>7706</v>
      </c>
      <c r="C2723" s="5" t="s">
        <v>7707</v>
      </c>
      <c r="D2723" s="5" t="s">
        <v>7708</v>
      </c>
      <c r="E2723" s="5" t="s">
        <v>7709</v>
      </c>
      <c r="F2723" s="5" t="s">
        <v>151</v>
      </c>
      <c r="G2723" s="5"/>
      <c r="H2723" s="5" t="s">
        <v>18</v>
      </c>
      <c r="I2723" s="6" t="n">
        <v>40909</v>
      </c>
      <c r="J2723" s="5" t="s">
        <v>19</v>
      </c>
      <c r="K2723" s="5" t="s">
        <v>20</v>
      </c>
      <c r="L2723" s="5" t="s">
        <v>7710</v>
      </c>
    </row>
    <row r="2724" customFormat="false" ht="15.65" hidden="false" customHeight="true" outlineLevel="0" collapsed="false">
      <c r="A2724" s="2" t="str">
        <f aca="false">HYPERLINK("https://www.fabsurplus.com/sdi_catalog/salesItemDetails.do?id=74239")</f>
        <v>https://www.fabsurplus.com/sdi_catalog/salesItemDetails.do?id=74239</v>
      </c>
      <c r="B2724" s="2" t="s">
        <v>7711</v>
      </c>
      <c r="C2724" s="2" t="s">
        <v>7712</v>
      </c>
      <c r="D2724" s="2" t="s">
        <v>7713</v>
      </c>
      <c r="E2724" s="2" t="s">
        <v>7714</v>
      </c>
      <c r="F2724" s="2" t="s">
        <v>16</v>
      </c>
      <c r="G2724" s="2" t="s">
        <v>97</v>
      </c>
      <c r="H2724" s="2"/>
      <c r="I2724" s="2"/>
      <c r="J2724" s="2" t="s">
        <v>19</v>
      </c>
      <c r="K2724" s="2"/>
      <c r="L2724" s="4" t="s">
        <v>7715</v>
      </c>
    </row>
    <row r="2725" customFormat="false" ht="15.65" hidden="false" customHeight="true" outlineLevel="0" collapsed="false">
      <c r="A2725" s="5" t="str">
        <f aca="false">HYPERLINK("https://www.fabsurplus.com/sdi_catalog/salesItemDetails.do?id=103386")</f>
        <v>https://www.fabsurplus.com/sdi_catalog/salesItemDetails.do?id=103386</v>
      </c>
      <c r="B2725" s="5" t="s">
        <v>7716</v>
      </c>
      <c r="C2725" s="5" t="s">
        <v>7717</v>
      </c>
      <c r="D2725" s="5" t="s">
        <v>7718</v>
      </c>
      <c r="E2725" s="5" t="s">
        <v>7719</v>
      </c>
      <c r="F2725" s="5" t="s">
        <v>151</v>
      </c>
      <c r="G2725" s="5" t="s">
        <v>104</v>
      </c>
      <c r="H2725" s="5" t="s">
        <v>18</v>
      </c>
      <c r="I2725" s="6" t="n">
        <v>37011.9166666667</v>
      </c>
      <c r="J2725" s="5" t="s">
        <v>19</v>
      </c>
      <c r="K2725" s="5" t="s">
        <v>20</v>
      </c>
      <c r="L2725" s="5" t="s">
        <v>7720</v>
      </c>
    </row>
    <row r="2726" customFormat="false" ht="15.65" hidden="false" customHeight="true" outlineLevel="0" collapsed="false">
      <c r="A2726" s="2" t="str">
        <f aca="false">HYPERLINK("https://www.fabsurplus.com/sdi_catalog/salesItemDetails.do?id=84224")</f>
        <v>https://www.fabsurplus.com/sdi_catalog/salesItemDetails.do?id=84224</v>
      </c>
      <c r="B2726" s="2" t="s">
        <v>7721</v>
      </c>
      <c r="C2726" s="2" t="s">
        <v>7722</v>
      </c>
      <c r="D2726" s="2" t="s">
        <v>7723</v>
      </c>
      <c r="E2726" s="2" t="s">
        <v>7724</v>
      </c>
      <c r="F2726" s="2" t="s">
        <v>16</v>
      </c>
      <c r="G2726" s="2" t="s">
        <v>104</v>
      </c>
      <c r="H2726" s="2" t="s">
        <v>1395</v>
      </c>
      <c r="I2726" s="2"/>
      <c r="J2726" s="2" t="s">
        <v>19</v>
      </c>
      <c r="K2726" s="2" t="s">
        <v>20</v>
      </c>
      <c r="L2726" s="4" t="s">
        <v>7725</v>
      </c>
    </row>
    <row r="2727" customFormat="false" ht="15.65" hidden="false" customHeight="true" outlineLevel="0" collapsed="false">
      <c r="A2727" s="5" t="str">
        <f aca="false">HYPERLINK("https://www.fabsurplus.com/sdi_catalog/salesItemDetails.do?id=84258")</f>
        <v>https://www.fabsurplus.com/sdi_catalog/salesItemDetails.do?id=84258</v>
      </c>
      <c r="B2727" s="5" t="s">
        <v>7726</v>
      </c>
      <c r="C2727" s="5" t="s">
        <v>7722</v>
      </c>
      <c r="D2727" s="5" t="s">
        <v>7727</v>
      </c>
      <c r="E2727" s="5" t="s">
        <v>7728</v>
      </c>
      <c r="F2727" s="5" t="s">
        <v>108</v>
      </c>
      <c r="G2727" s="5"/>
      <c r="H2727" s="5" t="s">
        <v>18</v>
      </c>
      <c r="I2727" s="5"/>
      <c r="J2727" s="5" t="s">
        <v>19</v>
      </c>
      <c r="K2727" s="5" t="s">
        <v>20</v>
      </c>
      <c r="L2727" s="7" t="s">
        <v>7729</v>
      </c>
    </row>
    <row r="2728" customFormat="false" ht="15.65" hidden="false" customHeight="true" outlineLevel="0" collapsed="false">
      <c r="A2728" s="2" t="str">
        <f aca="false">HYPERLINK("https://www.fabsurplus.com/sdi_catalog/salesItemDetails.do?id=84261")</f>
        <v>https://www.fabsurplus.com/sdi_catalog/salesItemDetails.do?id=84261</v>
      </c>
      <c r="B2728" s="2" t="s">
        <v>7730</v>
      </c>
      <c r="C2728" s="2" t="s">
        <v>7722</v>
      </c>
      <c r="D2728" s="2" t="s">
        <v>7731</v>
      </c>
      <c r="E2728" s="2" t="s">
        <v>7728</v>
      </c>
      <c r="F2728" s="2" t="s">
        <v>151</v>
      </c>
      <c r="G2728" s="2"/>
      <c r="H2728" s="2" t="s">
        <v>18</v>
      </c>
      <c r="I2728" s="2"/>
      <c r="J2728" s="2" t="s">
        <v>19</v>
      </c>
      <c r="K2728" s="2" t="s">
        <v>20</v>
      </c>
      <c r="L2728" s="4" t="s">
        <v>7732</v>
      </c>
    </row>
    <row r="2729" customFormat="false" ht="15.65" hidden="false" customHeight="true" outlineLevel="0" collapsed="false">
      <c r="A2729" s="5" t="str">
        <f aca="false">HYPERLINK("https://www.fabsurplus.com/sdi_catalog/salesItemDetails.do?id=84265")</f>
        <v>https://www.fabsurplus.com/sdi_catalog/salesItemDetails.do?id=84265</v>
      </c>
      <c r="B2729" s="5" t="s">
        <v>7733</v>
      </c>
      <c r="C2729" s="5" t="s">
        <v>7722</v>
      </c>
      <c r="D2729" s="5" t="s">
        <v>7734</v>
      </c>
      <c r="E2729" s="5" t="s">
        <v>7728</v>
      </c>
      <c r="F2729" s="5" t="s">
        <v>16</v>
      </c>
      <c r="G2729" s="5"/>
      <c r="H2729" s="5" t="s">
        <v>18</v>
      </c>
      <c r="I2729" s="5"/>
      <c r="J2729" s="5" t="s">
        <v>19</v>
      </c>
      <c r="K2729" s="5" t="s">
        <v>20</v>
      </c>
      <c r="L2729" s="7" t="s">
        <v>7735</v>
      </c>
    </row>
    <row r="2730" customFormat="false" ht="15.65" hidden="false" customHeight="true" outlineLevel="0" collapsed="false">
      <c r="A2730" s="2" t="str">
        <f aca="false">HYPERLINK("https://www.fabsurplus.com/sdi_catalog/salesItemDetails.do?id=84266")</f>
        <v>https://www.fabsurplus.com/sdi_catalog/salesItemDetails.do?id=84266</v>
      </c>
      <c r="B2730" s="2" t="s">
        <v>7736</v>
      </c>
      <c r="C2730" s="2" t="s">
        <v>7722</v>
      </c>
      <c r="D2730" s="2" t="s">
        <v>7737</v>
      </c>
      <c r="E2730" s="2" t="s">
        <v>7728</v>
      </c>
      <c r="F2730" s="2" t="s">
        <v>16</v>
      </c>
      <c r="G2730" s="2"/>
      <c r="H2730" s="2" t="s">
        <v>18</v>
      </c>
      <c r="I2730" s="2"/>
      <c r="J2730" s="2" t="s">
        <v>19</v>
      </c>
      <c r="K2730" s="2" t="s">
        <v>20</v>
      </c>
      <c r="L2730" s="4" t="s">
        <v>7738</v>
      </c>
    </row>
    <row r="2731" customFormat="false" ht="15.65" hidden="false" customHeight="true" outlineLevel="0" collapsed="false">
      <c r="A2731" s="5" t="str">
        <f aca="false">HYPERLINK("https://www.fabsurplus.com/sdi_catalog/salesItemDetails.do?id=84270")</f>
        <v>https://www.fabsurplus.com/sdi_catalog/salesItemDetails.do?id=84270</v>
      </c>
      <c r="B2731" s="5" t="s">
        <v>7739</v>
      </c>
      <c r="C2731" s="5" t="s">
        <v>7722</v>
      </c>
      <c r="D2731" s="5" t="s">
        <v>7727</v>
      </c>
      <c r="E2731" s="5" t="s">
        <v>7728</v>
      </c>
      <c r="F2731" s="5" t="s">
        <v>151</v>
      </c>
      <c r="G2731" s="5"/>
      <c r="H2731" s="5" t="s">
        <v>18</v>
      </c>
      <c r="I2731" s="5"/>
      <c r="J2731" s="5" t="s">
        <v>19</v>
      </c>
      <c r="K2731" s="5" t="s">
        <v>20</v>
      </c>
      <c r="L2731" s="7" t="s">
        <v>7740</v>
      </c>
    </row>
    <row r="2732" customFormat="false" ht="15.65" hidden="false" customHeight="true" outlineLevel="0" collapsed="false">
      <c r="A2732" s="2" t="str">
        <f aca="false">HYPERLINK("https://www.fabsurplus.com/sdi_catalog/salesItemDetails.do?id=83846")</f>
        <v>https://www.fabsurplus.com/sdi_catalog/salesItemDetails.do?id=83846</v>
      </c>
      <c r="B2732" s="2" t="s">
        <v>7741</v>
      </c>
      <c r="C2732" s="2" t="s">
        <v>7722</v>
      </c>
      <c r="D2732" s="2" t="s">
        <v>7742</v>
      </c>
      <c r="E2732" s="2" t="s">
        <v>7728</v>
      </c>
      <c r="F2732" s="2" t="s">
        <v>151</v>
      </c>
      <c r="G2732" s="2" t="s">
        <v>104</v>
      </c>
      <c r="H2732" s="2" t="s">
        <v>18</v>
      </c>
      <c r="I2732" s="2"/>
      <c r="J2732" s="2" t="s">
        <v>19</v>
      </c>
      <c r="K2732" s="2" t="s">
        <v>20</v>
      </c>
      <c r="L2732" s="4" t="s">
        <v>7743</v>
      </c>
    </row>
    <row r="2733" customFormat="false" ht="15.65" hidden="false" customHeight="true" outlineLevel="0" collapsed="false">
      <c r="A2733" s="5" t="str">
        <f aca="false">HYPERLINK("https://www.fabsurplus.com/sdi_catalog/salesItemDetails.do?id=83873")</f>
        <v>https://www.fabsurplus.com/sdi_catalog/salesItemDetails.do?id=83873</v>
      </c>
      <c r="B2733" s="5" t="s">
        <v>7744</v>
      </c>
      <c r="C2733" s="5" t="s">
        <v>7722</v>
      </c>
      <c r="D2733" s="5" t="s">
        <v>7745</v>
      </c>
      <c r="E2733" s="5"/>
      <c r="F2733" s="5" t="s">
        <v>151</v>
      </c>
      <c r="G2733" s="5" t="s">
        <v>165</v>
      </c>
      <c r="H2733" s="5" t="s">
        <v>18</v>
      </c>
      <c r="I2733" s="5"/>
      <c r="J2733" s="5" t="s">
        <v>19</v>
      </c>
      <c r="K2733" s="5" t="s">
        <v>20</v>
      </c>
      <c r="L2733" s="7" t="s">
        <v>7746</v>
      </c>
    </row>
    <row r="2734" customFormat="false" ht="15.65" hidden="false" customHeight="true" outlineLevel="0" collapsed="false">
      <c r="A2734" s="2" t="str">
        <f aca="false">HYPERLINK("https://www.fabsurplus.com/sdi_catalog/salesItemDetails.do?id=83880")</f>
        <v>https://www.fabsurplus.com/sdi_catalog/salesItemDetails.do?id=83880</v>
      </c>
      <c r="B2734" s="2" t="s">
        <v>7747</v>
      </c>
      <c r="C2734" s="2" t="s">
        <v>7722</v>
      </c>
      <c r="D2734" s="2" t="s">
        <v>7748</v>
      </c>
      <c r="E2734" s="2" t="s">
        <v>7749</v>
      </c>
      <c r="F2734" s="2" t="s">
        <v>203</v>
      </c>
      <c r="G2734" s="2"/>
      <c r="H2734" s="2" t="s">
        <v>98</v>
      </c>
      <c r="I2734" s="2"/>
      <c r="J2734" s="2" t="s">
        <v>19</v>
      </c>
      <c r="K2734" s="2" t="s">
        <v>20</v>
      </c>
      <c r="L2734" s="4" t="s">
        <v>7750</v>
      </c>
    </row>
    <row r="2735" customFormat="false" ht="15.65" hidden="false" customHeight="true" outlineLevel="0" collapsed="false">
      <c r="A2735" s="5" t="str">
        <f aca="false">HYPERLINK("https://www.fabsurplus.com/sdi_catalog/salesItemDetails.do?id=83891")</f>
        <v>https://www.fabsurplus.com/sdi_catalog/salesItemDetails.do?id=83891</v>
      </c>
      <c r="B2735" s="5" t="s">
        <v>7751</v>
      </c>
      <c r="C2735" s="5" t="s">
        <v>7722</v>
      </c>
      <c r="D2735" s="5" t="s">
        <v>7752</v>
      </c>
      <c r="E2735" s="5" t="s">
        <v>7753</v>
      </c>
      <c r="F2735" s="5" t="s">
        <v>151</v>
      </c>
      <c r="G2735" s="5"/>
      <c r="H2735" s="5" t="s">
        <v>18</v>
      </c>
      <c r="I2735" s="5"/>
      <c r="J2735" s="5" t="s">
        <v>19</v>
      </c>
      <c r="K2735" s="5" t="s">
        <v>20</v>
      </c>
      <c r="L2735" s="7" t="s">
        <v>7754</v>
      </c>
    </row>
    <row r="2736" customFormat="false" ht="15.65" hidden="false" customHeight="true" outlineLevel="0" collapsed="false">
      <c r="A2736" s="2" t="str">
        <f aca="false">HYPERLINK("https://www.fabsurplus.com/sdi_catalog/salesItemDetails.do?id=84223")</f>
        <v>https://www.fabsurplus.com/sdi_catalog/salesItemDetails.do?id=84223</v>
      </c>
      <c r="B2736" s="2" t="s">
        <v>7755</v>
      </c>
      <c r="C2736" s="2" t="s">
        <v>7722</v>
      </c>
      <c r="D2736" s="2" t="s">
        <v>7723</v>
      </c>
      <c r="E2736" s="2" t="s">
        <v>7724</v>
      </c>
      <c r="F2736" s="2" t="s">
        <v>86</v>
      </c>
      <c r="G2736" s="2" t="s">
        <v>104</v>
      </c>
      <c r="H2736" s="2" t="s">
        <v>1395</v>
      </c>
      <c r="I2736" s="2"/>
      <c r="J2736" s="2" t="s">
        <v>19</v>
      </c>
      <c r="K2736" s="2" t="s">
        <v>20</v>
      </c>
      <c r="L2736" s="4" t="s">
        <v>7756</v>
      </c>
    </row>
    <row r="2737" customFormat="false" ht="15.65" hidden="false" customHeight="true" outlineLevel="0" collapsed="false">
      <c r="A2737" s="5" t="str">
        <f aca="false">HYPERLINK("https://www.fabsurplus.com/sdi_catalog/salesItemDetails.do?id=84055")</f>
        <v>https://www.fabsurplus.com/sdi_catalog/salesItemDetails.do?id=84055</v>
      </c>
      <c r="B2737" s="5" t="s">
        <v>7757</v>
      </c>
      <c r="C2737" s="5" t="s">
        <v>7758</v>
      </c>
      <c r="D2737" s="5" t="s">
        <v>7759</v>
      </c>
      <c r="E2737" s="5" t="s">
        <v>7760</v>
      </c>
      <c r="F2737" s="5" t="s">
        <v>86</v>
      </c>
      <c r="G2737" s="5"/>
      <c r="H2737" s="5" t="s">
        <v>18</v>
      </c>
      <c r="I2737" s="5"/>
      <c r="J2737" s="5" t="s">
        <v>19</v>
      </c>
      <c r="K2737" s="5" t="s">
        <v>20</v>
      </c>
      <c r="L2737" s="7" t="s">
        <v>7761</v>
      </c>
    </row>
    <row r="2738" customFormat="false" ht="15.65" hidden="false" customHeight="true" outlineLevel="0" collapsed="false">
      <c r="A2738" s="2" t="str">
        <f aca="false">HYPERLINK("https://www.fabsurplus.com/sdi_catalog/salesItemDetails.do?id=84056")</f>
        <v>https://www.fabsurplus.com/sdi_catalog/salesItemDetails.do?id=84056</v>
      </c>
      <c r="B2738" s="2" t="s">
        <v>7762</v>
      </c>
      <c r="C2738" s="2" t="s">
        <v>7758</v>
      </c>
      <c r="D2738" s="2" t="s">
        <v>7759</v>
      </c>
      <c r="E2738" s="2" t="s">
        <v>7763</v>
      </c>
      <c r="F2738" s="2" t="s">
        <v>16</v>
      </c>
      <c r="G2738" s="2"/>
      <c r="H2738" s="2" t="s">
        <v>18</v>
      </c>
      <c r="I2738" s="2"/>
      <c r="J2738" s="2" t="s">
        <v>19</v>
      </c>
      <c r="K2738" s="2" t="s">
        <v>20</v>
      </c>
      <c r="L2738" s="4" t="s">
        <v>7764</v>
      </c>
    </row>
    <row r="2739" customFormat="false" ht="15.65" hidden="false" customHeight="true" outlineLevel="0" collapsed="false">
      <c r="A2739" s="5" t="str">
        <f aca="false">HYPERLINK("https://www.fabsurplus.com/sdi_catalog/salesItemDetails.do?id=84057")</f>
        <v>https://www.fabsurplus.com/sdi_catalog/salesItemDetails.do?id=84057</v>
      </c>
      <c r="B2739" s="5" t="s">
        <v>7765</v>
      </c>
      <c r="C2739" s="5" t="s">
        <v>7758</v>
      </c>
      <c r="D2739" s="5" t="s">
        <v>7759</v>
      </c>
      <c r="E2739" s="5" t="s">
        <v>7763</v>
      </c>
      <c r="F2739" s="5" t="s">
        <v>16</v>
      </c>
      <c r="G2739" s="5"/>
      <c r="H2739" s="5" t="s">
        <v>18</v>
      </c>
      <c r="I2739" s="5"/>
      <c r="J2739" s="5" t="s">
        <v>19</v>
      </c>
      <c r="K2739" s="5" t="s">
        <v>20</v>
      </c>
      <c r="L2739" s="7" t="s">
        <v>7766</v>
      </c>
    </row>
    <row r="2740" customFormat="false" ht="15.65" hidden="false" customHeight="true" outlineLevel="0" collapsed="false">
      <c r="A2740" s="2" t="str">
        <f aca="false">HYPERLINK("https://www.fabsurplus.com/sdi_catalog/salesItemDetails.do?id=108570")</f>
        <v>https://www.fabsurplus.com/sdi_catalog/salesItemDetails.do?id=108570</v>
      </c>
      <c r="B2740" s="2" t="s">
        <v>7767</v>
      </c>
      <c r="C2740" s="2" t="s">
        <v>7768</v>
      </c>
      <c r="D2740" s="2" t="s">
        <v>7769</v>
      </c>
      <c r="E2740" s="2" t="s">
        <v>2340</v>
      </c>
      <c r="F2740" s="2" t="s">
        <v>16</v>
      </c>
      <c r="G2740" s="2" t="s">
        <v>61</v>
      </c>
      <c r="H2740" s="2" t="s">
        <v>32</v>
      </c>
      <c r="I2740" s="3" t="n">
        <v>39203</v>
      </c>
      <c r="J2740" s="2" t="s">
        <v>19</v>
      </c>
      <c r="K2740" s="2" t="s">
        <v>20</v>
      </c>
      <c r="L2740" s="2"/>
    </row>
    <row r="2741" customFormat="false" ht="15.65" hidden="false" customHeight="true" outlineLevel="0" collapsed="false">
      <c r="A2741" s="5" t="str">
        <f aca="false">HYPERLINK("https://www.fabsurplus.com/sdi_catalog/salesItemDetails.do?id=90149")</f>
        <v>https://www.fabsurplus.com/sdi_catalog/salesItemDetails.do?id=90149</v>
      </c>
      <c r="B2741" s="5" t="s">
        <v>7770</v>
      </c>
      <c r="C2741" s="5" t="s">
        <v>7768</v>
      </c>
      <c r="D2741" s="5" t="s">
        <v>7771</v>
      </c>
      <c r="E2741" s="5" t="s">
        <v>7772</v>
      </c>
      <c r="F2741" s="5" t="s">
        <v>16</v>
      </c>
      <c r="G2741" s="5" t="s">
        <v>61</v>
      </c>
      <c r="H2741" s="5" t="s">
        <v>18</v>
      </c>
      <c r="I2741" s="6" t="n">
        <v>41426</v>
      </c>
      <c r="J2741" s="5" t="s">
        <v>19</v>
      </c>
      <c r="K2741" s="5"/>
      <c r="L2741" s="7" t="s">
        <v>7773</v>
      </c>
    </row>
    <row r="2742" customFormat="false" ht="15.65" hidden="false" customHeight="true" outlineLevel="0" collapsed="false">
      <c r="A2742" s="2" t="str">
        <f aca="false">HYPERLINK("https://www.fabsurplus.com/sdi_catalog/salesItemDetails.do?id=108837")</f>
        <v>https://www.fabsurplus.com/sdi_catalog/salesItemDetails.do?id=108837</v>
      </c>
      <c r="B2742" s="2" t="s">
        <v>7774</v>
      </c>
      <c r="C2742" s="2" t="s">
        <v>7775</v>
      </c>
      <c r="D2742" s="2" t="s">
        <v>7776</v>
      </c>
      <c r="E2742" s="2" t="s">
        <v>7777</v>
      </c>
      <c r="F2742" s="2" t="s">
        <v>16</v>
      </c>
      <c r="G2742" s="2"/>
      <c r="H2742" s="2"/>
      <c r="I2742" s="2"/>
      <c r="J2742" s="2" t="s">
        <v>42</v>
      </c>
      <c r="K2742" s="2"/>
      <c r="L2742" s="2" t="s">
        <v>131</v>
      </c>
    </row>
    <row r="2743" customFormat="false" ht="15.65" hidden="false" customHeight="true" outlineLevel="0" collapsed="false">
      <c r="A2743" s="5" t="str">
        <f aca="false">HYPERLINK("https://www.fabsurplus.com/sdi_catalog/salesItemDetails.do?id=109108")</f>
        <v>https://www.fabsurplus.com/sdi_catalog/salesItemDetails.do?id=109108</v>
      </c>
      <c r="B2743" s="5" t="s">
        <v>7778</v>
      </c>
      <c r="C2743" s="5" t="s">
        <v>7768</v>
      </c>
      <c r="D2743" s="5" t="s">
        <v>7779</v>
      </c>
      <c r="E2743" s="5" t="s">
        <v>7780</v>
      </c>
      <c r="F2743" s="5" t="s">
        <v>16</v>
      </c>
      <c r="G2743" s="5" t="s">
        <v>61</v>
      </c>
      <c r="H2743" s="5" t="s">
        <v>32</v>
      </c>
      <c r="I2743" s="6" t="n">
        <v>42370</v>
      </c>
      <c r="J2743" s="5" t="s">
        <v>19</v>
      </c>
      <c r="K2743" s="5" t="s">
        <v>20</v>
      </c>
      <c r="L2743" s="5" t="s">
        <v>7781</v>
      </c>
    </row>
    <row r="2744" customFormat="false" ht="15.65" hidden="false" customHeight="true" outlineLevel="0" collapsed="false">
      <c r="A2744" s="2" t="str">
        <f aca="false">HYPERLINK("https://www.fabsurplus.com/sdi_catalog/salesItemDetails.do?id=103534")</f>
        <v>https://www.fabsurplus.com/sdi_catalog/salesItemDetails.do?id=103534</v>
      </c>
      <c r="B2744" s="2" t="s">
        <v>7782</v>
      </c>
      <c r="C2744" s="2" t="s">
        <v>7768</v>
      </c>
      <c r="D2744" s="2" t="s">
        <v>7783</v>
      </c>
      <c r="E2744" s="2" t="s">
        <v>7784</v>
      </c>
      <c r="F2744" s="2" t="s">
        <v>16</v>
      </c>
      <c r="G2744" s="2" t="s">
        <v>61</v>
      </c>
      <c r="H2744" s="2"/>
      <c r="I2744" s="2"/>
      <c r="J2744" s="2" t="s">
        <v>19</v>
      </c>
      <c r="K2744" s="2"/>
      <c r="L2744" s="4" t="s">
        <v>1682</v>
      </c>
    </row>
    <row r="2745" customFormat="false" ht="15.65" hidden="false" customHeight="true" outlineLevel="0" collapsed="false">
      <c r="A2745" s="5" t="str">
        <f aca="false">HYPERLINK("https://www.fabsurplus.com/sdi_catalog/salesItemDetails.do?id=103535")</f>
        <v>https://www.fabsurplus.com/sdi_catalog/salesItemDetails.do?id=103535</v>
      </c>
      <c r="B2745" s="5" t="s">
        <v>7785</v>
      </c>
      <c r="C2745" s="5" t="s">
        <v>7768</v>
      </c>
      <c r="D2745" s="5" t="s">
        <v>7786</v>
      </c>
      <c r="E2745" s="5" t="s">
        <v>1949</v>
      </c>
      <c r="F2745" s="5" t="s">
        <v>16</v>
      </c>
      <c r="G2745" s="5" t="s">
        <v>61</v>
      </c>
      <c r="H2745" s="5"/>
      <c r="I2745" s="5"/>
      <c r="J2745" s="5" t="s">
        <v>19</v>
      </c>
      <c r="K2745" s="5"/>
      <c r="L2745" s="7" t="s">
        <v>1682</v>
      </c>
    </row>
    <row r="2746" customFormat="false" ht="15.65" hidden="false" customHeight="true" outlineLevel="0" collapsed="false">
      <c r="A2746" s="2" t="str">
        <f aca="false">HYPERLINK("https://www.fabsurplus.com/sdi_catalog/salesItemDetails.do?id=103536")</f>
        <v>https://www.fabsurplus.com/sdi_catalog/salesItemDetails.do?id=103536</v>
      </c>
      <c r="B2746" s="2" t="s">
        <v>7787</v>
      </c>
      <c r="C2746" s="2" t="s">
        <v>7775</v>
      </c>
      <c r="D2746" s="2" t="s">
        <v>7788</v>
      </c>
      <c r="E2746" s="2" t="s">
        <v>1785</v>
      </c>
      <c r="F2746" s="2" t="s">
        <v>16</v>
      </c>
      <c r="G2746" s="2" t="s">
        <v>61</v>
      </c>
      <c r="H2746" s="2"/>
      <c r="I2746" s="3" t="n">
        <v>40694.9166666667</v>
      </c>
      <c r="J2746" s="2" t="s">
        <v>19</v>
      </c>
      <c r="K2746" s="2"/>
      <c r="L2746" s="4" t="s">
        <v>1682</v>
      </c>
    </row>
    <row r="2747" customFormat="false" ht="15.65" hidden="false" customHeight="true" outlineLevel="0" collapsed="false">
      <c r="A2747" s="5" t="str">
        <f aca="false">HYPERLINK("https://www.fabsurplus.com/sdi_catalog/salesItemDetails.do?id=91254")</f>
        <v>https://www.fabsurplus.com/sdi_catalog/salesItemDetails.do?id=91254</v>
      </c>
      <c r="B2747" s="5" t="s">
        <v>7789</v>
      </c>
      <c r="C2747" s="5" t="s">
        <v>7775</v>
      </c>
      <c r="D2747" s="5" t="s">
        <v>7790</v>
      </c>
      <c r="E2747" s="5" t="s">
        <v>7791</v>
      </c>
      <c r="F2747" s="5" t="s">
        <v>16</v>
      </c>
      <c r="G2747" s="5" t="s">
        <v>61</v>
      </c>
      <c r="H2747" s="5"/>
      <c r="I2747" s="5"/>
      <c r="J2747" s="5" t="s">
        <v>19</v>
      </c>
      <c r="K2747" s="5"/>
      <c r="L2747" s="5" t="s">
        <v>142</v>
      </c>
    </row>
    <row r="2748" customFormat="false" ht="15.65" hidden="false" customHeight="true" outlineLevel="0" collapsed="false">
      <c r="A2748" s="2" t="str">
        <f aca="false">HYPERLINK("https://www.fabsurplus.com/sdi_catalog/salesItemDetails.do?id=109199")</f>
        <v>https://www.fabsurplus.com/sdi_catalog/salesItemDetails.do?id=109199</v>
      </c>
      <c r="B2748" s="2" t="s">
        <v>7792</v>
      </c>
      <c r="C2748" s="2" t="s">
        <v>7768</v>
      </c>
      <c r="D2748" s="2" t="s">
        <v>7793</v>
      </c>
      <c r="E2748" s="2" t="s">
        <v>2340</v>
      </c>
      <c r="F2748" s="2" t="s">
        <v>16</v>
      </c>
      <c r="G2748" s="2" t="s">
        <v>84</v>
      </c>
      <c r="H2748" s="2"/>
      <c r="I2748" s="2"/>
      <c r="J2748" s="2" t="s">
        <v>19</v>
      </c>
      <c r="K2748" s="2"/>
      <c r="L2748" s="2"/>
    </row>
    <row r="2749" customFormat="false" ht="15.65" hidden="false" customHeight="true" outlineLevel="0" collapsed="false">
      <c r="A2749" s="5" t="str">
        <f aca="false">HYPERLINK("https://www.fabsurplus.com/sdi_catalog/salesItemDetails.do?id=109200")</f>
        <v>https://www.fabsurplus.com/sdi_catalog/salesItemDetails.do?id=109200</v>
      </c>
      <c r="B2749" s="5" t="s">
        <v>7794</v>
      </c>
      <c r="C2749" s="5" t="s">
        <v>7768</v>
      </c>
      <c r="D2749" s="5" t="s">
        <v>7793</v>
      </c>
      <c r="E2749" s="5" t="s">
        <v>2340</v>
      </c>
      <c r="F2749" s="5" t="s">
        <v>16</v>
      </c>
      <c r="G2749" s="5" t="s">
        <v>84</v>
      </c>
      <c r="H2749" s="5"/>
      <c r="I2749" s="5"/>
      <c r="J2749" s="5" t="s">
        <v>19</v>
      </c>
      <c r="K2749" s="5"/>
      <c r="L2749" s="5"/>
    </row>
    <row r="2750" customFormat="false" ht="15.65" hidden="false" customHeight="true" outlineLevel="0" collapsed="false">
      <c r="A2750" s="2" t="str">
        <f aca="false">HYPERLINK("https://www.fabsurplus.com/sdi_catalog/salesItemDetails.do?id=108433")</f>
        <v>https://www.fabsurplus.com/sdi_catalog/salesItemDetails.do?id=108433</v>
      </c>
      <c r="B2750" s="2" t="s">
        <v>7795</v>
      </c>
      <c r="C2750" s="2" t="s">
        <v>7768</v>
      </c>
      <c r="D2750" s="2" t="s">
        <v>7793</v>
      </c>
      <c r="E2750" s="2" t="s">
        <v>2340</v>
      </c>
      <c r="F2750" s="2" t="s">
        <v>86</v>
      </c>
      <c r="G2750" s="2" t="s">
        <v>61</v>
      </c>
      <c r="H2750" s="2"/>
      <c r="I2750" s="2"/>
      <c r="J2750" s="2" t="s">
        <v>19</v>
      </c>
      <c r="K2750" s="2"/>
      <c r="L2750" s="2"/>
    </row>
    <row r="2751" customFormat="false" ht="15.65" hidden="false" customHeight="true" outlineLevel="0" collapsed="false">
      <c r="A2751" s="5" t="str">
        <f aca="false">HYPERLINK("https://www.fabsurplus.com/sdi_catalog/salesItemDetails.do?id=109201")</f>
        <v>https://www.fabsurplus.com/sdi_catalog/salesItemDetails.do?id=109201</v>
      </c>
      <c r="B2751" s="5" t="s">
        <v>7796</v>
      </c>
      <c r="C2751" s="5" t="s">
        <v>7768</v>
      </c>
      <c r="D2751" s="5" t="s">
        <v>7797</v>
      </c>
      <c r="E2751" s="5" t="s">
        <v>2340</v>
      </c>
      <c r="F2751" s="5" t="s">
        <v>16</v>
      </c>
      <c r="G2751" s="5" t="s">
        <v>84</v>
      </c>
      <c r="H2751" s="5"/>
      <c r="I2751" s="5"/>
      <c r="J2751" s="5" t="s">
        <v>19</v>
      </c>
      <c r="K2751" s="5"/>
      <c r="L2751" s="5"/>
    </row>
    <row r="2752" customFormat="false" ht="15.65" hidden="false" customHeight="true" outlineLevel="0" collapsed="false">
      <c r="A2752" s="2" t="str">
        <f aca="false">HYPERLINK("https://www.fabsurplus.com/sdi_catalog/salesItemDetails.do?id=108434")</f>
        <v>https://www.fabsurplus.com/sdi_catalog/salesItemDetails.do?id=108434</v>
      </c>
      <c r="B2752" s="2" t="s">
        <v>7798</v>
      </c>
      <c r="C2752" s="2" t="s">
        <v>7768</v>
      </c>
      <c r="D2752" s="2" t="s">
        <v>7799</v>
      </c>
      <c r="E2752" s="2" t="s">
        <v>2340</v>
      </c>
      <c r="F2752" s="2" t="s">
        <v>16</v>
      </c>
      <c r="G2752" s="2" t="s">
        <v>61</v>
      </c>
      <c r="H2752" s="2"/>
      <c r="I2752" s="2"/>
      <c r="J2752" s="2" t="s">
        <v>19</v>
      </c>
      <c r="K2752" s="2"/>
      <c r="L2752" s="2"/>
    </row>
    <row r="2753" customFormat="false" ht="15.65" hidden="false" customHeight="true" outlineLevel="0" collapsed="false">
      <c r="A2753" s="5" t="str">
        <f aca="false">HYPERLINK("https://www.fabsurplus.com/sdi_catalog/salesItemDetails.do?id=109202")</f>
        <v>https://www.fabsurplus.com/sdi_catalog/salesItemDetails.do?id=109202</v>
      </c>
      <c r="B2753" s="5" t="s">
        <v>7800</v>
      </c>
      <c r="C2753" s="5" t="s">
        <v>7768</v>
      </c>
      <c r="D2753" s="5" t="s">
        <v>7797</v>
      </c>
      <c r="E2753" s="5" t="s">
        <v>2340</v>
      </c>
      <c r="F2753" s="5" t="s">
        <v>16</v>
      </c>
      <c r="G2753" s="5" t="s">
        <v>84</v>
      </c>
      <c r="H2753" s="5"/>
      <c r="I2753" s="5"/>
      <c r="J2753" s="5" t="s">
        <v>19</v>
      </c>
      <c r="K2753" s="5"/>
      <c r="L2753" s="5"/>
    </row>
    <row r="2754" customFormat="false" ht="15.65" hidden="false" customHeight="true" outlineLevel="0" collapsed="false">
      <c r="A2754" s="2" t="str">
        <f aca="false">HYPERLINK("https://www.fabsurplus.com/sdi_catalog/salesItemDetails.do?id=109203")</f>
        <v>https://www.fabsurplus.com/sdi_catalog/salesItemDetails.do?id=109203</v>
      </c>
      <c r="B2754" s="2" t="s">
        <v>7801</v>
      </c>
      <c r="C2754" s="2" t="s">
        <v>7768</v>
      </c>
      <c r="D2754" s="2" t="s">
        <v>7802</v>
      </c>
      <c r="E2754" s="2" t="s">
        <v>2340</v>
      </c>
      <c r="F2754" s="2" t="s">
        <v>16</v>
      </c>
      <c r="G2754" s="2" t="s">
        <v>84</v>
      </c>
      <c r="H2754" s="2"/>
      <c r="I2754" s="2"/>
      <c r="J2754" s="2" t="s">
        <v>19</v>
      </c>
      <c r="K2754" s="2"/>
      <c r="L2754" s="2"/>
    </row>
    <row r="2755" customFormat="false" ht="15.65" hidden="false" customHeight="true" outlineLevel="0" collapsed="false">
      <c r="A2755" s="5" t="str">
        <f aca="false">HYPERLINK("https://www.fabsurplus.com/sdi_catalog/salesItemDetails.do?id=109204")</f>
        <v>https://www.fabsurplus.com/sdi_catalog/salesItemDetails.do?id=109204</v>
      </c>
      <c r="B2755" s="5" t="s">
        <v>7803</v>
      </c>
      <c r="C2755" s="5" t="s">
        <v>7768</v>
      </c>
      <c r="D2755" s="5" t="s">
        <v>7804</v>
      </c>
      <c r="E2755" s="5" t="s">
        <v>2340</v>
      </c>
      <c r="F2755" s="5" t="s">
        <v>16</v>
      </c>
      <c r="G2755" s="5" t="s">
        <v>84</v>
      </c>
      <c r="H2755" s="5"/>
      <c r="I2755" s="5"/>
      <c r="J2755" s="5" t="s">
        <v>19</v>
      </c>
      <c r="K2755" s="5"/>
      <c r="L2755" s="5"/>
    </row>
    <row r="2756" customFormat="false" ht="15.65" hidden="false" customHeight="true" outlineLevel="0" collapsed="false">
      <c r="A2756" s="2" t="str">
        <f aca="false">HYPERLINK("https://www.fabsurplus.com/sdi_catalog/salesItemDetails.do?id=109205")</f>
        <v>https://www.fabsurplus.com/sdi_catalog/salesItemDetails.do?id=109205</v>
      </c>
      <c r="B2756" s="2" t="s">
        <v>7805</v>
      </c>
      <c r="C2756" s="2" t="s">
        <v>7768</v>
      </c>
      <c r="D2756" s="2" t="s">
        <v>7806</v>
      </c>
      <c r="E2756" s="2" t="s">
        <v>2340</v>
      </c>
      <c r="F2756" s="2" t="s">
        <v>16</v>
      </c>
      <c r="G2756" s="2" t="s">
        <v>84</v>
      </c>
      <c r="H2756" s="2"/>
      <c r="I2756" s="2"/>
      <c r="J2756" s="2" t="s">
        <v>19</v>
      </c>
      <c r="K2756" s="2"/>
      <c r="L2756" s="2"/>
    </row>
    <row r="2757" customFormat="false" ht="15.65" hidden="false" customHeight="true" outlineLevel="0" collapsed="false">
      <c r="A2757" s="5" t="str">
        <f aca="false">HYPERLINK("https://www.fabsurplus.com/sdi_catalog/salesItemDetails.do?id=108438")</f>
        <v>https://www.fabsurplus.com/sdi_catalog/salesItemDetails.do?id=108438</v>
      </c>
      <c r="B2757" s="5" t="s">
        <v>7807</v>
      </c>
      <c r="C2757" s="5" t="s">
        <v>7768</v>
      </c>
      <c r="D2757" s="5" t="s">
        <v>7804</v>
      </c>
      <c r="E2757" s="5" t="s">
        <v>2340</v>
      </c>
      <c r="F2757" s="5" t="s">
        <v>203</v>
      </c>
      <c r="G2757" s="5" t="s">
        <v>61</v>
      </c>
      <c r="H2757" s="5"/>
      <c r="I2757" s="5"/>
      <c r="J2757" s="5" t="s">
        <v>19</v>
      </c>
      <c r="K2757" s="5"/>
      <c r="L2757" s="5"/>
    </row>
    <row r="2758" customFormat="false" ht="15.65" hidden="false" customHeight="true" outlineLevel="0" collapsed="false">
      <c r="A2758" s="2" t="str">
        <f aca="false">HYPERLINK("https://www.fabsurplus.com/sdi_catalog/salesItemDetails.do?id=108441")</f>
        <v>https://www.fabsurplus.com/sdi_catalog/salesItemDetails.do?id=108441</v>
      </c>
      <c r="B2758" s="2" t="s">
        <v>7808</v>
      </c>
      <c r="C2758" s="2" t="s">
        <v>7768</v>
      </c>
      <c r="D2758" s="2" t="s">
        <v>7809</v>
      </c>
      <c r="E2758" s="2" t="s">
        <v>2340</v>
      </c>
      <c r="F2758" s="2" t="s">
        <v>16</v>
      </c>
      <c r="G2758" s="2" t="s">
        <v>61</v>
      </c>
      <c r="H2758" s="2"/>
      <c r="I2758" s="2"/>
      <c r="J2758" s="2" t="s">
        <v>19</v>
      </c>
      <c r="K2758" s="2"/>
      <c r="L2758" s="2"/>
    </row>
    <row r="2759" customFormat="false" ht="15.65" hidden="false" customHeight="true" outlineLevel="0" collapsed="false">
      <c r="A2759" s="5" t="str">
        <f aca="false">HYPERLINK("https://www.fabsurplus.com/sdi_catalog/salesItemDetails.do?id=106673")</f>
        <v>https://www.fabsurplus.com/sdi_catalog/salesItemDetails.do?id=106673</v>
      </c>
      <c r="B2759" s="5" t="s">
        <v>7810</v>
      </c>
      <c r="C2759" s="5" t="s">
        <v>7775</v>
      </c>
      <c r="D2759" s="5" t="s">
        <v>7811</v>
      </c>
      <c r="E2759" s="5" t="s">
        <v>7812</v>
      </c>
      <c r="F2759" s="5" t="s">
        <v>16</v>
      </c>
      <c r="G2759" s="5" t="s">
        <v>61</v>
      </c>
      <c r="H2759" s="5"/>
      <c r="I2759" s="6" t="n">
        <v>40330</v>
      </c>
      <c r="J2759" s="5" t="s">
        <v>19</v>
      </c>
      <c r="K2759" s="5"/>
      <c r="L2759" s="5" t="s">
        <v>518</v>
      </c>
    </row>
    <row r="2760" customFormat="false" ht="15.65" hidden="false" customHeight="true" outlineLevel="0" collapsed="false">
      <c r="A2760" s="2" t="str">
        <f aca="false">HYPERLINK("https://www.fabsurplus.com/sdi_catalog/salesItemDetails.do?id=106682")</f>
        <v>https://www.fabsurplus.com/sdi_catalog/salesItemDetails.do?id=106682</v>
      </c>
      <c r="B2760" s="2" t="s">
        <v>7813</v>
      </c>
      <c r="C2760" s="2" t="s">
        <v>7775</v>
      </c>
      <c r="D2760" s="2" t="s">
        <v>7811</v>
      </c>
      <c r="E2760" s="2" t="s">
        <v>7812</v>
      </c>
      <c r="F2760" s="2" t="s">
        <v>16</v>
      </c>
      <c r="G2760" s="2" t="s">
        <v>61</v>
      </c>
      <c r="H2760" s="2"/>
      <c r="I2760" s="3" t="n">
        <v>39234</v>
      </c>
      <c r="J2760" s="2" t="s">
        <v>19</v>
      </c>
      <c r="K2760" s="2"/>
      <c r="L2760" s="2" t="s">
        <v>518</v>
      </c>
    </row>
    <row r="2761" customFormat="false" ht="15.65" hidden="false" customHeight="true" outlineLevel="0" collapsed="false">
      <c r="A2761" s="5" t="str">
        <f aca="false">HYPERLINK("https://www.fabsurplus.com/sdi_catalog/salesItemDetails.do?id=106683")</f>
        <v>https://www.fabsurplus.com/sdi_catalog/salesItemDetails.do?id=106683</v>
      </c>
      <c r="B2761" s="5" t="s">
        <v>7814</v>
      </c>
      <c r="C2761" s="5" t="s">
        <v>7775</v>
      </c>
      <c r="D2761" s="5" t="s">
        <v>7790</v>
      </c>
      <c r="E2761" s="5" t="s">
        <v>7815</v>
      </c>
      <c r="F2761" s="5" t="s">
        <v>16</v>
      </c>
      <c r="G2761" s="5" t="s">
        <v>61</v>
      </c>
      <c r="H2761" s="5"/>
      <c r="I2761" s="5"/>
      <c r="J2761" s="5" t="s">
        <v>19</v>
      </c>
      <c r="K2761" s="5"/>
      <c r="L2761" s="5" t="s">
        <v>518</v>
      </c>
    </row>
    <row r="2762" customFormat="false" ht="15.65" hidden="false" customHeight="true" outlineLevel="0" collapsed="false">
      <c r="A2762" s="2" t="str">
        <f aca="false">HYPERLINK("https://www.fabsurplus.com/sdi_catalog/salesItemDetails.do?id=106684")</f>
        <v>https://www.fabsurplus.com/sdi_catalog/salesItemDetails.do?id=106684</v>
      </c>
      <c r="B2762" s="2" t="s">
        <v>7816</v>
      </c>
      <c r="C2762" s="2" t="s">
        <v>7775</v>
      </c>
      <c r="D2762" s="2" t="s">
        <v>7790</v>
      </c>
      <c r="E2762" s="2" t="s">
        <v>7815</v>
      </c>
      <c r="F2762" s="2" t="s">
        <v>16</v>
      </c>
      <c r="G2762" s="2" t="s">
        <v>61</v>
      </c>
      <c r="H2762" s="2"/>
      <c r="I2762" s="2"/>
      <c r="J2762" s="2" t="s">
        <v>19</v>
      </c>
      <c r="K2762" s="2"/>
      <c r="L2762" s="2" t="s">
        <v>518</v>
      </c>
    </row>
    <row r="2763" customFormat="false" ht="15.65" hidden="false" customHeight="true" outlineLevel="0" collapsed="false">
      <c r="A2763" s="5" t="str">
        <f aca="false">HYPERLINK("https://www.fabsurplus.com/sdi_catalog/salesItemDetails.do?id=106685")</f>
        <v>https://www.fabsurplus.com/sdi_catalog/salesItemDetails.do?id=106685</v>
      </c>
      <c r="B2763" s="5" t="s">
        <v>7817</v>
      </c>
      <c r="C2763" s="5" t="s">
        <v>7775</v>
      </c>
      <c r="D2763" s="5" t="s">
        <v>7790</v>
      </c>
      <c r="E2763" s="5" t="s">
        <v>7815</v>
      </c>
      <c r="F2763" s="5" t="s">
        <v>16</v>
      </c>
      <c r="G2763" s="5" t="s">
        <v>61</v>
      </c>
      <c r="H2763" s="5"/>
      <c r="I2763" s="5"/>
      <c r="J2763" s="5" t="s">
        <v>19</v>
      </c>
      <c r="K2763" s="5"/>
      <c r="L2763" s="5" t="s">
        <v>518</v>
      </c>
    </row>
    <row r="2764" customFormat="false" ht="15.65" hidden="false" customHeight="true" outlineLevel="0" collapsed="false">
      <c r="A2764" s="2" t="str">
        <f aca="false">HYPERLINK("https://www.fabsurplus.com/sdi_catalog/salesItemDetails.do?id=106686")</f>
        <v>https://www.fabsurplus.com/sdi_catalog/salesItemDetails.do?id=106686</v>
      </c>
      <c r="B2764" s="2" t="s">
        <v>7818</v>
      </c>
      <c r="C2764" s="2" t="s">
        <v>7775</v>
      </c>
      <c r="D2764" s="2" t="s">
        <v>7790</v>
      </c>
      <c r="E2764" s="2" t="s">
        <v>7815</v>
      </c>
      <c r="F2764" s="2" t="s">
        <v>16</v>
      </c>
      <c r="G2764" s="2" t="s">
        <v>61</v>
      </c>
      <c r="H2764" s="2"/>
      <c r="I2764" s="2"/>
      <c r="J2764" s="2" t="s">
        <v>19</v>
      </c>
      <c r="K2764" s="2"/>
      <c r="L2764" s="2" t="s">
        <v>518</v>
      </c>
    </row>
    <row r="2765" customFormat="false" ht="15.65" hidden="false" customHeight="true" outlineLevel="0" collapsed="false">
      <c r="A2765" s="5" t="str">
        <f aca="false">HYPERLINK("https://www.fabsurplus.com/sdi_catalog/salesItemDetails.do?id=106687")</f>
        <v>https://www.fabsurplus.com/sdi_catalog/salesItemDetails.do?id=106687</v>
      </c>
      <c r="B2765" s="5" t="s">
        <v>7819</v>
      </c>
      <c r="C2765" s="5" t="s">
        <v>7775</v>
      </c>
      <c r="D2765" s="5" t="s">
        <v>7790</v>
      </c>
      <c r="E2765" s="5" t="s">
        <v>7815</v>
      </c>
      <c r="F2765" s="5" t="s">
        <v>16</v>
      </c>
      <c r="G2765" s="5" t="s">
        <v>61</v>
      </c>
      <c r="H2765" s="5"/>
      <c r="I2765" s="5"/>
      <c r="J2765" s="5" t="s">
        <v>19</v>
      </c>
      <c r="K2765" s="5"/>
      <c r="L2765" s="5" t="s">
        <v>518</v>
      </c>
    </row>
    <row r="2766" customFormat="false" ht="15.65" hidden="false" customHeight="true" outlineLevel="0" collapsed="false">
      <c r="A2766" s="2" t="str">
        <f aca="false">HYPERLINK("https://www.fabsurplus.com/sdi_catalog/salesItemDetails.do?id=106688")</f>
        <v>https://www.fabsurplus.com/sdi_catalog/salesItemDetails.do?id=106688</v>
      </c>
      <c r="B2766" s="2" t="s">
        <v>7820</v>
      </c>
      <c r="C2766" s="2" t="s">
        <v>7775</v>
      </c>
      <c r="D2766" s="2" t="s">
        <v>7790</v>
      </c>
      <c r="E2766" s="2" t="s">
        <v>7821</v>
      </c>
      <c r="F2766" s="2" t="s">
        <v>16</v>
      </c>
      <c r="G2766" s="2" t="s">
        <v>61</v>
      </c>
      <c r="H2766" s="2"/>
      <c r="I2766" s="2"/>
      <c r="J2766" s="2" t="s">
        <v>19</v>
      </c>
      <c r="K2766" s="2"/>
      <c r="L2766" s="2" t="s">
        <v>518</v>
      </c>
    </row>
    <row r="2767" customFormat="false" ht="15.65" hidden="false" customHeight="true" outlineLevel="0" collapsed="false">
      <c r="A2767" s="5" t="str">
        <f aca="false">HYPERLINK("https://www.fabsurplus.com/sdi_catalog/salesItemDetails.do?id=83931")</f>
        <v>https://www.fabsurplus.com/sdi_catalog/salesItemDetails.do?id=83931</v>
      </c>
      <c r="B2767" s="5" t="s">
        <v>7822</v>
      </c>
      <c r="C2767" s="5" t="s">
        <v>7775</v>
      </c>
      <c r="D2767" s="5" t="s">
        <v>7823</v>
      </c>
      <c r="E2767" s="5" t="s">
        <v>7824</v>
      </c>
      <c r="F2767" s="5" t="s">
        <v>55</v>
      </c>
      <c r="G2767" s="5"/>
      <c r="H2767" s="5" t="s">
        <v>18</v>
      </c>
      <c r="I2767" s="5"/>
      <c r="J2767" s="5" t="s">
        <v>19</v>
      </c>
      <c r="K2767" s="5" t="s">
        <v>20</v>
      </c>
      <c r="L2767" s="7" t="s">
        <v>7825</v>
      </c>
    </row>
    <row r="2768" customFormat="false" ht="15.65" hidden="false" customHeight="true" outlineLevel="0" collapsed="false">
      <c r="A2768" s="2" t="str">
        <f aca="false">HYPERLINK("https://www.fabsurplus.com/sdi_catalog/salesItemDetails.do?id=109026")</f>
        <v>https://www.fabsurplus.com/sdi_catalog/salesItemDetails.do?id=109026</v>
      </c>
      <c r="B2768" s="2" t="s">
        <v>7826</v>
      </c>
      <c r="C2768" s="2" t="s">
        <v>7768</v>
      </c>
      <c r="D2768" s="2" t="s">
        <v>7827</v>
      </c>
      <c r="E2768" s="2" t="s">
        <v>7828</v>
      </c>
      <c r="F2768" s="2" t="s">
        <v>16</v>
      </c>
      <c r="G2768" s="2" t="s">
        <v>1293</v>
      </c>
      <c r="H2768" s="2" t="s">
        <v>275</v>
      </c>
      <c r="I2768" s="3" t="n">
        <v>36678</v>
      </c>
      <c r="J2768" s="2" t="s">
        <v>286</v>
      </c>
      <c r="K2768" s="2" t="s">
        <v>20</v>
      </c>
      <c r="L2768" s="4" t="s">
        <v>7829</v>
      </c>
    </row>
    <row r="2769" customFormat="false" ht="15.65" hidden="false" customHeight="true" outlineLevel="0" collapsed="false">
      <c r="A2769" s="5" t="str">
        <f aca="false">HYPERLINK("https://www.fabsurplus.com/sdi_catalog/salesItemDetails.do?id=108006")</f>
        <v>https://www.fabsurplus.com/sdi_catalog/salesItemDetails.do?id=108006</v>
      </c>
      <c r="B2769" s="5" t="s">
        <v>7830</v>
      </c>
      <c r="C2769" s="5" t="s">
        <v>7768</v>
      </c>
      <c r="D2769" s="5" t="s">
        <v>7831</v>
      </c>
      <c r="E2769" s="5" t="s">
        <v>7832</v>
      </c>
      <c r="F2769" s="5" t="s">
        <v>151</v>
      </c>
      <c r="G2769" s="5" t="s">
        <v>38</v>
      </c>
      <c r="H2769" s="5" t="s">
        <v>32</v>
      </c>
      <c r="I2769" s="5"/>
      <c r="J2769" s="5" t="s">
        <v>19</v>
      </c>
      <c r="K2769" s="5" t="s">
        <v>20</v>
      </c>
      <c r="L2769" s="5"/>
    </row>
    <row r="2770" customFormat="false" ht="15.65" hidden="false" customHeight="true" outlineLevel="0" collapsed="false">
      <c r="A2770" s="2" t="str">
        <f aca="false">HYPERLINK("https://www.fabsurplus.com/sdi_catalog/salesItemDetails.do?id=108007")</f>
        <v>https://www.fabsurplus.com/sdi_catalog/salesItemDetails.do?id=108007</v>
      </c>
      <c r="B2770" s="2" t="s">
        <v>7833</v>
      </c>
      <c r="C2770" s="2" t="s">
        <v>7768</v>
      </c>
      <c r="D2770" s="2" t="s">
        <v>7834</v>
      </c>
      <c r="E2770" s="2" t="s">
        <v>7835</v>
      </c>
      <c r="F2770" s="2" t="s">
        <v>16</v>
      </c>
      <c r="G2770" s="2" t="s">
        <v>38</v>
      </c>
      <c r="H2770" s="2" t="s">
        <v>32</v>
      </c>
      <c r="I2770" s="3" t="n">
        <v>36770</v>
      </c>
      <c r="J2770" s="2" t="s">
        <v>19</v>
      </c>
      <c r="K2770" s="2" t="s">
        <v>20</v>
      </c>
      <c r="L2770" s="4" t="s">
        <v>7836</v>
      </c>
    </row>
    <row r="2771" customFormat="false" ht="15.65" hidden="false" customHeight="true" outlineLevel="0" collapsed="false">
      <c r="A2771" s="5" t="str">
        <f aca="false">HYPERLINK("https://www.fabsurplus.com/sdi_catalog/salesItemDetails.do?id=108920")</f>
        <v>https://www.fabsurplus.com/sdi_catalog/salesItemDetails.do?id=108920</v>
      </c>
      <c r="B2771" s="5" t="s">
        <v>7837</v>
      </c>
      <c r="C2771" s="5" t="s">
        <v>7838</v>
      </c>
      <c r="D2771" s="5" t="s">
        <v>7839</v>
      </c>
      <c r="E2771" s="5" t="s">
        <v>6074</v>
      </c>
      <c r="F2771" s="5" t="s">
        <v>151</v>
      </c>
      <c r="G2771" s="5" t="s">
        <v>7840</v>
      </c>
      <c r="H2771" s="5" t="s">
        <v>18</v>
      </c>
      <c r="I2771" s="6" t="n">
        <v>37012</v>
      </c>
      <c r="J2771" s="5" t="s">
        <v>19</v>
      </c>
      <c r="K2771" s="5" t="s">
        <v>20</v>
      </c>
      <c r="L2771" s="7" t="s">
        <v>7841</v>
      </c>
    </row>
    <row r="2772" customFormat="false" ht="15.65" hidden="false" customHeight="true" outlineLevel="0" collapsed="false">
      <c r="A2772" s="2" t="str">
        <f aca="false">HYPERLINK("https://www.fabsurplus.com/sdi_catalog/salesItemDetails.do?id=106689")</f>
        <v>https://www.fabsurplus.com/sdi_catalog/salesItemDetails.do?id=106689</v>
      </c>
      <c r="B2772" s="2" t="s">
        <v>7842</v>
      </c>
      <c r="C2772" s="2" t="s">
        <v>7843</v>
      </c>
      <c r="D2772" s="2" t="s">
        <v>7844</v>
      </c>
      <c r="E2772" s="2" t="s">
        <v>1877</v>
      </c>
      <c r="F2772" s="2" t="s">
        <v>16</v>
      </c>
      <c r="G2772" s="2" t="s">
        <v>61</v>
      </c>
      <c r="H2772" s="2"/>
      <c r="I2772" s="3" t="n">
        <v>40330</v>
      </c>
      <c r="J2772" s="2" t="s">
        <v>19</v>
      </c>
      <c r="K2772" s="2"/>
      <c r="L2772" s="2" t="s">
        <v>518</v>
      </c>
    </row>
    <row r="2773" customFormat="false" ht="15.65" hidden="false" customHeight="true" outlineLevel="0" collapsed="false">
      <c r="A2773" s="5" t="str">
        <f aca="false">HYPERLINK("https://www.fabsurplus.com/sdi_catalog/salesItemDetails.do?id=106690")</f>
        <v>https://www.fabsurplus.com/sdi_catalog/salesItemDetails.do?id=106690</v>
      </c>
      <c r="B2773" s="5" t="s">
        <v>7845</v>
      </c>
      <c r="C2773" s="5" t="s">
        <v>7843</v>
      </c>
      <c r="D2773" s="5" t="s">
        <v>7846</v>
      </c>
      <c r="E2773" s="5" t="s">
        <v>7847</v>
      </c>
      <c r="F2773" s="5" t="s">
        <v>16</v>
      </c>
      <c r="G2773" s="5" t="s">
        <v>7848</v>
      </c>
      <c r="H2773" s="5"/>
      <c r="I2773" s="5"/>
      <c r="J2773" s="5" t="s">
        <v>19</v>
      </c>
      <c r="K2773" s="5"/>
      <c r="L2773" s="5" t="s">
        <v>518</v>
      </c>
    </row>
    <row r="2774" customFormat="false" ht="15.65" hidden="false" customHeight="true" outlineLevel="0" collapsed="false">
      <c r="A2774" s="2" t="str">
        <f aca="false">HYPERLINK("https://www.fabsurplus.com/sdi_catalog/salesItemDetails.do?id=84773")</f>
        <v>https://www.fabsurplus.com/sdi_catalog/salesItemDetails.do?id=84773</v>
      </c>
      <c r="B2774" s="2" t="s">
        <v>7849</v>
      </c>
      <c r="C2774" s="2" t="s">
        <v>7850</v>
      </c>
      <c r="D2774" s="2" t="s">
        <v>7851</v>
      </c>
      <c r="E2774" s="2" t="s">
        <v>7852</v>
      </c>
      <c r="F2774" s="2" t="s">
        <v>16</v>
      </c>
      <c r="G2774" s="2" t="s">
        <v>97</v>
      </c>
      <c r="H2774" s="2" t="s">
        <v>18</v>
      </c>
      <c r="I2774" s="3" t="n">
        <v>35946.9166666667</v>
      </c>
      <c r="J2774" s="2" t="s">
        <v>19</v>
      </c>
      <c r="K2774" s="2" t="s">
        <v>20</v>
      </c>
      <c r="L2774" s="4" t="s">
        <v>7853</v>
      </c>
    </row>
    <row r="2775" customFormat="false" ht="15.65" hidden="false" customHeight="true" outlineLevel="0" collapsed="false">
      <c r="A2775" s="5" t="str">
        <f aca="false">HYPERLINK("https://www.fabsurplus.com/sdi_catalog/salesItemDetails.do?id=106895")</f>
        <v>https://www.fabsurplus.com/sdi_catalog/salesItemDetails.do?id=106895</v>
      </c>
      <c r="B2775" s="5" t="s">
        <v>7854</v>
      </c>
      <c r="C2775" s="5" t="s">
        <v>7855</v>
      </c>
      <c r="D2775" s="5" t="s">
        <v>7856</v>
      </c>
      <c r="E2775" s="5" t="s">
        <v>7857</v>
      </c>
      <c r="F2775" s="5" t="s">
        <v>16</v>
      </c>
      <c r="G2775" s="5"/>
      <c r="H2775" s="5" t="s">
        <v>32</v>
      </c>
      <c r="I2775" s="5"/>
      <c r="J2775" s="5" t="s">
        <v>19</v>
      </c>
      <c r="K2775" s="5"/>
      <c r="L2775" s="5"/>
    </row>
    <row r="2776" customFormat="false" ht="15.65" hidden="false" customHeight="true" outlineLevel="0" collapsed="false">
      <c r="A2776" s="2" t="str">
        <f aca="false">HYPERLINK("https://www.fabsurplus.com/sdi_catalog/salesItemDetails.do?id=84228")</f>
        <v>https://www.fabsurplus.com/sdi_catalog/salesItemDetails.do?id=84228</v>
      </c>
      <c r="B2776" s="2" t="s">
        <v>7858</v>
      </c>
      <c r="C2776" s="2" t="s">
        <v>7859</v>
      </c>
      <c r="D2776" s="2" t="s">
        <v>7860</v>
      </c>
      <c r="E2776" s="2" t="s">
        <v>7861</v>
      </c>
      <c r="F2776" s="2" t="s">
        <v>151</v>
      </c>
      <c r="G2776" s="2" t="s">
        <v>104</v>
      </c>
      <c r="H2776" s="2" t="s">
        <v>32</v>
      </c>
      <c r="I2776" s="2"/>
      <c r="J2776" s="2" t="s">
        <v>19</v>
      </c>
      <c r="K2776" s="2" t="s">
        <v>20</v>
      </c>
      <c r="L2776" s="4" t="s">
        <v>7862</v>
      </c>
    </row>
    <row r="2777" customFormat="false" ht="15.65" hidden="false" customHeight="true" outlineLevel="0" collapsed="false">
      <c r="A2777" s="5" t="str">
        <f aca="false">HYPERLINK("https://www.fabsurplus.com/sdi_catalog/salesItemDetails.do?id=84229")</f>
        <v>https://www.fabsurplus.com/sdi_catalog/salesItemDetails.do?id=84229</v>
      </c>
      <c r="B2777" s="5" t="s">
        <v>7863</v>
      </c>
      <c r="C2777" s="5" t="s">
        <v>7859</v>
      </c>
      <c r="D2777" s="5" t="s">
        <v>7864</v>
      </c>
      <c r="E2777" s="5" t="s">
        <v>7861</v>
      </c>
      <c r="F2777" s="5" t="s">
        <v>151</v>
      </c>
      <c r="G2777" s="5" t="s">
        <v>104</v>
      </c>
      <c r="H2777" s="5" t="s">
        <v>32</v>
      </c>
      <c r="I2777" s="5"/>
      <c r="J2777" s="5" t="s">
        <v>19</v>
      </c>
      <c r="K2777" s="5" t="s">
        <v>20</v>
      </c>
      <c r="L2777" s="7" t="s">
        <v>7865</v>
      </c>
    </row>
    <row r="2778" customFormat="false" ht="15.65" hidden="false" customHeight="true" outlineLevel="0" collapsed="false">
      <c r="A2778" s="2" t="str">
        <f aca="false">HYPERLINK("https://www.fabsurplus.com/sdi_catalog/salesItemDetails.do?id=84230")</f>
        <v>https://www.fabsurplus.com/sdi_catalog/salesItemDetails.do?id=84230</v>
      </c>
      <c r="B2778" s="2" t="s">
        <v>7866</v>
      </c>
      <c r="C2778" s="2" t="s">
        <v>7859</v>
      </c>
      <c r="D2778" s="2" t="s">
        <v>7867</v>
      </c>
      <c r="E2778" s="2" t="s">
        <v>7868</v>
      </c>
      <c r="F2778" s="2" t="s">
        <v>151</v>
      </c>
      <c r="G2778" s="2" t="s">
        <v>104</v>
      </c>
      <c r="H2778" s="2" t="s">
        <v>32</v>
      </c>
      <c r="I2778" s="2"/>
      <c r="J2778" s="2" t="s">
        <v>19</v>
      </c>
      <c r="K2778" s="2" t="s">
        <v>20</v>
      </c>
      <c r="L2778" s="4" t="s">
        <v>7869</v>
      </c>
    </row>
    <row r="2779" customFormat="false" ht="15.65" hidden="false" customHeight="true" outlineLevel="0" collapsed="false">
      <c r="A2779" s="5" t="str">
        <f aca="false">HYPERLINK("https://www.fabsurplus.com/sdi_catalog/salesItemDetails.do?id=84282")</f>
        <v>https://www.fabsurplus.com/sdi_catalog/salesItemDetails.do?id=84282</v>
      </c>
      <c r="B2779" s="5" t="s">
        <v>7870</v>
      </c>
      <c r="C2779" s="5" t="s">
        <v>7859</v>
      </c>
      <c r="D2779" s="5" t="s">
        <v>7871</v>
      </c>
      <c r="E2779" s="5" t="s">
        <v>7872</v>
      </c>
      <c r="F2779" s="5" t="s">
        <v>203</v>
      </c>
      <c r="G2779" s="5" t="s">
        <v>104</v>
      </c>
      <c r="H2779" s="5" t="s">
        <v>32</v>
      </c>
      <c r="I2779" s="5"/>
      <c r="J2779" s="5" t="s">
        <v>19</v>
      </c>
      <c r="K2779" s="5" t="s">
        <v>20</v>
      </c>
      <c r="L2779" s="7" t="s">
        <v>7873</v>
      </c>
    </row>
    <row r="2780" customFormat="false" ht="15.65" hidden="false" customHeight="true" outlineLevel="0" collapsed="false">
      <c r="A2780" s="2" t="str">
        <f aca="false">HYPERLINK("https://www.fabsurplus.com/sdi_catalog/salesItemDetails.do?id=84212")</f>
        <v>https://www.fabsurplus.com/sdi_catalog/salesItemDetails.do?id=84212</v>
      </c>
      <c r="B2780" s="2" t="s">
        <v>7874</v>
      </c>
      <c r="C2780" s="2" t="s">
        <v>7859</v>
      </c>
      <c r="D2780" s="2" t="s">
        <v>7875</v>
      </c>
      <c r="E2780" s="2" t="s">
        <v>7861</v>
      </c>
      <c r="F2780" s="2" t="s">
        <v>151</v>
      </c>
      <c r="G2780" s="2" t="s">
        <v>104</v>
      </c>
      <c r="H2780" s="2" t="s">
        <v>32</v>
      </c>
      <c r="I2780" s="2"/>
      <c r="J2780" s="2" t="s">
        <v>19</v>
      </c>
      <c r="K2780" s="2" t="s">
        <v>20</v>
      </c>
      <c r="L2780" s="4" t="s">
        <v>7862</v>
      </c>
    </row>
    <row r="2781" customFormat="false" ht="15.65" hidden="false" customHeight="true" outlineLevel="0" collapsed="false">
      <c r="A2781" s="5" t="str">
        <f aca="false">HYPERLINK("https://www.fabsurplus.com/sdi_catalog/salesItemDetails.do?id=110325")</f>
        <v>https://www.fabsurplus.com/sdi_catalog/salesItemDetails.do?id=110325</v>
      </c>
      <c r="B2781" s="5" t="s">
        <v>7876</v>
      </c>
      <c r="C2781" s="5" t="s">
        <v>7877</v>
      </c>
      <c r="D2781" s="5" t="s">
        <v>7878</v>
      </c>
      <c r="E2781" s="5" t="s">
        <v>763</v>
      </c>
      <c r="F2781" s="5" t="s">
        <v>16</v>
      </c>
      <c r="G2781" s="5" t="s">
        <v>165</v>
      </c>
      <c r="H2781" s="5"/>
      <c r="I2781" s="5"/>
      <c r="J2781" s="5" t="s">
        <v>42</v>
      </c>
      <c r="K2781" s="5"/>
      <c r="L2781" s="5" t="s">
        <v>7879</v>
      </c>
    </row>
    <row r="2782" customFormat="false" ht="15.65" hidden="false" customHeight="true" outlineLevel="0" collapsed="false">
      <c r="A2782" s="2" t="str">
        <f aca="false">HYPERLINK("https://www.fabsurplus.com/sdi_catalog/salesItemDetails.do?id=109436")</f>
        <v>https://www.fabsurplus.com/sdi_catalog/salesItemDetails.do?id=109436</v>
      </c>
      <c r="B2782" s="2" t="s">
        <v>7880</v>
      </c>
      <c r="C2782" s="2" t="s">
        <v>7881</v>
      </c>
      <c r="D2782" s="2" t="s">
        <v>7882</v>
      </c>
      <c r="E2782" s="2" t="s">
        <v>103</v>
      </c>
      <c r="F2782" s="2" t="s">
        <v>16</v>
      </c>
      <c r="G2782" s="2" t="s">
        <v>104</v>
      </c>
      <c r="H2782" s="2"/>
      <c r="I2782" s="2"/>
      <c r="J2782" s="2" t="s">
        <v>19</v>
      </c>
      <c r="K2782" s="2"/>
      <c r="L2782" s="2"/>
    </row>
    <row r="2783" customFormat="false" ht="15.65" hidden="false" customHeight="true" outlineLevel="0" collapsed="false">
      <c r="A2783" s="5" t="str">
        <f aca="false">HYPERLINK("https://www.fabsurplus.com/sdi_catalog/salesItemDetails.do?id=109437")</f>
        <v>https://www.fabsurplus.com/sdi_catalog/salesItemDetails.do?id=109437</v>
      </c>
      <c r="B2783" s="5" t="s">
        <v>7883</v>
      </c>
      <c r="C2783" s="5" t="s">
        <v>7881</v>
      </c>
      <c r="D2783" s="5" t="s">
        <v>7884</v>
      </c>
      <c r="E2783" s="5" t="s">
        <v>103</v>
      </c>
      <c r="F2783" s="5" t="s">
        <v>151</v>
      </c>
      <c r="G2783" s="5" t="s">
        <v>104</v>
      </c>
      <c r="H2783" s="5"/>
      <c r="I2783" s="5"/>
      <c r="J2783" s="5" t="s">
        <v>19</v>
      </c>
      <c r="K2783" s="5"/>
      <c r="L2783" s="5"/>
    </row>
    <row r="2784" customFormat="false" ht="15.65" hidden="false" customHeight="true" outlineLevel="0" collapsed="false">
      <c r="A2784" s="2" t="str">
        <f aca="false">HYPERLINK("https://www.fabsurplus.com/sdi_catalog/salesItemDetails.do?id=109438")</f>
        <v>https://www.fabsurplus.com/sdi_catalog/salesItemDetails.do?id=109438</v>
      </c>
      <c r="B2784" s="2" t="s">
        <v>7885</v>
      </c>
      <c r="C2784" s="2" t="s">
        <v>7881</v>
      </c>
      <c r="D2784" s="2" t="s">
        <v>7886</v>
      </c>
      <c r="E2784" s="2" t="s">
        <v>103</v>
      </c>
      <c r="F2784" s="2" t="s">
        <v>7887</v>
      </c>
      <c r="G2784" s="2" t="s">
        <v>104</v>
      </c>
      <c r="H2784" s="2"/>
      <c r="I2784" s="2"/>
      <c r="J2784" s="2" t="s">
        <v>19</v>
      </c>
      <c r="K2784" s="2"/>
      <c r="L2784" s="2" t="s">
        <v>7888</v>
      </c>
    </row>
    <row r="2785" customFormat="false" ht="15.65" hidden="false" customHeight="true" outlineLevel="0" collapsed="false">
      <c r="A2785" s="5" t="str">
        <f aca="false">HYPERLINK("https://www.fabsurplus.com/sdi_catalog/salesItemDetails.do?id=109439")</f>
        <v>https://www.fabsurplus.com/sdi_catalog/salesItemDetails.do?id=109439</v>
      </c>
      <c r="B2785" s="5" t="s">
        <v>7889</v>
      </c>
      <c r="C2785" s="5" t="s">
        <v>7881</v>
      </c>
      <c r="D2785" s="5" t="s">
        <v>7890</v>
      </c>
      <c r="E2785" s="5" t="s">
        <v>103</v>
      </c>
      <c r="F2785" s="5" t="s">
        <v>16</v>
      </c>
      <c r="G2785" s="5" t="s">
        <v>104</v>
      </c>
      <c r="H2785" s="5"/>
      <c r="I2785" s="5"/>
      <c r="J2785" s="5" t="s">
        <v>19</v>
      </c>
      <c r="K2785" s="5"/>
      <c r="L2785" s="5"/>
    </row>
    <row r="2786" customFormat="false" ht="15.65" hidden="false" customHeight="true" outlineLevel="0" collapsed="false">
      <c r="A2786" s="2" t="str">
        <f aca="false">HYPERLINK("https://www.fabsurplus.com/sdi_catalog/salesItemDetails.do?id=109440")</f>
        <v>https://www.fabsurplus.com/sdi_catalog/salesItemDetails.do?id=109440</v>
      </c>
      <c r="B2786" s="2" t="s">
        <v>7891</v>
      </c>
      <c r="C2786" s="2" t="s">
        <v>7881</v>
      </c>
      <c r="D2786" s="2" t="s">
        <v>7892</v>
      </c>
      <c r="E2786" s="2" t="s">
        <v>103</v>
      </c>
      <c r="F2786" s="2" t="s">
        <v>2550</v>
      </c>
      <c r="G2786" s="2" t="s">
        <v>104</v>
      </c>
      <c r="H2786" s="2"/>
      <c r="I2786" s="2"/>
      <c r="J2786" s="2" t="s">
        <v>19</v>
      </c>
      <c r="K2786" s="2"/>
      <c r="L2786" s="2" t="s">
        <v>7893</v>
      </c>
    </row>
    <row r="2787" customFormat="false" ht="15.65" hidden="false" customHeight="true" outlineLevel="0" collapsed="false">
      <c r="A2787" s="5" t="str">
        <f aca="false">HYPERLINK("https://www.fabsurplus.com/sdi_catalog/salesItemDetails.do?id=108761")</f>
        <v>https://www.fabsurplus.com/sdi_catalog/salesItemDetails.do?id=108761</v>
      </c>
      <c r="B2787" s="5" t="s">
        <v>7894</v>
      </c>
      <c r="C2787" s="5" t="s">
        <v>7895</v>
      </c>
      <c r="D2787" s="5" t="s">
        <v>7896</v>
      </c>
      <c r="E2787" s="5" t="s">
        <v>7897</v>
      </c>
      <c r="F2787" s="5" t="s">
        <v>16</v>
      </c>
      <c r="G2787" s="5" t="s">
        <v>3031</v>
      </c>
      <c r="H2787" s="5" t="s">
        <v>18</v>
      </c>
      <c r="I2787" s="5"/>
      <c r="J2787" s="5" t="s">
        <v>19</v>
      </c>
      <c r="K2787" s="5" t="s">
        <v>20</v>
      </c>
      <c r="L2787" s="7" t="s">
        <v>7898</v>
      </c>
    </row>
    <row r="2788" customFormat="false" ht="15.65" hidden="false" customHeight="true" outlineLevel="0" collapsed="false">
      <c r="A2788" s="2" t="str">
        <f aca="false">HYPERLINK("https://www.fabsurplus.com/sdi_catalog/salesItemDetails.do?id=2873")</f>
        <v>https://www.fabsurplus.com/sdi_catalog/salesItemDetails.do?id=2873</v>
      </c>
      <c r="B2788" s="2" t="s">
        <v>7899</v>
      </c>
      <c r="C2788" s="2" t="s">
        <v>7900</v>
      </c>
      <c r="D2788" s="2" t="s">
        <v>7901</v>
      </c>
      <c r="E2788" s="2" t="s">
        <v>7902</v>
      </c>
      <c r="F2788" s="2" t="s">
        <v>16</v>
      </c>
      <c r="G2788" s="2" t="s">
        <v>1272</v>
      </c>
      <c r="H2788" s="2" t="s">
        <v>32</v>
      </c>
      <c r="I2788" s="3" t="n">
        <v>34669</v>
      </c>
      <c r="J2788" s="2" t="s">
        <v>19</v>
      </c>
      <c r="K2788" s="2" t="s">
        <v>20</v>
      </c>
      <c r="L2788" s="4" t="s">
        <v>7903</v>
      </c>
    </row>
    <row r="2789" customFormat="false" ht="15.65" hidden="false" customHeight="true" outlineLevel="0" collapsed="false">
      <c r="A2789" s="5" t="str">
        <f aca="false">HYPERLINK("https://www.fabsurplus.com/sdi_catalog/salesItemDetails.do?id=106874")</f>
        <v>https://www.fabsurplus.com/sdi_catalog/salesItemDetails.do?id=106874</v>
      </c>
      <c r="B2789" s="5" t="s">
        <v>7904</v>
      </c>
      <c r="C2789" s="5" t="s">
        <v>7900</v>
      </c>
      <c r="D2789" s="5" t="s">
        <v>7905</v>
      </c>
      <c r="E2789" s="5" t="s">
        <v>7906</v>
      </c>
      <c r="F2789" s="5" t="s">
        <v>16</v>
      </c>
      <c r="G2789" s="5" t="s">
        <v>61</v>
      </c>
      <c r="H2789" s="5" t="s">
        <v>18</v>
      </c>
      <c r="I2789" s="6" t="n">
        <v>38169</v>
      </c>
      <c r="J2789" s="5" t="s">
        <v>19</v>
      </c>
      <c r="K2789" s="5" t="s">
        <v>20</v>
      </c>
      <c r="L2789" s="7" t="s">
        <v>7907</v>
      </c>
    </row>
    <row r="2790" customFormat="false" ht="15.65" hidden="false" customHeight="true" outlineLevel="0" collapsed="false">
      <c r="A2790" s="2" t="str">
        <f aca="false">HYPERLINK("https://www.fabsurplus.com/sdi_catalog/salesItemDetails.do?id=109441")</f>
        <v>https://www.fabsurplus.com/sdi_catalog/salesItemDetails.do?id=109441</v>
      </c>
      <c r="B2790" s="2" t="s">
        <v>7908</v>
      </c>
      <c r="C2790" s="2" t="s">
        <v>7909</v>
      </c>
      <c r="D2790" s="2" t="s">
        <v>7910</v>
      </c>
      <c r="E2790" s="2" t="s">
        <v>103</v>
      </c>
      <c r="F2790" s="2" t="s">
        <v>16</v>
      </c>
      <c r="G2790" s="2" t="s">
        <v>104</v>
      </c>
      <c r="H2790" s="2"/>
      <c r="I2790" s="2"/>
      <c r="J2790" s="2" t="s">
        <v>19</v>
      </c>
      <c r="K2790" s="2"/>
      <c r="L2790" s="2" t="s">
        <v>7911</v>
      </c>
    </row>
    <row r="2791" customFormat="false" ht="15.65" hidden="false" customHeight="true" outlineLevel="0" collapsed="false">
      <c r="A2791" s="5" t="str">
        <f aca="false">HYPERLINK("https://www.fabsurplus.com/sdi_catalog/salesItemDetails.do?id=109442")</f>
        <v>https://www.fabsurplus.com/sdi_catalog/salesItemDetails.do?id=109442</v>
      </c>
      <c r="B2791" s="5" t="s">
        <v>7912</v>
      </c>
      <c r="C2791" s="5" t="s">
        <v>7909</v>
      </c>
      <c r="D2791" s="5" t="s">
        <v>7913</v>
      </c>
      <c r="E2791" s="5" t="s">
        <v>103</v>
      </c>
      <c r="F2791" s="5" t="s">
        <v>16</v>
      </c>
      <c r="G2791" s="5" t="s">
        <v>104</v>
      </c>
      <c r="H2791" s="5"/>
      <c r="I2791" s="5"/>
      <c r="J2791" s="5" t="s">
        <v>19</v>
      </c>
      <c r="K2791" s="5"/>
      <c r="L2791" s="5" t="s">
        <v>7914</v>
      </c>
    </row>
    <row r="2792" customFormat="false" ht="15.65" hidden="false" customHeight="true" outlineLevel="0" collapsed="false">
      <c r="A2792" s="2" t="str">
        <f aca="false">HYPERLINK("https://www.fabsurplus.com/sdi_catalog/salesItemDetails.do?id=109443")</f>
        <v>https://www.fabsurplus.com/sdi_catalog/salesItemDetails.do?id=109443</v>
      </c>
      <c r="B2792" s="2" t="s">
        <v>7915</v>
      </c>
      <c r="C2792" s="2" t="s">
        <v>7909</v>
      </c>
      <c r="D2792" s="2" t="s">
        <v>7916</v>
      </c>
      <c r="E2792" s="2" t="s">
        <v>103</v>
      </c>
      <c r="F2792" s="2" t="s">
        <v>16</v>
      </c>
      <c r="G2792" s="2" t="s">
        <v>104</v>
      </c>
      <c r="H2792" s="2"/>
      <c r="I2792" s="2"/>
      <c r="J2792" s="2" t="s">
        <v>19</v>
      </c>
      <c r="K2792" s="2"/>
      <c r="L2792" s="2" t="s">
        <v>7917</v>
      </c>
    </row>
    <row r="2793" customFormat="false" ht="15.65" hidden="false" customHeight="true" outlineLevel="0" collapsed="false">
      <c r="A2793" s="5" t="str">
        <f aca="false">HYPERLINK("https://www.fabsurplus.com/sdi_catalog/salesItemDetails.do?id=109444")</f>
        <v>https://www.fabsurplus.com/sdi_catalog/salesItemDetails.do?id=109444</v>
      </c>
      <c r="B2793" s="5" t="s">
        <v>7918</v>
      </c>
      <c r="C2793" s="5" t="s">
        <v>7909</v>
      </c>
      <c r="D2793" s="5" t="s">
        <v>7919</v>
      </c>
      <c r="E2793" s="5" t="s">
        <v>103</v>
      </c>
      <c r="F2793" s="5" t="s">
        <v>16</v>
      </c>
      <c r="G2793" s="5" t="s">
        <v>104</v>
      </c>
      <c r="H2793" s="5"/>
      <c r="I2793" s="5"/>
      <c r="J2793" s="5" t="s">
        <v>19</v>
      </c>
      <c r="K2793" s="5"/>
      <c r="L2793" s="5" t="s">
        <v>7920</v>
      </c>
    </row>
    <row r="2794" customFormat="false" ht="15.65" hidden="false" customHeight="true" outlineLevel="0" collapsed="false">
      <c r="A2794" s="2" t="str">
        <f aca="false">HYPERLINK("https://www.fabsurplus.com/sdi_catalog/salesItemDetails.do?id=109445")</f>
        <v>https://www.fabsurplus.com/sdi_catalog/salesItemDetails.do?id=109445</v>
      </c>
      <c r="B2794" s="2" t="s">
        <v>7921</v>
      </c>
      <c r="C2794" s="2" t="s">
        <v>7909</v>
      </c>
      <c r="D2794" s="2" t="s">
        <v>7922</v>
      </c>
      <c r="E2794" s="2" t="s">
        <v>103</v>
      </c>
      <c r="F2794" s="2" t="s">
        <v>16</v>
      </c>
      <c r="G2794" s="2" t="s">
        <v>104</v>
      </c>
      <c r="H2794" s="2"/>
      <c r="I2794" s="2"/>
      <c r="J2794" s="2" t="s">
        <v>19</v>
      </c>
      <c r="K2794" s="2"/>
      <c r="L2794" s="2" t="s">
        <v>7923</v>
      </c>
    </row>
    <row r="2795" customFormat="false" ht="15.65" hidden="false" customHeight="true" outlineLevel="0" collapsed="false">
      <c r="A2795" s="5" t="str">
        <f aca="false">HYPERLINK("https://www.fabsurplus.com/sdi_catalog/salesItemDetails.do?id=109446")</f>
        <v>https://www.fabsurplus.com/sdi_catalog/salesItemDetails.do?id=109446</v>
      </c>
      <c r="B2795" s="5" t="s">
        <v>7924</v>
      </c>
      <c r="C2795" s="5" t="s">
        <v>7909</v>
      </c>
      <c r="D2795" s="5" t="s">
        <v>7925</v>
      </c>
      <c r="E2795" s="5" t="s">
        <v>103</v>
      </c>
      <c r="F2795" s="5" t="s">
        <v>16</v>
      </c>
      <c r="G2795" s="5" t="s">
        <v>104</v>
      </c>
      <c r="H2795" s="5"/>
      <c r="I2795" s="5"/>
      <c r="J2795" s="5" t="s">
        <v>19</v>
      </c>
      <c r="K2795" s="5"/>
      <c r="L2795" s="5" t="s">
        <v>7926</v>
      </c>
    </row>
    <row r="2796" customFormat="false" ht="15.65" hidden="false" customHeight="true" outlineLevel="0" collapsed="false">
      <c r="A2796" s="2" t="str">
        <f aca="false">HYPERLINK("https://www.fabsurplus.com/sdi_catalog/salesItemDetails.do?id=95408")</f>
        <v>https://www.fabsurplus.com/sdi_catalog/salesItemDetails.do?id=95408</v>
      </c>
      <c r="B2796" s="2" t="s">
        <v>7927</v>
      </c>
      <c r="C2796" s="2" t="s">
        <v>7900</v>
      </c>
      <c r="D2796" s="2" t="s">
        <v>7901</v>
      </c>
      <c r="E2796" s="2" t="s">
        <v>7902</v>
      </c>
      <c r="F2796" s="2" t="s">
        <v>16</v>
      </c>
      <c r="G2796" s="2" t="s">
        <v>1272</v>
      </c>
      <c r="H2796" s="2" t="s">
        <v>32</v>
      </c>
      <c r="I2796" s="3" t="n">
        <v>34669</v>
      </c>
      <c r="J2796" s="2" t="s">
        <v>19</v>
      </c>
      <c r="K2796" s="2" t="s">
        <v>20</v>
      </c>
      <c r="L2796" s="4" t="s">
        <v>7903</v>
      </c>
    </row>
    <row r="2797" customFormat="false" ht="15.65" hidden="false" customHeight="true" outlineLevel="0" collapsed="false">
      <c r="A2797" s="5" t="str">
        <f aca="false">HYPERLINK("https://www.fabsurplus.com/sdi_catalog/salesItemDetails.do?id=106691")</f>
        <v>https://www.fabsurplus.com/sdi_catalog/salesItemDetails.do?id=106691</v>
      </c>
      <c r="B2797" s="5" t="s">
        <v>7928</v>
      </c>
      <c r="C2797" s="5" t="s">
        <v>7909</v>
      </c>
      <c r="D2797" s="5" t="s">
        <v>7929</v>
      </c>
      <c r="E2797" s="5" t="s">
        <v>7930</v>
      </c>
      <c r="F2797" s="5" t="s">
        <v>16</v>
      </c>
      <c r="G2797" s="5" t="s">
        <v>61</v>
      </c>
      <c r="H2797" s="5"/>
      <c r="I2797" s="6" t="n">
        <v>40330</v>
      </c>
      <c r="J2797" s="5" t="s">
        <v>19</v>
      </c>
      <c r="K2797" s="5"/>
      <c r="L2797" s="5" t="s">
        <v>518</v>
      </c>
    </row>
    <row r="2798" customFormat="false" ht="15.65" hidden="false" customHeight="true" outlineLevel="0" collapsed="false">
      <c r="A2798" s="2" t="str">
        <f aca="false">HYPERLINK("https://www.fabsurplus.com/sdi_catalog/salesItemDetails.do?id=106692")</f>
        <v>https://www.fabsurplus.com/sdi_catalog/salesItemDetails.do?id=106692</v>
      </c>
      <c r="B2798" s="2" t="s">
        <v>7931</v>
      </c>
      <c r="C2798" s="2" t="s">
        <v>7909</v>
      </c>
      <c r="D2798" s="2" t="s">
        <v>7929</v>
      </c>
      <c r="E2798" s="2" t="s">
        <v>7930</v>
      </c>
      <c r="F2798" s="2" t="s">
        <v>16</v>
      </c>
      <c r="G2798" s="2" t="s">
        <v>61</v>
      </c>
      <c r="H2798" s="2"/>
      <c r="I2798" s="3" t="n">
        <v>41426</v>
      </c>
      <c r="J2798" s="2" t="s">
        <v>19</v>
      </c>
      <c r="K2798" s="2"/>
      <c r="L2798" s="2" t="s">
        <v>518</v>
      </c>
    </row>
    <row r="2799" customFormat="false" ht="15.65" hidden="false" customHeight="true" outlineLevel="0" collapsed="false">
      <c r="A2799" s="5" t="str">
        <f aca="false">HYPERLINK("https://www.fabsurplus.com/sdi_catalog/salesItemDetails.do?id=106693")</f>
        <v>https://www.fabsurplus.com/sdi_catalog/salesItemDetails.do?id=106693</v>
      </c>
      <c r="B2799" s="5" t="s">
        <v>7932</v>
      </c>
      <c r="C2799" s="5" t="s">
        <v>7909</v>
      </c>
      <c r="D2799" s="5" t="s">
        <v>7929</v>
      </c>
      <c r="E2799" s="5" t="s">
        <v>7930</v>
      </c>
      <c r="F2799" s="5" t="s">
        <v>16</v>
      </c>
      <c r="G2799" s="5" t="s">
        <v>61</v>
      </c>
      <c r="H2799" s="5"/>
      <c r="I2799" s="6" t="n">
        <v>41426</v>
      </c>
      <c r="J2799" s="5" t="s">
        <v>19</v>
      </c>
      <c r="K2799" s="5"/>
      <c r="L2799" s="5" t="s">
        <v>518</v>
      </c>
    </row>
    <row r="2800" customFormat="false" ht="15.65" hidden="false" customHeight="true" outlineLevel="0" collapsed="false">
      <c r="A2800" s="2" t="str">
        <f aca="false">HYPERLINK("https://www.fabsurplus.com/sdi_catalog/salesItemDetails.do?id=106694")</f>
        <v>https://www.fabsurplus.com/sdi_catalog/salesItemDetails.do?id=106694</v>
      </c>
      <c r="B2800" s="2" t="s">
        <v>7933</v>
      </c>
      <c r="C2800" s="2" t="s">
        <v>7909</v>
      </c>
      <c r="D2800" s="2" t="s">
        <v>7929</v>
      </c>
      <c r="E2800" s="2" t="s">
        <v>7930</v>
      </c>
      <c r="F2800" s="2" t="s">
        <v>16</v>
      </c>
      <c r="G2800" s="2" t="s">
        <v>61</v>
      </c>
      <c r="H2800" s="2"/>
      <c r="I2800" s="3" t="n">
        <v>41426</v>
      </c>
      <c r="J2800" s="2" t="s">
        <v>19</v>
      </c>
      <c r="K2800" s="2"/>
      <c r="L2800" s="2" t="s">
        <v>518</v>
      </c>
    </row>
    <row r="2801" customFormat="false" ht="15.65" hidden="false" customHeight="true" outlineLevel="0" collapsed="false">
      <c r="A2801" s="5" t="str">
        <f aca="false">HYPERLINK("https://www.fabsurplus.com/sdi_catalog/salesItemDetails.do?id=106695")</f>
        <v>https://www.fabsurplus.com/sdi_catalog/salesItemDetails.do?id=106695</v>
      </c>
      <c r="B2801" s="5" t="s">
        <v>7934</v>
      </c>
      <c r="C2801" s="5" t="s">
        <v>7909</v>
      </c>
      <c r="D2801" s="5" t="s">
        <v>7929</v>
      </c>
      <c r="E2801" s="5" t="s">
        <v>7930</v>
      </c>
      <c r="F2801" s="5" t="s">
        <v>16</v>
      </c>
      <c r="G2801" s="5" t="s">
        <v>61</v>
      </c>
      <c r="H2801" s="5"/>
      <c r="I2801" s="6" t="n">
        <v>41791</v>
      </c>
      <c r="J2801" s="5" t="s">
        <v>19</v>
      </c>
      <c r="K2801" s="5"/>
      <c r="L2801" s="5" t="s">
        <v>518</v>
      </c>
    </row>
    <row r="2802" customFormat="false" ht="15.65" hidden="false" customHeight="true" outlineLevel="0" collapsed="false">
      <c r="A2802" s="2" t="str">
        <f aca="false">HYPERLINK("https://www.fabsurplus.com/sdi_catalog/salesItemDetails.do?id=106696")</f>
        <v>https://www.fabsurplus.com/sdi_catalog/salesItemDetails.do?id=106696</v>
      </c>
      <c r="B2802" s="2" t="s">
        <v>7935</v>
      </c>
      <c r="C2802" s="2" t="s">
        <v>7909</v>
      </c>
      <c r="D2802" s="2" t="s">
        <v>7936</v>
      </c>
      <c r="E2802" s="2" t="s">
        <v>7937</v>
      </c>
      <c r="F2802" s="2" t="s">
        <v>16</v>
      </c>
      <c r="G2802" s="2" t="s">
        <v>61</v>
      </c>
      <c r="H2802" s="2"/>
      <c r="I2802" s="3" t="n">
        <v>41426</v>
      </c>
      <c r="J2802" s="2" t="s">
        <v>19</v>
      </c>
      <c r="K2802" s="2"/>
      <c r="L2802" s="2" t="s">
        <v>518</v>
      </c>
    </row>
    <row r="2803" customFormat="false" ht="15.65" hidden="false" customHeight="true" outlineLevel="0" collapsed="false">
      <c r="A2803" s="5" t="str">
        <f aca="false">HYPERLINK("https://www.fabsurplus.com/sdi_catalog/salesItemDetails.do?id=106697")</f>
        <v>https://www.fabsurplus.com/sdi_catalog/salesItemDetails.do?id=106697</v>
      </c>
      <c r="B2803" s="5" t="s">
        <v>7938</v>
      </c>
      <c r="C2803" s="5" t="s">
        <v>7909</v>
      </c>
      <c r="D2803" s="5" t="s">
        <v>7939</v>
      </c>
      <c r="E2803" s="5" t="s">
        <v>7930</v>
      </c>
      <c r="F2803" s="5" t="s">
        <v>16</v>
      </c>
      <c r="G2803" s="5" t="s">
        <v>61</v>
      </c>
      <c r="H2803" s="5"/>
      <c r="I2803" s="6" t="n">
        <v>43252</v>
      </c>
      <c r="J2803" s="5" t="s">
        <v>19</v>
      </c>
      <c r="K2803" s="5"/>
      <c r="L2803" s="5" t="s">
        <v>518</v>
      </c>
    </row>
    <row r="2804" customFormat="false" ht="15.65" hidden="false" customHeight="true" outlineLevel="0" collapsed="false">
      <c r="A2804" s="2" t="str">
        <f aca="false">HYPERLINK("https://www.fabsurplus.com/sdi_catalog/salesItemDetails.do?id=106698")</f>
        <v>https://www.fabsurplus.com/sdi_catalog/salesItemDetails.do?id=106698</v>
      </c>
      <c r="B2804" s="2" t="s">
        <v>7940</v>
      </c>
      <c r="C2804" s="2" t="s">
        <v>7909</v>
      </c>
      <c r="D2804" s="2" t="s">
        <v>7941</v>
      </c>
      <c r="E2804" s="2" t="s">
        <v>2248</v>
      </c>
      <c r="F2804" s="2" t="s">
        <v>16</v>
      </c>
      <c r="G2804" s="2" t="s">
        <v>61</v>
      </c>
      <c r="H2804" s="2"/>
      <c r="I2804" s="3" t="n">
        <v>39965</v>
      </c>
      <c r="J2804" s="2" t="s">
        <v>19</v>
      </c>
      <c r="K2804" s="2"/>
      <c r="L2804" s="2" t="s">
        <v>518</v>
      </c>
    </row>
    <row r="2805" customFormat="false" ht="15.65" hidden="false" customHeight="true" outlineLevel="0" collapsed="false">
      <c r="A2805" s="5" t="str">
        <f aca="false">HYPERLINK("https://www.fabsurplus.com/sdi_catalog/salesItemDetails.do?id=106699")</f>
        <v>https://www.fabsurplus.com/sdi_catalog/salesItemDetails.do?id=106699</v>
      </c>
      <c r="B2805" s="5" t="s">
        <v>7942</v>
      </c>
      <c r="C2805" s="5" t="s">
        <v>7909</v>
      </c>
      <c r="D2805" s="5" t="s">
        <v>7943</v>
      </c>
      <c r="E2805" s="5" t="s">
        <v>7937</v>
      </c>
      <c r="F2805" s="5" t="s">
        <v>16</v>
      </c>
      <c r="G2805" s="5" t="s">
        <v>61</v>
      </c>
      <c r="H2805" s="5"/>
      <c r="I2805" s="6" t="n">
        <v>41426</v>
      </c>
      <c r="J2805" s="5" t="s">
        <v>19</v>
      </c>
      <c r="K2805" s="5"/>
      <c r="L2805" s="5" t="s">
        <v>518</v>
      </c>
    </row>
    <row r="2806" customFormat="false" ht="15.65" hidden="false" customHeight="true" outlineLevel="0" collapsed="false">
      <c r="A2806" s="2" t="str">
        <f aca="false">HYPERLINK("https://www.fabsurplus.com/sdi_catalog/salesItemDetails.do?id=106700")</f>
        <v>https://www.fabsurplus.com/sdi_catalog/salesItemDetails.do?id=106700</v>
      </c>
      <c r="B2806" s="2" t="s">
        <v>7944</v>
      </c>
      <c r="C2806" s="2" t="s">
        <v>7909</v>
      </c>
      <c r="D2806" s="2" t="s">
        <v>7945</v>
      </c>
      <c r="E2806" s="2" t="s">
        <v>7946</v>
      </c>
      <c r="F2806" s="2" t="s">
        <v>16</v>
      </c>
      <c r="G2806" s="2" t="s">
        <v>61</v>
      </c>
      <c r="H2806" s="2" t="s">
        <v>18</v>
      </c>
      <c r="I2806" s="3" t="n">
        <v>41699</v>
      </c>
      <c r="J2806" s="2" t="s">
        <v>19</v>
      </c>
      <c r="K2806" s="2" t="s">
        <v>20</v>
      </c>
      <c r="L2806" s="4" t="s">
        <v>7947</v>
      </c>
    </row>
    <row r="2807" customFormat="false" ht="15.65" hidden="false" customHeight="true" outlineLevel="0" collapsed="false">
      <c r="A2807" s="5" t="str">
        <f aca="false">HYPERLINK("https://www.fabsurplus.com/sdi_catalog/salesItemDetails.do?id=106701")</f>
        <v>https://www.fabsurplus.com/sdi_catalog/salesItemDetails.do?id=106701</v>
      </c>
      <c r="B2807" s="5" t="s">
        <v>7948</v>
      </c>
      <c r="C2807" s="5" t="s">
        <v>7909</v>
      </c>
      <c r="D2807" s="5" t="s">
        <v>7949</v>
      </c>
      <c r="E2807" s="5" t="s">
        <v>7950</v>
      </c>
      <c r="F2807" s="5" t="s">
        <v>16</v>
      </c>
      <c r="G2807" s="5" t="s">
        <v>61</v>
      </c>
      <c r="H2807" s="5"/>
      <c r="I2807" s="6" t="n">
        <v>38869</v>
      </c>
      <c r="J2807" s="5" t="s">
        <v>19</v>
      </c>
      <c r="K2807" s="5"/>
      <c r="L2807" s="5" t="s">
        <v>518</v>
      </c>
    </row>
    <row r="2808" customFormat="false" ht="15.65" hidden="false" customHeight="true" outlineLevel="0" collapsed="false">
      <c r="A2808" s="2" t="str">
        <f aca="false">HYPERLINK("https://www.fabsurplus.com/sdi_catalog/salesItemDetails.do?id=110326")</f>
        <v>https://www.fabsurplus.com/sdi_catalog/salesItemDetails.do?id=110326</v>
      </c>
      <c r="B2808" s="2" t="s">
        <v>7951</v>
      </c>
      <c r="C2808" s="2" t="s">
        <v>7900</v>
      </c>
      <c r="D2808" s="2" t="s">
        <v>7952</v>
      </c>
      <c r="E2808" s="2" t="s">
        <v>164</v>
      </c>
      <c r="F2808" s="2" t="s">
        <v>16</v>
      </c>
      <c r="G2808" s="2" t="s">
        <v>165</v>
      </c>
      <c r="H2808" s="2"/>
      <c r="I2808" s="2"/>
      <c r="J2808" s="2" t="s">
        <v>42</v>
      </c>
      <c r="K2808" s="2"/>
      <c r="L2808" s="2" t="s">
        <v>7953</v>
      </c>
    </row>
    <row r="2809" customFormat="false" ht="15.65" hidden="false" customHeight="true" outlineLevel="0" collapsed="false">
      <c r="A2809" s="5" t="str">
        <f aca="false">HYPERLINK("https://www.fabsurplus.com/sdi_catalog/salesItemDetails.do?id=110327")</f>
        <v>https://www.fabsurplus.com/sdi_catalog/salesItemDetails.do?id=110327</v>
      </c>
      <c r="B2809" s="5" t="s">
        <v>7954</v>
      </c>
      <c r="C2809" s="5" t="s">
        <v>7900</v>
      </c>
      <c r="D2809" s="5" t="s">
        <v>7955</v>
      </c>
      <c r="E2809" s="5" t="s">
        <v>763</v>
      </c>
      <c r="F2809" s="5" t="s">
        <v>16</v>
      </c>
      <c r="G2809" s="5" t="s">
        <v>165</v>
      </c>
      <c r="H2809" s="5"/>
      <c r="I2809" s="5"/>
      <c r="J2809" s="5" t="s">
        <v>42</v>
      </c>
      <c r="K2809" s="5"/>
      <c r="L2809" s="5" t="s">
        <v>686</v>
      </c>
    </row>
    <row r="2810" customFormat="false" ht="15.65" hidden="false" customHeight="true" outlineLevel="0" collapsed="false">
      <c r="A2810" s="2" t="str">
        <f aca="false">HYPERLINK("https://www.fabsurplus.com/sdi_catalog/salesItemDetails.do?id=110328")</f>
        <v>https://www.fabsurplus.com/sdi_catalog/salesItemDetails.do?id=110328</v>
      </c>
      <c r="B2810" s="2" t="s">
        <v>7956</v>
      </c>
      <c r="C2810" s="2" t="s">
        <v>7900</v>
      </c>
      <c r="D2810" s="2" t="s">
        <v>7955</v>
      </c>
      <c r="E2810" s="2" t="s">
        <v>763</v>
      </c>
      <c r="F2810" s="2" t="s">
        <v>16</v>
      </c>
      <c r="G2810" s="2" t="s">
        <v>165</v>
      </c>
      <c r="H2810" s="2"/>
      <c r="I2810" s="2"/>
      <c r="J2810" s="2" t="s">
        <v>42</v>
      </c>
      <c r="K2810" s="2"/>
      <c r="L2810" s="2" t="s">
        <v>7957</v>
      </c>
    </row>
    <row r="2811" customFormat="false" ht="15.65" hidden="false" customHeight="true" outlineLevel="0" collapsed="false">
      <c r="A2811" s="5" t="str">
        <f aca="false">HYPERLINK("https://www.fabsurplus.com/sdi_catalog/salesItemDetails.do?id=110329")</f>
        <v>https://www.fabsurplus.com/sdi_catalog/salesItemDetails.do?id=110329</v>
      </c>
      <c r="B2811" s="5" t="s">
        <v>7958</v>
      </c>
      <c r="C2811" s="5" t="s">
        <v>7900</v>
      </c>
      <c r="D2811" s="5" t="s">
        <v>877</v>
      </c>
      <c r="E2811" s="5" t="s">
        <v>164</v>
      </c>
      <c r="F2811" s="5" t="s">
        <v>16</v>
      </c>
      <c r="G2811" s="5" t="s">
        <v>165</v>
      </c>
      <c r="H2811" s="5"/>
      <c r="I2811" s="5"/>
      <c r="J2811" s="5" t="s">
        <v>42</v>
      </c>
      <c r="K2811" s="5"/>
      <c r="L2811" s="5" t="s">
        <v>686</v>
      </c>
    </row>
    <row r="2812" customFormat="false" ht="15.65" hidden="false" customHeight="true" outlineLevel="0" collapsed="false">
      <c r="A2812" s="2" t="str">
        <f aca="false">HYPERLINK("https://www.fabsurplus.com/sdi_catalog/salesItemDetails.do?id=110330")</f>
        <v>https://www.fabsurplus.com/sdi_catalog/salesItemDetails.do?id=110330</v>
      </c>
      <c r="B2812" s="2" t="s">
        <v>7959</v>
      </c>
      <c r="C2812" s="2" t="s">
        <v>7900</v>
      </c>
      <c r="D2812" s="2" t="s">
        <v>877</v>
      </c>
      <c r="E2812" s="2" t="s">
        <v>164</v>
      </c>
      <c r="F2812" s="2" t="s">
        <v>16</v>
      </c>
      <c r="G2812" s="2" t="s">
        <v>165</v>
      </c>
      <c r="H2812" s="2"/>
      <c r="I2812" s="2"/>
      <c r="J2812" s="2" t="s">
        <v>42</v>
      </c>
      <c r="K2812" s="2"/>
      <c r="L2812" s="2" t="s">
        <v>686</v>
      </c>
    </row>
    <row r="2813" customFormat="false" ht="15.65" hidden="false" customHeight="true" outlineLevel="0" collapsed="false">
      <c r="A2813" s="5" t="str">
        <f aca="false">HYPERLINK("https://www.fabsurplus.com/sdi_catalog/salesItemDetails.do?id=110331")</f>
        <v>https://www.fabsurplus.com/sdi_catalog/salesItemDetails.do?id=110331</v>
      </c>
      <c r="B2813" s="5" t="s">
        <v>7960</v>
      </c>
      <c r="C2813" s="5" t="s">
        <v>7900</v>
      </c>
      <c r="D2813" s="5" t="s">
        <v>7961</v>
      </c>
      <c r="E2813" s="5" t="s">
        <v>763</v>
      </c>
      <c r="F2813" s="5" t="s">
        <v>16</v>
      </c>
      <c r="G2813" s="5" t="s">
        <v>165</v>
      </c>
      <c r="H2813" s="5"/>
      <c r="I2813" s="5"/>
      <c r="J2813" s="5" t="s">
        <v>42</v>
      </c>
      <c r="K2813" s="5"/>
      <c r="L2813" s="5" t="s">
        <v>7962</v>
      </c>
    </row>
    <row r="2814" customFormat="false" ht="15.65" hidden="false" customHeight="true" outlineLevel="0" collapsed="false">
      <c r="A2814" s="2" t="str">
        <f aca="false">HYPERLINK("https://www.fabsurplus.com/sdi_catalog/salesItemDetails.do?id=110332")</f>
        <v>https://www.fabsurplus.com/sdi_catalog/salesItemDetails.do?id=110332</v>
      </c>
      <c r="B2814" s="2" t="s">
        <v>7963</v>
      </c>
      <c r="C2814" s="2" t="s">
        <v>7900</v>
      </c>
      <c r="D2814" s="2" t="s">
        <v>7964</v>
      </c>
      <c r="E2814" s="2" t="s">
        <v>763</v>
      </c>
      <c r="F2814" s="2" t="s">
        <v>16</v>
      </c>
      <c r="G2814" s="2" t="s">
        <v>165</v>
      </c>
      <c r="H2814" s="2"/>
      <c r="I2814" s="2"/>
      <c r="J2814" s="2" t="s">
        <v>42</v>
      </c>
      <c r="K2814" s="2"/>
      <c r="L2814" s="2" t="s">
        <v>7965</v>
      </c>
    </row>
    <row r="2815" customFormat="false" ht="15.65" hidden="false" customHeight="true" outlineLevel="0" collapsed="false">
      <c r="A2815" s="5" t="str">
        <f aca="false">HYPERLINK("https://www.fabsurplus.com/sdi_catalog/salesItemDetails.do?id=110333")</f>
        <v>https://www.fabsurplus.com/sdi_catalog/salesItemDetails.do?id=110333</v>
      </c>
      <c r="B2815" s="5" t="s">
        <v>7966</v>
      </c>
      <c r="C2815" s="5" t="s">
        <v>7900</v>
      </c>
      <c r="D2815" s="5" t="s">
        <v>7967</v>
      </c>
      <c r="E2815" s="5" t="s">
        <v>763</v>
      </c>
      <c r="F2815" s="5" t="s">
        <v>16</v>
      </c>
      <c r="G2815" s="5" t="s">
        <v>165</v>
      </c>
      <c r="H2815" s="5"/>
      <c r="I2815" s="5"/>
      <c r="J2815" s="5" t="s">
        <v>42</v>
      </c>
      <c r="K2815" s="5"/>
      <c r="L2815" s="5" t="s">
        <v>7968</v>
      </c>
    </row>
    <row r="2816" customFormat="false" ht="15.65" hidden="false" customHeight="true" outlineLevel="0" collapsed="false">
      <c r="A2816" s="2" t="str">
        <f aca="false">HYPERLINK("https://www.fabsurplus.com/sdi_catalog/salesItemDetails.do?id=110334")</f>
        <v>https://www.fabsurplus.com/sdi_catalog/salesItemDetails.do?id=110334</v>
      </c>
      <c r="B2816" s="2" t="s">
        <v>7969</v>
      </c>
      <c r="C2816" s="2" t="s">
        <v>7900</v>
      </c>
      <c r="D2816" s="2" t="s">
        <v>7967</v>
      </c>
      <c r="E2816" s="2" t="s">
        <v>763</v>
      </c>
      <c r="F2816" s="2" t="s">
        <v>16</v>
      </c>
      <c r="G2816" s="2" t="s">
        <v>165</v>
      </c>
      <c r="H2816" s="2"/>
      <c r="I2816" s="2"/>
      <c r="J2816" s="2" t="s">
        <v>42</v>
      </c>
      <c r="K2816" s="2"/>
      <c r="L2816" s="2" t="s">
        <v>7970</v>
      </c>
    </row>
    <row r="2817" customFormat="false" ht="15.65" hidden="false" customHeight="true" outlineLevel="0" collapsed="false">
      <c r="A2817" s="5" t="str">
        <f aca="false">HYPERLINK("https://www.fabsurplus.com/sdi_catalog/salesItemDetails.do?id=110335")</f>
        <v>https://www.fabsurplus.com/sdi_catalog/salesItemDetails.do?id=110335</v>
      </c>
      <c r="B2817" s="5" t="s">
        <v>7971</v>
      </c>
      <c r="C2817" s="5" t="s">
        <v>7900</v>
      </c>
      <c r="D2817" s="5" t="s">
        <v>7972</v>
      </c>
      <c r="E2817" s="5" t="s">
        <v>763</v>
      </c>
      <c r="F2817" s="5" t="s">
        <v>16</v>
      </c>
      <c r="G2817" s="5" t="s">
        <v>165</v>
      </c>
      <c r="H2817" s="5"/>
      <c r="I2817" s="5"/>
      <c r="J2817" s="5" t="s">
        <v>42</v>
      </c>
      <c r="K2817" s="5"/>
      <c r="L2817" s="5" t="s">
        <v>7973</v>
      </c>
    </row>
    <row r="2818" customFormat="false" ht="15.65" hidden="false" customHeight="true" outlineLevel="0" collapsed="false">
      <c r="A2818" s="2" t="str">
        <f aca="false">HYPERLINK("https://www.fabsurplus.com/sdi_catalog/salesItemDetails.do?id=108445")</f>
        <v>https://www.fabsurplus.com/sdi_catalog/salesItemDetails.do?id=108445</v>
      </c>
      <c r="B2818" s="2" t="s">
        <v>7974</v>
      </c>
      <c r="C2818" s="2" t="s">
        <v>7975</v>
      </c>
      <c r="D2818" s="2" t="s">
        <v>7976</v>
      </c>
      <c r="E2818" s="2" t="s">
        <v>4341</v>
      </c>
      <c r="F2818" s="2" t="s">
        <v>16</v>
      </c>
      <c r="G2818" s="2"/>
      <c r="H2818" s="2"/>
      <c r="I2818" s="2"/>
      <c r="J2818" s="2" t="s">
        <v>19</v>
      </c>
      <c r="K2818" s="2"/>
      <c r="L2818" s="2"/>
    </row>
    <row r="2819" customFormat="false" ht="15.65" hidden="false" customHeight="true" outlineLevel="0" collapsed="false">
      <c r="A2819" s="5" t="str">
        <f aca="false">HYPERLINK("https://www.fabsurplus.com/sdi_catalog/salesItemDetails.do?id=108446")</f>
        <v>https://www.fabsurplus.com/sdi_catalog/salesItemDetails.do?id=108446</v>
      </c>
      <c r="B2819" s="5" t="s">
        <v>7977</v>
      </c>
      <c r="C2819" s="5" t="s">
        <v>7975</v>
      </c>
      <c r="D2819" s="5" t="s">
        <v>7978</v>
      </c>
      <c r="E2819" s="5" t="s">
        <v>4341</v>
      </c>
      <c r="F2819" s="5" t="s">
        <v>16</v>
      </c>
      <c r="G2819" s="5" t="s">
        <v>61</v>
      </c>
      <c r="H2819" s="5"/>
      <c r="I2819" s="5"/>
      <c r="J2819" s="5" t="s">
        <v>19</v>
      </c>
      <c r="K2819" s="5"/>
      <c r="L2819" s="5"/>
    </row>
    <row r="2820" customFormat="false" ht="15.65" hidden="false" customHeight="true" outlineLevel="0" collapsed="false">
      <c r="A2820" s="2" t="str">
        <f aca="false">HYPERLINK("https://www.fabsurplus.com/sdi_catalog/salesItemDetails.do?id=108447")</f>
        <v>https://www.fabsurplus.com/sdi_catalog/salesItemDetails.do?id=108447</v>
      </c>
      <c r="B2820" s="2" t="s">
        <v>7979</v>
      </c>
      <c r="C2820" s="2" t="s">
        <v>7975</v>
      </c>
      <c r="D2820" s="2" t="s">
        <v>7980</v>
      </c>
      <c r="E2820" s="2" t="s">
        <v>4341</v>
      </c>
      <c r="F2820" s="2" t="s">
        <v>16</v>
      </c>
      <c r="G2820" s="2"/>
      <c r="H2820" s="2"/>
      <c r="I2820" s="2"/>
      <c r="J2820" s="2" t="s">
        <v>19</v>
      </c>
      <c r="K2820" s="2"/>
      <c r="L2820" s="2"/>
    </row>
    <row r="2821" customFormat="false" ht="15.65" hidden="false" customHeight="true" outlineLevel="0" collapsed="false">
      <c r="A2821" s="5" t="str">
        <f aca="false">HYPERLINK("https://www.fabsurplus.com/sdi_catalog/salesItemDetails.do?id=109234")</f>
        <v>https://www.fabsurplus.com/sdi_catalog/salesItemDetails.do?id=109234</v>
      </c>
      <c r="B2821" s="5" t="s">
        <v>7981</v>
      </c>
      <c r="C2821" s="5" t="s">
        <v>7975</v>
      </c>
      <c r="D2821" s="5" t="s">
        <v>7976</v>
      </c>
      <c r="E2821" s="5" t="s">
        <v>4341</v>
      </c>
      <c r="F2821" s="5" t="s">
        <v>16</v>
      </c>
      <c r="G2821" s="5" t="s">
        <v>1803</v>
      </c>
      <c r="H2821" s="5"/>
      <c r="I2821" s="5"/>
      <c r="J2821" s="5" t="s">
        <v>19</v>
      </c>
      <c r="K2821" s="5"/>
      <c r="L2821" s="5"/>
    </row>
    <row r="2822" customFormat="false" ht="15.65" hidden="false" customHeight="true" outlineLevel="0" collapsed="false">
      <c r="A2822" s="2" t="str">
        <f aca="false">HYPERLINK("https://www.fabsurplus.com/sdi_catalog/salesItemDetails.do?id=106240")</f>
        <v>https://www.fabsurplus.com/sdi_catalog/salesItemDetails.do?id=106240</v>
      </c>
      <c r="B2822" s="2" t="s">
        <v>7982</v>
      </c>
      <c r="C2822" s="2" t="s">
        <v>7983</v>
      </c>
      <c r="D2822" s="2" t="s">
        <v>7984</v>
      </c>
      <c r="E2822" s="2" t="s">
        <v>7985</v>
      </c>
      <c r="F2822" s="2" t="s">
        <v>16</v>
      </c>
      <c r="G2822" s="2" t="s">
        <v>104</v>
      </c>
      <c r="H2822" s="2" t="s">
        <v>18</v>
      </c>
      <c r="I2822" s="3" t="n">
        <v>35247</v>
      </c>
      <c r="J2822" s="2" t="s">
        <v>19</v>
      </c>
      <c r="K2822" s="2" t="s">
        <v>20</v>
      </c>
      <c r="L2822" s="4" t="s">
        <v>7986</v>
      </c>
    </row>
    <row r="2823" customFormat="false" ht="15.65" hidden="false" customHeight="true" outlineLevel="0" collapsed="false">
      <c r="A2823" s="5" t="str">
        <f aca="false">HYPERLINK("https://www.fabsurplus.com/sdi_catalog/salesItemDetails.do?id=108038")</f>
        <v>https://www.fabsurplus.com/sdi_catalog/salesItemDetails.do?id=108038</v>
      </c>
      <c r="B2823" s="5" t="s">
        <v>7987</v>
      </c>
      <c r="C2823" s="5" t="s">
        <v>7988</v>
      </c>
      <c r="D2823" s="5" t="s">
        <v>3002</v>
      </c>
      <c r="E2823" s="5" t="s">
        <v>6164</v>
      </c>
      <c r="F2823" s="5" t="s">
        <v>16</v>
      </c>
      <c r="G2823" s="5" t="s">
        <v>104</v>
      </c>
      <c r="H2823" s="5" t="s">
        <v>32</v>
      </c>
      <c r="I2823" s="5"/>
      <c r="J2823" s="5" t="s">
        <v>19</v>
      </c>
      <c r="K2823" s="5" t="s">
        <v>20</v>
      </c>
      <c r="L2823" s="7" t="s">
        <v>7989</v>
      </c>
    </row>
    <row r="2824" customFormat="false" ht="15.65" hidden="false" customHeight="true" outlineLevel="0" collapsed="false">
      <c r="A2824" s="2" t="str">
        <f aca="false">HYPERLINK("https://www.fabsurplus.com/sdi_catalog/salesItemDetails.do?id=108572")</f>
        <v>https://www.fabsurplus.com/sdi_catalog/salesItemDetails.do?id=108572</v>
      </c>
      <c r="B2824" s="2" t="s">
        <v>7990</v>
      </c>
      <c r="C2824" s="2" t="s">
        <v>7988</v>
      </c>
      <c r="D2824" s="2" t="s">
        <v>7991</v>
      </c>
      <c r="E2824" s="2" t="s">
        <v>1582</v>
      </c>
      <c r="F2824" s="2" t="s">
        <v>16</v>
      </c>
      <c r="G2824" s="2" t="s">
        <v>84</v>
      </c>
      <c r="H2824" s="2" t="s">
        <v>18</v>
      </c>
      <c r="I2824" s="3" t="n">
        <v>38139</v>
      </c>
      <c r="J2824" s="2" t="s">
        <v>19</v>
      </c>
      <c r="K2824" s="2" t="s">
        <v>20</v>
      </c>
      <c r="L2824" s="2" t="s">
        <v>6187</v>
      </c>
    </row>
    <row r="2825" customFormat="false" ht="15.65" hidden="false" customHeight="true" outlineLevel="0" collapsed="false">
      <c r="A2825" s="5" t="str">
        <f aca="false">HYPERLINK("https://www.fabsurplus.com/sdi_catalog/salesItemDetails.do?id=108573")</f>
        <v>https://www.fabsurplus.com/sdi_catalog/salesItemDetails.do?id=108573</v>
      </c>
      <c r="B2825" s="5" t="s">
        <v>7992</v>
      </c>
      <c r="C2825" s="5" t="s">
        <v>7988</v>
      </c>
      <c r="D2825" s="5" t="s">
        <v>7991</v>
      </c>
      <c r="E2825" s="5" t="s">
        <v>1582</v>
      </c>
      <c r="F2825" s="5" t="s">
        <v>16</v>
      </c>
      <c r="G2825" s="5" t="s">
        <v>84</v>
      </c>
      <c r="H2825" s="5" t="s">
        <v>18</v>
      </c>
      <c r="I2825" s="6" t="n">
        <v>40330</v>
      </c>
      <c r="J2825" s="5" t="s">
        <v>19</v>
      </c>
      <c r="K2825" s="5" t="s">
        <v>20</v>
      </c>
      <c r="L2825" s="5" t="s">
        <v>6187</v>
      </c>
    </row>
    <row r="2826" customFormat="false" ht="15.65" hidden="false" customHeight="true" outlineLevel="0" collapsed="false">
      <c r="A2826" s="2" t="str">
        <f aca="false">HYPERLINK("https://www.fabsurplus.com/sdi_catalog/salesItemDetails.do?id=108574")</f>
        <v>https://www.fabsurplus.com/sdi_catalog/salesItemDetails.do?id=108574</v>
      </c>
      <c r="B2826" s="2" t="s">
        <v>7993</v>
      </c>
      <c r="C2826" s="2" t="s">
        <v>7988</v>
      </c>
      <c r="D2826" s="2" t="s">
        <v>7994</v>
      </c>
      <c r="E2826" s="2" t="s">
        <v>2248</v>
      </c>
      <c r="F2826" s="2" t="s">
        <v>16</v>
      </c>
      <c r="G2826" s="2" t="s">
        <v>84</v>
      </c>
      <c r="H2826" s="2" t="s">
        <v>18</v>
      </c>
      <c r="I2826" s="3" t="n">
        <v>44348</v>
      </c>
      <c r="J2826" s="2" t="s">
        <v>19</v>
      </c>
      <c r="K2826" s="2" t="s">
        <v>20</v>
      </c>
      <c r="L2826" s="2" t="s">
        <v>6187</v>
      </c>
    </row>
    <row r="2827" customFormat="false" ht="15.65" hidden="false" customHeight="true" outlineLevel="0" collapsed="false">
      <c r="A2827" s="5" t="str">
        <f aca="false">HYPERLINK("https://www.fabsurplus.com/sdi_catalog/salesItemDetails.do?id=108575")</f>
        <v>https://www.fabsurplus.com/sdi_catalog/salesItemDetails.do?id=108575</v>
      </c>
      <c r="B2827" s="5" t="s">
        <v>7995</v>
      </c>
      <c r="C2827" s="5" t="s">
        <v>7988</v>
      </c>
      <c r="D2827" s="5" t="s">
        <v>7996</v>
      </c>
      <c r="E2827" s="5" t="s">
        <v>2248</v>
      </c>
      <c r="F2827" s="5" t="s">
        <v>16</v>
      </c>
      <c r="G2827" s="5" t="s">
        <v>84</v>
      </c>
      <c r="H2827" s="5" t="s">
        <v>18</v>
      </c>
      <c r="I2827" s="6" t="n">
        <v>44348</v>
      </c>
      <c r="J2827" s="5" t="s">
        <v>19</v>
      </c>
      <c r="K2827" s="5" t="s">
        <v>20</v>
      </c>
      <c r="L2827" s="5" t="s">
        <v>6187</v>
      </c>
    </row>
    <row r="2828" customFormat="false" ht="15.65" hidden="false" customHeight="true" outlineLevel="0" collapsed="false">
      <c r="A2828" s="2" t="str">
        <f aca="false">HYPERLINK("https://www.fabsurplus.com/sdi_catalog/salesItemDetails.do?id=108576")</f>
        <v>https://www.fabsurplus.com/sdi_catalog/salesItemDetails.do?id=108576</v>
      </c>
      <c r="B2828" s="2" t="s">
        <v>7997</v>
      </c>
      <c r="C2828" s="2" t="s">
        <v>7988</v>
      </c>
      <c r="D2828" s="2" t="s">
        <v>7996</v>
      </c>
      <c r="E2828" s="2" t="s">
        <v>2248</v>
      </c>
      <c r="F2828" s="2" t="s">
        <v>16</v>
      </c>
      <c r="G2828" s="2" t="s">
        <v>84</v>
      </c>
      <c r="H2828" s="2" t="s">
        <v>18</v>
      </c>
      <c r="I2828" s="3" t="n">
        <v>39600</v>
      </c>
      <c r="J2828" s="2" t="s">
        <v>19</v>
      </c>
      <c r="K2828" s="2" t="s">
        <v>20</v>
      </c>
      <c r="L2828" s="2" t="s">
        <v>6187</v>
      </c>
    </row>
    <row r="2829" customFormat="false" ht="15.65" hidden="false" customHeight="true" outlineLevel="0" collapsed="false">
      <c r="A2829" s="5" t="str">
        <f aca="false">HYPERLINK("https://www.fabsurplus.com/sdi_catalog/salesItemDetails.do?id=108577")</f>
        <v>https://www.fabsurplus.com/sdi_catalog/salesItemDetails.do?id=108577</v>
      </c>
      <c r="B2829" s="5" t="s">
        <v>7998</v>
      </c>
      <c r="C2829" s="5" t="s">
        <v>7988</v>
      </c>
      <c r="D2829" s="5" t="s">
        <v>7999</v>
      </c>
      <c r="E2829" s="5" t="s">
        <v>2248</v>
      </c>
      <c r="F2829" s="5" t="s">
        <v>16</v>
      </c>
      <c r="G2829" s="5" t="s">
        <v>84</v>
      </c>
      <c r="H2829" s="5" t="s">
        <v>18</v>
      </c>
      <c r="I2829" s="6" t="n">
        <v>37773</v>
      </c>
      <c r="J2829" s="5" t="s">
        <v>19</v>
      </c>
      <c r="K2829" s="5" t="s">
        <v>20</v>
      </c>
      <c r="L2829" s="5" t="s">
        <v>6187</v>
      </c>
    </row>
    <row r="2830" customFormat="false" ht="15.65" hidden="false" customHeight="true" outlineLevel="0" collapsed="false">
      <c r="A2830" s="2" t="str">
        <f aca="false">HYPERLINK("https://www.fabsurplus.com/sdi_catalog/salesItemDetails.do?id=100919")</f>
        <v>https://www.fabsurplus.com/sdi_catalog/salesItemDetails.do?id=100919</v>
      </c>
      <c r="B2830" s="2" t="s">
        <v>8000</v>
      </c>
      <c r="C2830" s="2" t="s">
        <v>8001</v>
      </c>
      <c r="D2830" s="2" t="s">
        <v>7941</v>
      </c>
      <c r="E2830" s="2" t="s">
        <v>8002</v>
      </c>
      <c r="F2830" s="2" t="s">
        <v>16</v>
      </c>
      <c r="G2830" s="2" t="s">
        <v>61</v>
      </c>
      <c r="H2830" s="2"/>
      <c r="I2830" s="3" t="n">
        <v>37042.9166666667</v>
      </c>
      <c r="J2830" s="2" t="s">
        <v>19</v>
      </c>
      <c r="K2830" s="2"/>
      <c r="L2830" s="2" t="s">
        <v>1539</v>
      </c>
    </row>
    <row r="2831" customFormat="false" ht="15.65" hidden="false" customHeight="true" outlineLevel="0" collapsed="false">
      <c r="A2831" s="5" t="str">
        <f aca="false">HYPERLINK("https://www.fabsurplus.com/sdi_catalog/salesItemDetails.do?id=100920")</f>
        <v>https://www.fabsurplus.com/sdi_catalog/salesItemDetails.do?id=100920</v>
      </c>
      <c r="B2831" s="5" t="s">
        <v>8003</v>
      </c>
      <c r="C2831" s="5" t="s">
        <v>8001</v>
      </c>
      <c r="D2831" s="5" t="s">
        <v>7941</v>
      </c>
      <c r="E2831" s="5" t="s">
        <v>8002</v>
      </c>
      <c r="F2831" s="5" t="s">
        <v>16</v>
      </c>
      <c r="G2831" s="5" t="s">
        <v>61</v>
      </c>
      <c r="H2831" s="5"/>
      <c r="I2831" s="6" t="n">
        <v>40329.9166666667</v>
      </c>
      <c r="J2831" s="5" t="s">
        <v>19</v>
      </c>
      <c r="K2831" s="5"/>
      <c r="L2831" s="5" t="s">
        <v>1539</v>
      </c>
    </row>
    <row r="2832" customFormat="false" ht="15.65" hidden="false" customHeight="true" outlineLevel="0" collapsed="false">
      <c r="A2832" s="2" t="str">
        <f aca="false">HYPERLINK("https://www.fabsurplus.com/sdi_catalog/salesItemDetails.do?id=100921")</f>
        <v>https://www.fabsurplus.com/sdi_catalog/salesItemDetails.do?id=100921</v>
      </c>
      <c r="B2832" s="2" t="s">
        <v>8004</v>
      </c>
      <c r="C2832" s="2" t="s">
        <v>8001</v>
      </c>
      <c r="D2832" s="2" t="s">
        <v>8005</v>
      </c>
      <c r="E2832" s="2" t="s">
        <v>8002</v>
      </c>
      <c r="F2832" s="2" t="s">
        <v>16</v>
      </c>
      <c r="G2832" s="2" t="s">
        <v>61</v>
      </c>
      <c r="H2832" s="2"/>
      <c r="I2832" s="3" t="n">
        <v>37772.9166666667</v>
      </c>
      <c r="J2832" s="2" t="s">
        <v>19</v>
      </c>
      <c r="K2832" s="2"/>
      <c r="L2832" s="2" t="s">
        <v>1539</v>
      </c>
    </row>
    <row r="2833" customFormat="false" ht="15.65" hidden="false" customHeight="true" outlineLevel="0" collapsed="false">
      <c r="A2833" s="5" t="str">
        <f aca="false">HYPERLINK("https://www.fabsurplus.com/sdi_catalog/salesItemDetails.do?id=103538")</f>
        <v>https://www.fabsurplus.com/sdi_catalog/salesItemDetails.do?id=103538</v>
      </c>
      <c r="B2833" s="5" t="s">
        <v>8006</v>
      </c>
      <c r="C2833" s="5" t="s">
        <v>8001</v>
      </c>
      <c r="D2833" s="5" t="s">
        <v>8007</v>
      </c>
      <c r="E2833" s="5" t="s">
        <v>8008</v>
      </c>
      <c r="F2833" s="5" t="s">
        <v>16</v>
      </c>
      <c r="G2833" s="5" t="s">
        <v>61</v>
      </c>
      <c r="H2833" s="5"/>
      <c r="I2833" s="6" t="n">
        <v>38503.9166666667</v>
      </c>
      <c r="J2833" s="5" t="s">
        <v>19</v>
      </c>
      <c r="K2833" s="5"/>
      <c r="L2833" s="7" t="s">
        <v>1682</v>
      </c>
    </row>
    <row r="2834" customFormat="false" ht="15.65" hidden="false" customHeight="true" outlineLevel="0" collapsed="false">
      <c r="A2834" s="2" t="str">
        <f aca="false">HYPERLINK("https://www.fabsurplus.com/sdi_catalog/salesItemDetails.do?id=105861")</f>
        <v>https://www.fabsurplus.com/sdi_catalog/salesItemDetails.do?id=105861</v>
      </c>
      <c r="B2834" s="2" t="s">
        <v>8009</v>
      </c>
      <c r="C2834" s="2" t="s">
        <v>7983</v>
      </c>
      <c r="D2834" s="2" t="s">
        <v>8010</v>
      </c>
      <c r="E2834" s="2" t="s">
        <v>8011</v>
      </c>
      <c r="F2834" s="2" t="s">
        <v>108</v>
      </c>
      <c r="G2834" s="2" t="s">
        <v>104</v>
      </c>
      <c r="H2834" s="2" t="s">
        <v>1969</v>
      </c>
      <c r="I2834" s="3" t="n">
        <v>36860.9583333333</v>
      </c>
      <c r="J2834" s="2" t="s">
        <v>19</v>
      </c>
      <c r="K2834" s="2" t="s">
        <v>20</v>
      </c>
      <c r="L2834" s="4" t="s">
        <v>8012</v>
      </c>
    </row>
    <row r="2835" customFormat="false" ht="15.65" hidden="false" customHeight="true" outlineLevel="0" collapsed="false">
      <c r="A2835" s="5" t="str">
        <f aca="false">HYPERLINK("https://www.fabsurplus.com/sdi_catalog/salesItemDetails.do?id=105862")</f>
        <v>https://www.fabsurplus.com/sdi_catalog/salesItemDetails.do?id=105862</v>
      </c>
      <c r="B2835" s="5" t="s">
        <v>8013</v>
      </c>
      <c r="C2835" s="5" t="s">
        <v>7983</v>
      </c>
      <c r="D2835" s="5" t="s">
        <v>8014</v>
      </c>
      <c r="E2835" s="5" t="s">
        <v>8015</v>
      </c>
      <c r="F2835" s="5" t="s">
        <v>145</v>
      </c>
      <c r="G2835" s="5" t="s">
        <v>104</v>
      </c>
      <c r="H2835" s="5" t="s">
        <v>1969</v>
      </c>
      <c r="I2835" s="6" t="n">
        <v>36860.9583333333</v>
      </c>
      <c r="J2835" s="5" t="s">
        <v>19</v>
      </c>
      <c r="K2835" s="5" t="s">
        <v>20</v>
      </c>
      <c r="L2835" s="5" t="s">
        <v>8016</v>
      </c>
    </row>
    <row r="2836" customFormat="false" ht="15.65" hidden="false" customHeight="true" outlineLevel="0" collapsed="false">
      <c r="A2836" s="2" t="str">
        <f aca="false">HYPERLINK("https://www.fabsurplus.com/sdi_catalog/salesItemDetails.do?id=108167")</f>
        <v>https://www.fabsurplus.com/sdi_catalog/salesItemDetails.do?id=108167</v>
      </c>
      <c r="B2836" s="2" t="s">
        <v>8017</v>
      </c>
      <c r="C2836" s="2" t="s">
        <v>8001</v>
      </c>
      <c r="D2836" s="2" t="s">
        <v>8018</v>
      </c>
      <c r="E2836" s="2" t="s">
        <v>2049</v>
      </c>
      <c r="F2836" s="2" t="s">
        <v>16</v>
      </c>
      <c r="G2836" s="2" t="s">
        <v>61</v>
      </c>
      <c r="H2836" s="2"/>
      <c r="I2836" s="3" t="n">
        <v>41061</v>
      </c>
      <c r="J2836" s="2" t="s">
        <v>19</v>
      </c>
      <c r="K2836" s="2"/>
      <c r="L2836" s="2" t="s">
        <v>1480</v>
      </c>
    </row>
    <row r="2837" customFormat="false" ht="15.65" hidden="false" customHeight="true" outlineLevel="0" collapsed="false">
      <c r="A2837" s="5" t="str">
        <f aca="false">HYPERLINK("https://www.fabsurplus.com/sdi_catalog/salesItemDetails.do?id=108168")</f>
        <v>https://www.fabsurplus.com/sdi_catalog/salesItemDetails.do?id=108168</v>
      </c>
      <c r="B2837" s="5" t="s">
        <v>8019</v>
      </c>
      <c r="C2837" s="5" t="s">
        <v>8001</v>
      </c>
      <c r="D2837" s="5" t="s">
        <v>8020</v>
      </c>
      <c r="E2837" s="5" t="s">
        <v>8021</v>
      </c>
      <c r="F2837" s="5" t="s">
        <v>16</v>
      </c>
      <c r="G2837" s="5" t="s">
        <v>61</v>
      </c>
      <c r="H2837" s="5"/>
      <c r="I2837" s="6" t="n">
        <v>39600</v>
      </c>
      <c r="J2837" s="5" t="s">
        <v>19</v>
      </c>
      <c r="K2837" s="5"/>
      <c r="L2837" s="5" t="s">
        <v>1480</v>
      </c>
    </row>
    <row r="2838" customFormat="false" ht="15.65" hidden="false" customHeight="true" outlineLevel="0" collapsed="false">
      <c r="A2838" s="2" t="str">
        <f aca="false">HYPERLINK("https://www.fabsurplus.com/sdi_catalog/salesItemDetails.do?id=108169")</f>
        <v>https://www.fabsurplus.com/sdi_catalog/salesItemDetails.do?id=108169</v>
      </c>
      <c r="B2838" s="2" t="s">
        <v>8022</v>
      </c>
      <c r="C2838" s="2" t="s">
        <v>8001</v>
      </c>
      <c r="D2838" s="2" t="s">
        <v>8023</v>
      </c>
      <c r="E2838" s="2" t="s">
        <v>8024</v>
      </c>
      <c r="F2838" s="2" t="s">
        <v>16</v>
      </c>
      <c r="G2838" s="2" t="s">
        <v>61</v>
      </c>
      <c r="H2838" s="2"/>
      <c r="I2838" s="3" t="n">
        <v>40330</v>
      </c>
      <c r="J2838" s="2" t="s">
        <v>19</v>
      </c>
      <c r="K2838" s="2"/>
      <c r="L2838" s="2" t="s">
        <v>1480</v>
      </c>
    </row>
    <row r="2839" customFormat="false" ht="15.65" hidden="false" customHeight="true" outlineLevel="0" collapsed="false">
      <c r="A2839" s="5" t="str">
        <f aca="false">HYPERLINK("https://www.fabsurplus.com/sdi_catalog/salesItemDetails.do?id=108170")</f>
        <v>https://www.fabsurplus.com/sdi_catalog/salesItemDetails.do?id=108170</v>
      </c>
      <c r="B2839" s="5" t="s">
        <v>8025</v>
      </c>
      <c r="C2839" s="5" t="s">
        <v>8001</v>
      </c>
      <c r="D2839" s="5" t="s">
        <v>8023</v>
      </c>
      <c r="E2839" s="5" t="s">
        <v>8024</v>
      </c>
      <c r="F2839" s="5" t="s">
        <v>16</v>
      </c>
      <c r="G2839" s="5" t="s">
        <v>61</v>
      </c>
      <c r="H2839" s="5"/>
      <c r="I2839" s="6" t="n">
        <v>43252</v>
      </c>
      <c r="J2839" s="5" t="s">
        <v>19</v>
      </c>
      <c r="K2839" s="5"/>
      <c r="L2839" s="5" t="s">
        <v>1480</v>
      </c>
    </row>
    <row r="2840" customFormat="false" ht="15.65" hidden="false" customHeight="true" outlineLevel="0" collapsed="false">
      <c r="A2840" s="2" t="str">
        <f aca="false">HYPERLINK("https://www.fabsurplus.com/sdi_catalog/salesItemDetails.do?id=109206")</f>
        <v>https://www.fabsurplus.com/sdi_catalog/salesItemDetails.do?id=109206</v>
      </c>
      <c r="B2840" s="2" t="s">
        <v>8026</v>
      </c>
      <c r="C2840" s="2" t="s">
        <v>8001</v>
      </c>
      <c r="D2840" s="2" t="s">
        <v>8027</v>
      </c>
      <c r="E2840" s="2" t="s">
        <v>8028</v>
      </c>
      <c r="F2840" s="2" t="s">
        <v>16</v>
      </c>
      <c r="G2840" s="2" t="s">
        <v>84</v>
      </c>
      <c r="H2840" s="2"/>
      <c r="I2840" s="2"/>
      <c r="J2840" s="2" t="s">
        <v>19</v>
      </c>
      <c r="K2840" s="2"/>
      <c r="L2840" s="2"/>
    </row>
    <row r="2841" customFormat="false" ht="15.65" hidden="false" customHeight="true" outlineLevel="0" collapsed="false">
      <c r="A2841" s="5" t="str">
        <f aca="false">HYPERLINK("https://www.fabsurplus.com/sdi_catalog/salesItemDetails.do?id=109207")</f>
        <v>https://www.fabsurplus.com/sdi_catalog/salesItemDetails.do?id=109207</v>
      </c>
      <c r="B2841" s="5" t="s">
        <v>8029</v>
      </c>
      <c r="C2841" s="5" t="s">
        <v>8001</v>
      </c>
      <c r="D2841" s="5" t="s">
        <v>8030</v>
      </c>
      <c r="E2841" s="5" t="s">
        <v>1785</v>
      </c>
      <c r="F2841" s="5" t="s">
        <v>16</v>
      </c>
      <c r="G2841" s="5" t="s">
        <v>84</v>
      </c>
      <c r="H2841" s="5"/>
      <c r="I2841" s="5"/>
      <c r="J2841" s="5" t="s">
        <v>19</v>
      </c>
      <c r="K2841" s="5"/>
      <c r="L2841" s="5"/>
    </row>
    <row r="2842" customFormat="false" ht="15.65" hidden="false" customHeight="true" outlineLevel="0" collapsed="false">
      <c r="A2842" s="2" t="str">
        <f aca="false">HYPERLINK("https://www.fabsurplus.com/sdi_catalog/salesItemDetails.do?id=109208")</f>
        <v>https://www.fabsurplus.com/sdi_catalog/salesItemDetails.do?id=109208</v>
      </c>
      <c r="B2842" s="2" t="s">
        <v>8031</v>
      </c>
      <c r="C2842" s="2" t="s">
        <v>8001</v>
      </c>
      <c r="D2842" s="2" t="s">
        <v>8032</v>
      </c>
      <c r="E2842" s="2" t="s">
        <v>1713</v>
      </c>
      <c r="F2842" s="2" t="s">
        <v>16</v>
      </c>
      <c r="G2842" s="2" t="s">
        <v>84</v>
      </c>
      <c r="H2842" s="2"/>
      <c r="I2842" s="2"/>
      <c r="J2842" s="2" t="s">
        <v>19</v>
      </c>
      <c r="K2842" s="2"/>
      <c r="L2842" s="2"/>
    </row>
    <row r="2843" customFormat="false" ht="15.65" hidden="false" customHeight="true" outlineLevel="0" collapsed="false">
      <c r="A2843" s="5" t="str">
        <f aca="false">HYPERLINK("https://www.fabsurplus.com/sdi_catalog/salesItemDetails.do?id=84377")</f>
        <v>https://www.fabsurplus.com/sdi_catalog/salesItemDetails.do?id=84377</v>
      </c>
      <c r="B2843" s="5" t="s">
        <v>8033</v>
      </c>
      <c r="C2843" s="5" t="s">
        <v>7983</v>
      </c>
      <c r="D2843" s="5" t="s">
        <v>8034</v>
      </c>
      <c r="E2843" s="5" t="s">
        <v>8035</v>
      </c>
      <c r="F2843" s="5" t="s">
        <v>16</v>
      </c>
      <c r="G2843" s="5" t="s">
        <v>104</v>
      </c>
      <c r="H2843" s="5" t="s">
        <v>18</v>
      </c>
      <c r="I2843" s="6" t="n">
        <v>37042.9166666667</v>
      </c>
      <c r="J2843" s="5" t="s">
        <v>19</v>
      </c>
      <c r="K2843" s="5" t="s">
        <v>20</v>
      </c>
      <c r="L2843" s="7" t="s">
        <v>8036</v>
      </c>
    </row>
    <row r="2844" customFormat="false" ht="15.65" hidden="false" customHeight="true" outlineLevel="0" collapsed="false">
      <c r="A2844" s="2" t="str">
        <f aca="false">HYPERLINK("https://www.fabsurplus.com/sdi_catalog/salesItemDetails.do?id=109209")</f>
        <v>https://www.fabsurplus.com/sdi_catalog/salesItemDetails.do?id=109209</v>
      </c>
      <c r="B2844" s="2" t="s">
        <v>8037</v>
      </c>
      <c r="C2844" s="2" t="s">
        <v>8001</v>
      </c>
      <c r="D2844" s="2" t="s">
        <v>8038</v>
      </c>
      <c r="E2844" s="2" t="s">
        <v>1785</v>
      </c>
      <c r="F2844" s="2" t="s">
        <v>16</v>
      </c>
      <c r="G2844" s="2" t="s">
        <v>84</v>
      </c>
      <c r="H2844" s="2"/>
      <c r="I2844" s="2"/>
      <c r="J2844" s="2" t="s">
        <v>19</v>
      </c>
      <c r="K2844" s="2"/>
      <c r="L2844" s="2"/>
    </row>
    <row r="2845" customFormat="false" ht="15.65" hidden="false" customHeight="true" outlineLevel="0" collapsed="false">
      <c r="A2845" s="5" t="str">
        <f aca="false">HYPERLINK("https://www.fabsurplus.com/sdi_catalog/salesItemDetails.do?id=109210")</f>
        <v>https://www.fabsurplus.com/sdi_catalog/salesItemDetails.do?id=109210</v>
      </c>
      <c r="B2845" s="5" t="s">
        <v>8039</v>
      </c>
      <c r="C2845" s="5" t="s">
        <v>8001</v>
      </c>
      <c r="D2845" s="5" t="s">
        <v>8040</v>
      </c>
      <c r="E2845" s="5" t="s">
        <v>1785</v>
      </c>
      <c r="F2845" s="5" t="s">
        <v>16</v>
      </c>
      <c r="G2845" s="5" t="s">
        <v>84</v>
      </c>
      <c r="H2845" s="5"/>
      <c r="I2845" s="5"/>
      <c r="J2845" s="5" t="s">
        <v>19</v>
      </c>
      <c r="K2845" s="5"/>
      <c r="L2845" s="5"/>
    </row>
    <row r="2846" customFormat="false" ht="15.65" hidden="false" customHeight="true" outlineLevel="0" collapsed="false">
      <c r="A2846" s="2" t="str">
        <f aca="false">HYPERLINK("https://www.fabsurplus.com/sdi_catalog/salesItemDetails.do?id=108448")</f>
        <v>https://www.fabsurplus.com/sdi_catalog/salesItemDetails.do?id=108448</v>
      </c>
      <c r="B2846" s="2" t="s">
        <v>8041</v>
      </c>
      <c r="C2846" s="2" t="s">
        <v>8001</v>
      </c>
      <c r="D2846" s="2" t="s">
        <v>8027</v>
      </c>
      <c r="E2846" s="2" t="s">
        <v>8028</v>
      </c>
      <c r="F2846" s="2" t="s">
        <v>16</v>
      </c>
      <c r="G2846" s="2" t="s">
        <v>61</v>
      </c>
      <c r="H2846" s="2"/>
      <c r="I2846" s="2"/>
      <c r="J2846" s="2" t="s">
        <v>19</v>
      </c>
      <c r="K2846" s="2"/>
      <c r="L2846" s="2"/>
    </row>
    <row r="2847" customFormat="false" ht="15.65" hidden="false" customHeight="true" outlineLevel="0" collapsed="false">
      <c r="A2847" s="5" t="str">
        <f aca="false">HYPERLINK("https://www.fabsurplus.com/sdi_catalog/salesItemDetails.do?id=108704")</f>
        <v>https://www.fabsurplus.com/sdi_catalog/salesItemDetails.do?id=108704</v>
      </c>
      <c r="B2847" s="5" t="s">
        <v>8042</v>
      </c>
      <c r="C2847" s="5" t="s">
        <v>7983</v>
      </c>
      <c r="D2847" s="5" t="s">
        <v>8043</v>
      </c>
      <c r="E2847" s="5" t="s">
        <v>8044</v>
      </c>
      <c r="F2847" s="5" t="s">
        <v>86</v>
      </c>
      <c r="G2847" s="5" t="s">
        <v>1293</v>
      </c>
      <c r="H2847" s="5" t="s">
        <v>32</v>
      </c>
      <c r="I2847" s="6" t="n">
        <v>33025</v>
      </c>
      <c r="J2847" s="5" t="s">
        <v>42</v>
      </c>
      <c r="K2847" s="5" t="s">
        <v>20</v>
      </c>
      <c r="L2847" s="7" t="s">
        <v>8045</v>
      </c>
    </row>
    <row r="2848" customFormat="false" ht="15.65" hidden="false" customHeight="true" outlineLevel="0" collapsed="false">
      <c r="A2848" s="2" t="str">
        <f aca="false">HYPERLINK("https://www.fabsurplus.com/sdi_catalog/salesItemDetails.do?id=108449")</f>
        <v>https://www.fabsurplus.com/sdi_catalog/salesItemDetails.do?id=108449</v>
      </c>
      <c r="B2848" s="2" t="s">
        <v>8046</v>
      </c>
      <c r="C2848" s="2" t="s">
        <v>8001</v>
      </c>
      <c r="D2848" s="2" t="s">
        <v>7905</v>
      </c>
      <c r="E2848" s="2" t="s">
        <v>1785</v>
      </c>
      <c r="F2848" s="2" t="s">
        <v>236</v>
      </c>
      <c r="G2848" s="2" t="s">
        <v>61</v>
      </c>
      <c r="H2848" s="2"/>
      <c r="I2848" s="2"/>
      <c r="J2848" s="2" t="s">
        <v>19</v>
      </c>
      <c r="K2848" s="2"/>
      <c r="L2848" s="2"/>
    </row>
    <row r="2849" customFormat="false" ht="15.65" hidden="false" customHeight="true" outlineLevel="0" collapsed="false">
      <c r="A2849" s="5" t="str">
        <f aca="false">HYPERLINK("https://www.fabsurplus.com/sdi_catalog/salesItemDetails.do?id=102568")</f>
        <v>https://www.fabsurplus.com/sdi_catalog/salesItemDetails.do?id=102568</v>
      </c>
      <c r="B2849" s="5" t="s">
        <v>8047</v>
      </c>
      <c r="C2849" s="5" t="s">
        <v>8001</v>
      </c>
      <c r="D2849" s="5" t="s">
        <v>8048</v>
      </c>
      <c r="E2849" s="5" t="s">
        <v>8049</v>
      </c>
      <c r="F2849" s="5" t="s">
        <v>151</v>
      </c>
      <c r="G2849" s="5"/>
      <c r="H2849" s="5"/>
      <c r="I2849" s="5"/>
      <c r="J2849" s="5" t="s">
        <v>42</v>
      </c>
      <c r="K2849" s="5"/>
      <c r="L2849" s="5"/>
    </row>
    <row r="2850" customFormat="false" ht="15.65" hidden="false" customHeight="true" outlineLevel="0" collapsed="false">
      <c r="A2850" s="2" t="str">
        <f aca="false">HYPERLINK("https://www.fabsurplus.com/sdi_catalog/salesItemDetails.do?id=102569")</f>
        <v>https://www.fabsurplus.com/sdi_catalog/salesItemDetails.do?id=102569</v>
      </c>
      <c r="B2850" s="2" t="s">
        <v>8050</v>
      </c>
      <c r="C2850" s="2" t="s">
        <v>8001</v>
      </c>
      <c r="D2850" s="2" t="s">
        <v>8051</v>
      </c>
      <c r="E2850" s="2" t="s">
        <v>8049</v>
      </c>
      <c r="F2850" s="2" t="s">
        <v>151</v>
      </c>
      <c r="G2850" s="2"/>
      <c r="H2850" s="2"/>
      <c r="I2850" s="2"/>
      <c r="J2850" s="2" t="s">
        <v>42</v>
      </c>
      <c r="K2850" s="2"/>
      <c r="L2850" s="2"/>
    </row>
    <row r="2851" customFormat="false" ht="15.65" hidden="false" customHeight="true" outlineLevel="0" collapsed="false">
      <c r="A2851" s="5" t="str">
        <f aca="false">HYPERLINK("https://www.fabsurplus.com/sdi_catalog/salesItemDetails.do?id=108457")</f>
        <v>https://www.fabsurplus.com/sdi_catalog/salesItemDetails.do?id=108457</v>
      </c>
      <c r="B2851" s="5" t="s">
        <v>8052</v>
      </c>
      <c r="C2851" s="5" t="s">
        <v>8001</v>
      </c>
      <c r="D2851" s="5" t="s">
        <v>8053</v>
      </c>
      <c r="E2851" s="5" t="s">
        <v>1785</v>
      </c>
      <c r="F2851" s="5" t="s">
        <v>16</v>
      </c>
      <c r="G2851" s="5" t="s">
        <v>61</v>
      </c>
      <c r="H2851" s="5"/>
      <c r="I2851" s="5"/>
      <c r="J2851" s="5" t="s">
        <v>19</v>
      </c>
      <c r="K2851" s="5"/>
      <c r="L2851" s="5"/>
    </row>
    <row r="2852" customFormat="false" ht="15.65" hidden="false" customHeight="true" outlineLevel="0" collapsed="false">
      <c r="A2852" s="2" t="str">
        <f aca="false">HYPERLINK("https://www.fabsurplus.com/sdi_catalog/salesItemDetails.do?id=91320")</f>
        <v>https://www.fabsurplus.com/sdi_catalog/salesItemDetails.do?id=91320</v>
      </c>
      <c r="B2852" s="2" t="s">
        <v>8054</v>
      </c>
      <c r="C2852" s="2" t="s">
        <v>8001</v>
      </c>
      <c r="D2852" s="2" t="s">
        <v>8055</v>
      </c>
      <c r="E2852" s="2" t="s">
        <v>8056</v>
      </c>
      <c r="F2852" s="2" t="s">
        <v>16</v>
      </c>
      <c r="G2852" s="2" t="s">
        <v>61</v>
      </c>
      <c r="H2852" s="2"/>
      <c r="I2852" s="2"/>
      <c r="J2852" s="2" t="s">
        <v>19</v>
      </c>
      <c r="K2852" s="2"/>
      <c r="L2852" s="2" t="s">
        <v>142</v>
      </c>
    </row>
    <row r="2853" customFormat="false" ht="15.65" hidden="false" customHeight="true" outlineLevel="0" collapsed="false">
      <c r="A2853" s="5" t="str">
        <f aca="false">HYPERLINK("https://www.fabsurplus.com/sdi_catalog/salesItemDetails.do?id=18898")</f>
        <v>https://www.fabsurplus.com/sdi_catalog/salesItemDetails.do?id=18898</v>
      </c>
      <c r="B2853" s="5" t="s">
        <v>8057</v>
      </c>
      <c r="C2853" s="5" t="s">
        <v>7988</v>
      </c>
      <c r="D2853" s="5" t="s">
        <v>8058</v>
      </c>
      <c r="E2853" s="5" t="s">
        <v>8059</v>
      </c>
      <c r="F2853" s="5" t="s">
        <v>16</v>
      </c>
      <c r="G2853" s="5"/>
      <c r="H2853" s="5"/>
      <c r="I2853" s="5"/>
      <c r="J2853" s="5" t="s">
        <v>19</v>
      </c>
      <c r="K2853" s="5"/>
      <c r="L2853" s="5"/>
    </row>
    <row r="2854" customFormat="false" ht="15.65" hidden="false" customHeight="true" outlineLevel="0" collapsed="false">
      <c r="A2854" s="2" t="str">
        <f aca="false">HYPERLINK("https://www.fabsurplus.com/sdi_catalog/salesItemDetails.do?id=18899")</f>
        <v>https://www.fabsurplus.com/sdi_catalog/salesItemDetails.do?id=18899</v>
      </c>
      <c r="B2854" s="2" t="s">
        <v>8060</v>
      </c>
      <c r="C2854" s="2" t="s">
        <v>7988</v>
      </c>
      <c r="D2854" s="2" t="s">
        <v>8061</v>
      </c>
      <c r="E2854" s="2" t="s">
        <v>8062</v>
      </c>
      <c r="F2854" s="2" t="s">
        <v>16</v>
      </c>
      <c r="G2854" s="2"/>
      <c r="H2854" s="2"/>
      <c r="I2854" s="2"/>
      <c r="J2854" s="2" t="s">
        <v>19</v>
      </c>
      <c r="K2854" s="2"/>
      <c r="L2854" s="2"/>
    </row>
    <row r="2855" customFormat="false" ht="15.65" hidden="false" customHeight="true" outlineLevel="0" collapsed="false">
      <c r="A2855" s="5" t="str">
        <f aca="false">HYPERLINK("https://www.fabsurplus.com/sdi_catalog/salesItemDetails.do?id=18900")</f>
        <v>https://www.fabsurplus.com/sdi_catalog/salesItemDetails.do?id=18900</v>
      </c>
      <c r="B2855" s="5" t="s">
        <v>8063</v>
      </c>
      <c r="C2855" s="5" t="s">
        <v>7988</v>
      </c>
      <c r="D2855" s="5" t="s">
        <v>8064</v>
      </c>
      <c r="E2855" s="5" t="s">
        <v>8065</v>
      </c>
      <c r="F2855" s="5" t="s">
        <v>16</v>
      </c>
      <c r="G2855" s="5"/>
      <c r="H2855" s="5"/>
      <c r="I2855" s="5"/>
      <c r="J2855" s="5" t="s">
        <v>19</v>
      </c>
      <c r="K2855" s="5"/>
      <c r="L2855" s="5"/>
    </row>
    <row r="2856" customFormat="false" ht="15.65" hidden="false" customHeight="true" outlineLevel="0" collapsed="false">
      <c r="A2856" s="2" t="str">
        <f aca="false">HYPERLINK("https://www.fabsurplus.com/sdi_catalog/salesItemDetails.do?id=18901")</f>
        <v>https://www.fabsurplus.com/sdi_catalog/salesItemDetails.do?id=18901</v>
      </c>
      <c r="B2856" s="2" t="s">
        <v>8066</v>
      </c>
      <c r="C2856" s="2" t="s">
        <v>7988</v>
      </c>
      <c r="D2856" s="2" t="s">
        <v>8067</v>
      </c>
      <c r="E2856" s="2" t="s">
        <v>8068</v>
      </c>
      <c r="F2856" s="2" t="s">
        <v>16</v>
      </c>
      <c r="G2856" s="2"/>
      <c r="H2856" s="2"/>
      <c r="I2856" s="2"/>
      <c r="J2856" s="2" t="s">
        <v>19</v>
      </c>
      <c r="K2856" s="2"/>
      <c r="L2856" s="2"/>
    </row>
    <row r="2857" customFormat="false" ht="15.65" hidden="false" customHeight="true" outlineLevel="0" collapsed="false">
      <c r="A2857" s="5" t="str">
        <f aca="false">HYPERLINK("https://www.fabsurplus.com/sdi_catalog/salesItemDetails.do?id=18902")</f>
        <v>https://www.fabsurplus.com/sdi_catalog/salesItemDetails.do?id=18902</v>
      </c>
      <c r="B2857" s="5" t="s">
        <v>8069</v>
      </c>
      <c r="C2857" s="5" t="s">
        <v>7988</v>
      </c>
      <c r="D2857" s="5" t="s">
        <v>8070</v>
      </c>
      <c r="E2857" s="5" t="s">
        <v>8068</v>
      </c>
      <c r="F2857" s="5" t="s">
        <v>16</v>
      </c>
      <c r="G2857" s="5"/>
      <c r="H2857" s="5"/>
      <c r="I2857" s="5"/>
      <c r="J2857" s="5" t="s">
        <v>19</v>
      </c>
      <c r="K2857" s="5"/>
      <c r="L2857" s="5"/>
    </row>
    <row r="2858" customFormat="false" ht="15.65" hidden="false" customHeight="true" outlineLevel="0" collapsed="false">
      <c r="A2858" s="2" t="str">
        <f aca="false">HYPERLINK("https://www.fabsurplus.com/sdi_catalog/salesItemDetails.do?id=18903")</f>
        <v>https://www.fabsurplus.com/sdi_catalog/salesItemDetails.do?id=18903</v>
      </c>
      <c r="B2858" s="2" t="s">
        <v>8071</v>
      </c>
      <c r="C2858" s="2" t="s">
        <v>7988</v>
      </c>
      <c r="D2858" s="2" t="s">
        <v>8072</v>
      </c>
      <c r="E2858" s="2" t="s">
        <v>8065</v>
      </c>
      <c r="F2858" s="2" t="s">
        <v>16</v>
      </c>
      <c r="G2858" s="2"/>
      <c r="H2858" s="2"/>
      <c r="I2858" s="2"/>
      <c r="J2858" s="2" t="s">
        <v>19</v>
      </c>
      <c r="K2858" s="2"/>
      <c r="L2858" s="2"/>
    </row>
    <row r="2859" customFormat="false" ht="15.65" hidden="false" customHeight="true" outlineLevel="0" collapsed="false">
      <c r="A2859" s="5" t="str">
        <f aca="false">HYPERLINK("https://www.fabsurplus.com/sdi_catalog/salesItemDetails.do?id=18904")</f>
        <v>https://www.fabsurplus.com/sdi_catalog/salesItemDetails.do?id=18904</v>
      </c>
      <c r="B2859" s="5" t="s">
        <v>8073</v>
      </c>
      <c r="C2859" s="5" t="s">
        <v>7988</v>
      </c>
      <c r="D2859" s="5" t="s">
        <v>8058</v>
      </c>
      <c r="E2859" s="5" t="s">
        <v>8074</v>
      </c>
      <c r="F2859" s="5" t="s">
        <v>16</v>
      </c>
      <c r="G2859" s="5"/>
      <c r="H2859" s="5"/>
      <c r="I2859" s="5"/>
      <c r="J2859" s="5" t="s">
        <v>19</v>
      </c>
      <c r="K2859" s="5"/>
      <c r="L2859" s="5"/>
    </row>
    <row r="2860" customFormat="false" ht="15.65" hidden="false" customHeight="true" outlineLevel="0" collapsed="false">
      <c r="A2860" s="2" t="str">
        <f aca="false">HYPERLINK("https://www.fabsurplus.com/sdi_catalog/salesItemDetails.do?id=18905")</f>
        <v>https://www.fabsurplus.com/sdi_catalog/salesItemDetails.do?id=18905</v>
      </c>
      <c r="B2860" s="2" t="s">
        <v>8075</v>
      </c>
      <c r="C2860" s="2" t="s">
        <v>7988</v>
      </c>
      <c r="D2860" s="2" t="s">
        <v>8076</v>
      </c>
      <c r="E2860" s="2" t="s">
        <v>8077</v>
      </c>
      <c r="F2860" s="2" t="s">
        <v>16</v>
      </c>
      <c r="G2860" s="2"/>
      <c r="H2860" s="2"/>
      <c r="I2860" s="2"/>
      <c r="J2860" s="2" t="s">
        <v>19</v>
      </c>
      <c r="K2860" s="2"/>
      <c r="L2860" s="2"/>
    </row>
    <row r="2861" customFormat="false" ht="15.65" hidden="false" customHeight="true" outlineLevel="0" collapsed="false">
      <c r="A2861" s="5" t="str">
        <f aca="false">HYPERLINK("https://www.fabsurplus.com/sdi_catalog/salesItemDetails.do?id=18906")</f>
        <v>https://www.fabsurplus.com/sdi_catalog/salesItemDetails.do?id=18906</v>
      </c>
      <c r="B2861" s="5" t="s">
        <v>8078</v>
      </c>
      <c r="C2861" s="5" t="s">
        <v>7988</v>
      </c>
      <c r="D2861" s="5" t="s">
        <v>8079</v>
      </c>
      <c r="E2861" s="5" t="s">
        <v>8080</v>
      </c>
      <c r="F2861" s="5" t="s">
        <v>16</v>
      </c>
      <c r="G2861" s="5"/>
      <c r="H2861" s="5"/>
      <c r="I2861" s="5"/>
      <c r="J2861" s="5" t="s">
        <v>19</v>
      </c>
      <c r="K2861" s="5"/>
      <c r="L2861" s="5"/>
    </row>
    <row r="2862" customFormat="false" ht="15.65" hidden="false" customHeight="true" outlineLevel="0" collapsed="false">
      <c r="A2862" s="2" t="str">
        <f aca="false">HYPERLINK("https://www.fabsurplus.com/sdi_catalog/salesItemDetails.do?id=18907")</f>
        <v>https://www.fabsurplus.com/sdi_catalog/salesItemDetails.do?id=18907</v>
      </c>
      <c r="B2862" s="2" t="s">
        <v>8081</v>
      </c>
      <c r="C2862" s="2" t="s">
        <v>7988</v>
      </c>
      <c r="D2862" s="2" t="s">
        <v>8082</v>
      </c>
      <c r="E2862" s="2" t="s">
        <v>8083</v>
      </c>
      <c r="F2862" s="2" t="s">
        <v>16</v>
      </c>
      <c r="G2862" s="2"/>
      <c r="H2862" s="2"/>
      <c r="I2862" s="2"/>
      <c r="J2862" s="2" t="s">
        <v>19</v>
      </c>
      <c r="K2862" s="2"/>
      <c r="L2862" s="2"/>
    </row>
    <row r="2863" customFormat="false" ht="15.65" hidden="false" customHeight="true" outlineLevel="0" collapsed="false">
      <c r="A2863" s="5" t="str">
        <f aca="false">HYPERLINK("https://www.fabsurplus.com/sdi_catalog/salesItemDetails.do?id=18908")</f>
        <v>https://www.fabsurplus.com/sdi_catalog/salesItemDetails.do?id=18908</v>
      </c>
      <c r="B2863" s="5" t="s">
        <v>8084</v>
      </c>
      <c r="C2863" s="5" t="s">
        <v>7988</v>
      </c>
      <c r="D2863" s="5" t="s">
        <v>8085</v>
      </c>
      <c r="E2863" s="5" t="s">
        <v>8086</v>
      </c>
      <c r="F2863" s="5" t="s">
        <v>16</v>
      </c>
      <c r="G2863" s="5"/>
      <c r="H2863" s="5"/>
      <c r="I2863" s="5"/>
      <c r="J2863" s="5" t="s">
        <v>19</v>
      </c>
      <c r="K2863" s="5"/>
      <c r="L2863" s="5"/>
    </row>
    <row r="2864" customFormat="false" ht="15.65" hidden="false" customHeight="true" outlineLevel="0" collapsed="false">
      <c r="A2864" s="2" t="str">
        <f aca="false">HYPERLINK("https://www.fabsurplus.com/sdi_catalog/salesItemDetails.do?id=18909")</f>
        <v>https://www.fabsurplus.com/sdi_catalog/salesItemDetails.do?id=18909</v>
      </c>
      <c r="B2864" s="2" t="s">
        <v>8087</v>
      </c>
      <c r="C2864" s="2" t="s">
        <v>7988</v>
      </c>
      <c r="D2864" s="2" t="s">
        <v>8088</v>
      </c>
      <c r="E2864" s="2" t="s">
        <v>8089</v>
      </c>
      <c r="F2864" s="2" t="s">
        <v>16</v>
      </c>
      <c r="G2864" s="2"/>
      <c r="H2864" s="2"/>
      <c r="I2864" s="2"/>
      <c r="J2864" s="2" t="s">
        <v>19</v>
      </c>
      <c r="K2864" s="2"/>
      <c r="L2864" s="2"/>
    </row>
    <row r="2865" customFormat="false" ht="15.65" hidden="false" customHeight="true" outlineLevel="0" collapsed="false">
      <c r="A2865" s="5" t="str">
        <f aca="false">HYPERLINK("https://www.fabsurplus.com/sdi_catalog/salesItemDetails.do?id=18910")</f>
        <v>https://www.fabsurplus.com/sdi_catalog/salesItemDetails.do?id=18910</v>
      </c>
      <c r="B2865" s="5" t="s">
        <v>8090</v>
      </c>
      <c r="C2865" s="5" t="s">
        <v>7988</v>
      </c>
      <c r="D2865" s="5" t="s">
        <v>8091</v>
      </c>
      <c r="E2865" s="5" t="s">
        <v>8092</v>
      </c>
      <c r="F2865" s="5" t="s">
        <v>16</v>
      </c>
      <c r="G2865" s="5"/>
      <c r="H2865" s="5"/>
      <c r="I2865" s="5"/>
      <c r="J2865" s="5" t="s">
        <v>19</v>
      </c>
      <c r="K2865" s="5"/>
      <c r="L2865" s="5"/>
    </row>
    <row r="2866" customFormat="false" ht="15.65" hidden="false" customHeight="true" outlineLevel="0" collapsed="false">
      <c r="A2866" s="2" t="str">
        <f aca="false">HYPERLINK("https://www.fabsurplus.com/sdi_catalog/salesItemDetails.do?id=18911")</f>
        <v>https://www.fabsurplus.com/sdi_catalog/salesItemDetails.do?id=18911</v>
      </c>
      <c r="B2866" s="2" t="s">
        <v>8093</v>
      </c>
      <c r="C2866" s="2" t="s">
        <v>7988</v>
      </c>
      <c r="D2866" s="2" t="s">
        <v>8094</v>
      </c>
      <c r="E2866" s="2" t="s">
        <v>8095</v>
      </c>
      <c r="F2866" s="2" t="s">
        <v>16</v>
      </c>
      <c r="G2866" s="2"/>
      <c r="H2866" s="2"/>
      <c r="I2866" s="2"/>
      <c r="J2866" s="2" t="s">
        <v>19</v>
      </c>
      <c r="K2866" s="2"/>
      <c r="L2866" s="2"/>
    </row>
    <row r="2867" customFormat="false" ht="15.65" hidden="false" customHeight="true" outlineLevel="0" collapsed="false">
      <c r="A2867" s="5" t="str">
        <f aca="false">HYPERLINK("https://www.fabsurplus.com/sdi_catalog/salesItemDetails.do?id=18912")</f>
        <v>https://www.fabsurplus.com/sdi_catalog/salesItemDetails.do?id=18912</v>
      </c>
      <c r="B2867" s="5" t="s">
        <v>8096</v>
      </c>
      <c r="C2867" s="5" t="s">
        <v>7988</v>
      </c>
      <c r="D2867" s="5" t="s">
        <v>8097</v>
      </c>
      <c r="E2867" s="5" t="s">
        <v>8098</v>
      </c>
      <c r="F2867" s="5" t="s">
        <v>16</v>
      </c>
      <c r="G2867" s="5"/>
      <c r="H2867" s="5"/>
      <c r="I2867" s="5"/>
      <c r="J2867" s="5" t="s">
        <v>19</v>
      </c>
      <c r="K2867" s="5"/>
      <c r="L2867" s="5"/>
    </row>
    <row r="2868" customFormat="false" ht="15.65" hidden="false" customHeight="true" outlineLevel="0" collapsed="false">
      <c r="A2868" s="2" t="str">
        <f aca="false">HYPERLINK("https://www.fabsurplus.com/sdi_catalog/salesItemDetails.do?id=18913")</f>
        <v>https://www.fabsurplus.com/sdi_catalog/salesItemDetails.do?id=18913</v>
      </c>
      <c r="B2868" s="2" t="s">
        <v>8099</v>
      </c>
      <c r="C2868" s="2" t="s">
        <v>7988</v>
      </c>
      <c r="D2868" s="2" t="s">
        <v>8100</v>
      </c>
      <c r="E2868" s="2" t="s">
        <v>8101</v>
      </c>
      <c r="F2868" s="2" t="s">
        <v>16</v>
      </c>
      <c r="G2868" s="2"/>
      <c r="H2868" s="2" t="s">
        <v>18</v>
      </c>
      <c r="I2868" s="2"/>
      <c r="J2868" s="2" t="s">
        <v>19</v>
      </c>
      <c r="K2868" s="2" t="s">
        <v>20</v>
      </c>
      <c r="L2868" s="2" t="s">
        <v>8102</v>
      </c>
    </row>
    <row r="2869" customFormat="false" ht="15.65" hidden="false" customHeight="true" outlineLevel="0" collapsed="false">
      <c r="A2869" s="5" t="str">
        <f aca="false">HYPERLINK("https://www.fabsurplus.com/sdi_catalog/salesItemDetails.do?id=18914")</f>
        <v>https://www.fabsurplus.com/sdi_catalog/salesItemDetails.do?id=18914</v>
      </c>
      <c r="B2869" s="5" t="s">
        <v>8103</v>
      </c>
      <c r="C2869" s="5" t="s">
        <v>7988</v>
      </c>
      <c r="D2869" s="5" t="s">
        <v>8104</v>
      </c>
      <c r="E2869" s="5" t="s">
        <v>8105</v>
      </c>
      <c r="F2869" s="5" t="s">
        <v>16</v>
      </c>
      <c r="G2869" s="5"/>
      <c r="H2869" s="5"/>
      <c r="I2869" s="5"/>
      <c r="J2869" s="5" t="s">
        <v>19</v>
      </c>
      <c r="K2869" s="5"/>
      <c r="L2869" s="5"/>
    </row>
    <row r="2870" customFormat="false" ht="15.65" hidden="false" customHeight="true" outlineLevel="0" collapsed="false">
      <c r="A2870" s="2" t="str">
        <f aca="false">HYPERLINK("https://www.fabsurplus.com/sdi_catalog/salesItemDetails.do?id=18915")</f>
        <v>https://www.fabsurplus.com/sdi_catalog/salesItemDetails.do?id=18915</v>
      </c>
      <c r="B2870" s="2" t="s">
        <v>8106</v>
      </c>
      <c r="C2870" s="2" t="s">
        <v>7988</v>
      </c>
      <c r="D2870" s="2" t="s">
        <v>8107</v>
      </c>
      <c r="E2870" s="2" t="s">
        <v>8108</v>
      </c>
      <c r="F2870" s="2" t="s">
        <v>16</v>
      </c>
      <c r="G2870" s="2"/>
      <c r="H2870" s="2"/>
      <c r="I2870" s="2"/>
      <c r="J2870" s="2" t="s">
        <v>19</v>
      </c>
      <c r="K2870" s="2"/>
      <c r="L2870" s="2"/>
    </row>
    <row r="2871" customFormat="false" ht="15.65" hidden="false" customHeight="true" outlineLevel="0" collapsed="false">
      <c r="A2871" s="5" t="str">
        <f aca="false">HYPERLINK("https://www.fabsurplus.com/sdi_catalog/salesItemDetails.do?id=18916")</f>
        <v>https://www.fabsurplus.com/sdi_catalog/salesItemDetails.do?id=18916</v>
      </c>
      <c r="B2871" s="5" t="s">
        <v>8109</v>
      </c>
      <c r="C2871" s="5" t="s">
        <v>7988</v>
      </c>
      <c r="D2871" s="5" t="s">
        <v>8110</v>
      </c>
      <c r="E2871" s="5" t="s">
        <v>8111</v>
      </c>
      <c r="F2871" s="5" t="s">
        <v>16</v>
      </c>
      <c r="G2871" s="5"/>
      <c r="H2871" s="5"/>
      <c r="I2871" s="5"/>
      <c r="J2871" s="5" t="s">
        <v>19</v>
      </c>
      <c r="K2871" s="5"/>
      <c r="L2871" s="5"/>
    </row>
    <row r="2872" customFormat="false" ht="15.65" hidden="false" customHeight="true" outlineLevel="0" collapsed="false">
      <c r="A2872" s="2" t="str">
        <f aca="false">HYPERLINK("https://www.fabsurplus.com/sdi_catalog/salesItemDetails.do?id=18917")</f>
        <v>https://www.fabsurplus.com/sdi_catalog/salesItemDetails.do?id=18917</v>
      </c>
      <c r="B2872" s="2" t="s">
        <v>8112</v>
      </c>
      <c r="C2872" s="2" t="s">
        <v>7988</v>
      </c>
      <c r="D2872" s="2" t="s">
        <v>8113</v>
      </c>
      <c r="E2872" s="2" t="s">
        <v>8111</v>
      </c>
      <c r="F2872" s="2" t="s">
        <v>151</v>
      </c>
      <c r="G2872" s="2"/>
      <c r="H2872" s="2"/>
      <c r="I2872" s="2"/>
      <c r="J2872" s="2" t="s">
        <v>19</v>
      </c>
      <c r="K2872" s="2"/>
      <c r="L2872" s="2"/>
    </row>
    <row r="2873" customFormat="false" ht="15.65" hidden="false" customHeight="true" outlineLevel="0" collapsed="false">
      <c r="A2873" s="5" t="str">
        <f aca="false">HYPERLINK("https://www.fabsurplus.com/sdi_catalog/salesItemDetails.do?id=98277")</f>
        <v>https://www.fabsurplus.com/sdi_catalog/salesItemDetails.do?id=98277</v>
      </c>
      <c r="B2873" s="5" t="s">
        <v>8114</v>
      </c>
      <c r="C2873" s="5" t="s">
        <v>8001</v>
      </c>
      <c r="D2873" s="5" t="s">
        <v>8018</v>
      </c>
      <c r="E2873" s="5" t="s">
        <v>8115</v>
      </c>
      <c r="F2873" s="5" t="s">
        <v>16</v>
      </c>
      <c r="G2873" s="5" t="s">
        <v>61</v>
      </c>
      <c r="H2873" s="5"/>
      <c r="I2873" s="6" t="n">
        <v>41060.9166666667</v>
      </c>
      <c r="J2873" s="5" t="s">
        <v>19</v>
      </c>
      <c r="K2873" s="5"/>
      <c r="L2873" s="5"/>
    </row>
    <row r="2874" customFormat="false" ht="15.65" hidden="false" customHeight="true" outlineLevel="0" collapsed="false">
      <c r="A2874" s="2" t="str">
        <f aca="false">HYPERLINK("https://www.fabsurplus.com/sdi_catalog/salesItemDetails.do?id=18918")</f>
        <v>https://www.fabsurplus.com/sdi_catalog/salesItemDetails.do?id=18918</v>
      </c>
      <c r="B2874" s="2" t="s">
        <v>8116</v>
      </c>
      <c r="C2874" s="2" t="s">
        <v>7988</v>
      </c>
      <c r="D2874" s="2" t="s">
        <v>8117</v>
      </c>
      <c r="E2874" s="2" t="s">
        <v>8118</v>
      </c>
      <c r="F2874" s="2" t="s">
        <v>16</v>
      </c>
      <c r="G2874" s="2"/>
      <c r="H2874" s="2"/>
      <c r="I2874" s="2"/>
      <c r="J2874" s="2" t="s">
        <v>19</v>
      </c>
      <c r="K2874" s="2"/>
      <c r="L2874" s="2"/>
    </row>
    <row r="2875" customFormat="false" ht="15.65" hidden="false" customHeight="true" outlineLevel="0" collapsed="false">
      <c r="A2875" s="5" t="str">
        <f aca="false">HYPERLINK("https://www.fabsurplus.com/sdi_catalog/salesItemDetails.do?id=18919")</f>
        <v>https://www.fabsurplus.com/sdi_catalog/salesItemDetails.do?id=18919</v>
      </c>
      <c r="B2875" s="5" t="s">
        <v>8119</v>
      </c>
      <c r="C2875" s="5" t="s">
        <v>7988</v>
      </c>
      <c r="D2875" s="5" t="s">
        <v>8120</v>
      </c>
      <c r="E2875" s="5" t="s">
        <v>8121</v>
      </c>
      <c r="F2875" s="5" t="s">
        <v>151</v>
      </c>
      <c r="G2875" s="5"/>
      <c r="H2875" s="5"/>
      <c r="I2875" s="5"/>
      <c r="J2875" s="5" t="s">
        <v>19</v>
      </c>
      <c r="K2875" s="5"/>
      <c r="L2875" s="5"/>
    </row>
    <row r="2876" customFormat="false" ht="15.65" hidden="false" customHeight="true" outlineLevel="0" collapsed="false">
      <c r="A2876" s="2" t="str">
        <f aca="false">HYPERLINK("https://www.fabsurplus.com/sdi_catalog/salesItemDetails.do?id=98279")</f>
        <v>https://www.fabsurplus.com/sdi_catalog/salesItemDetails.do?id=98279</v>
      </c>
      <c r="B2876" s="2" t="s">
        <v>8122</v>
      </c>
      <c r="C2876" s="2" t="s">
        <v>8001</v>
      </c>
      <c r="D2876" s="2" t="s">
        <v>8123</v>
      </c>
      <c r="E2876" s="2" t="s">
        <v>8124</v>
      </c>
      <c r="F2876" s="2" t="s">
        <v>16</v>
      </c>
      <c r="G2876" s="2" t="s">
        <v>61</v>
      </c>
      <c r="H2876" s="2"/>
      <c r="I2876" s="3" t="n">
        <v>39599.9166666667</v>
      </c>
      <c r="J2876" s="2" t="s">
        <v>19</v>
      </c>
      <c r="K2876" s="2"/>
      <c r="L2876" s="2"/>
    </row>
    <row r="2877" customFormat="false" ht="15.65" hidden="false" customHeight="true" outlineLevel="0" collapsed="false">
      <c r="A2877" s="5" t="str">
        <f aca="false">HYPERLINK("https://www.fabsurplus.com/sdi_catalog/salesItemDetails.do?id=18920")</f>
        <v>https://www.fabsurplus.com/sdi_catalog/salesItemDetails.do?id=18920</v>
      </c>
      <c r="B2877" s="5" t="s">
        <v>8125</v>
      </c>
      <c r="C2877" s="5" t="s">
        <v>7988</v>
      </c>
      <c r="D2877" s="5" t="s">
        <v>8126</v>
      </c>
      <c r="E2877" s="5" t="s">
        <v>8127</v>
      </c>
      <c r="F2877" s="5" t="s">
        <v>16</v>
      </c>
      <c r="G2877" s="5"/>
      <c r="H2877" s="5"/>
      <c r="I2877" s="5"/>
      <c r="J2877" s="5" t="s">
        <v>19</v>
      </c>
      <c r="K2877" s="5"/>
      <c r="L2877" s="5"/>
    </row>
    <row r="2878" customFormat="false" ht="15.65" hidden="false" customHeight="true" outlineLevel="0" collapsed="false">
      <c r="A2878" s="2" t="str">
        <f aca="false">HYPERLINK("https://www.fabsurplus.com/sdi_catalog/salesItemDetails.do?id=98280")</f>
        <v>https://www.fabsurplus.com/sdi_catalog/salesItemDetails.do?id=98280</v>
      </c>
      <c r="B2878" s="2" t="s">
        <v>8128</v>
      </c>
      <c r="C2878" s="2" t="s">
        <v>8001</v>
      </c>
      <c r="D2878" s="2" t="s">
        <v>8123</v>
      </c>
      <c r="E2878" s="2" t="s">
        <v>8124</v>
      </c>
      <c r="F2878" s="2" t="s">
        <v>16</v>
      </c>
      <c r="G2878" s="2" t="s">
        <v>61</v>
      </c>
      <c r="H2878" s="2"/>
      <c r="I2878" s="3" t="n">
        <v>39599.9166666667</v>
      </c>
      <c r="J2878" s="2" t="s">
        <v>19</v>
      </c>
      <c r="K2878" s="2"/>
      <c r="L2878" s="2"/>
    </row>
    <row r="2879" customFormat="false" ht="15.65" hidden="false" customHeight="true" outlineLevel="0" collapsed="false">
      <c r="A2879" s="5" t="str">
        <f aca="false">HYPERLINK("https://www.fabsurplus.com/sdi_catalog/salesItemDetails.do?id=18927")</f>
        <v>https://www.fabsurplus.com/sdi_catalog/salesItemDetails.do?id=18927</v>
      </c>
      <c r="B2879" s="5" t="s">
        <v>8129</v>
      </c>
      <c r="C2879" s="5" t="s">
        <v>7988</v>
      </c>
      <c r="D2879" s="5" t="s">
        <v>8130</v>
      </c>
      <c r="E2879" s="5" t="s">
        <v>8131</v>
      </c>
      <c r="F2879" s="5" t="s">
        <v>16</v>
      </c>
      <c r="G2879" s="5"/>
      <c r="H2879" s="5"/>
      <c r="I2879" s="5"/>
      <c r="J2879" s="5" t="s">
        <v>19</v>
      </c>
      <c r="K2879" s="5"/>
      <c r="L2879" s="5"/>
    </row>
    <row r="2880" customFormat="false" ht="15.65" hidden="false" customHeight="true" outlineLevel="0" collapsed="false">
      <c r="A2880" s="2" t="str">
        <f aca="false">HYPERLINK("https://www.fabsurplus.com/sdi_catalog/salesItemDetails.do?id=18928")</f>
        <v>https://www.fabsurplus.com/sdi_catalog/salesItemDetails.do?id=18928</v>
      </c>
      <c r="B2880" s="2" t="s">
        <v>8132</v>
      </c>
      <c r="C2880" s="2" t="s">
        <v>7988</v>
      </c>
      <c r="D2880" s="2" t="s">
        <v>8133</v>
      </c>
      <c r="E2880" s="2" t="s">
        <v>8134</v>
      </c>
      <c r="F2880" s="2" t="s">
        <v>16</v>
      </c>
      <c r="G2880" s="2"/>
      <c r="H2880" s="2"/>
      <c r="I2880" s="2"/>
      <c r="J2880" s="2" t="s">
        <v>19</v>
      </c>
      <c r="K2880" s="2"/>
      <c r="L2880" s="2"/>
    </row>
    <row r="2881" customFormat="false" ht="15.65" hidden="false" customHeight="true" outlineLevel="0" collapsed="false">
      <c r="A2881" s="5" t="str">
        <f aca="false">HYPERLINK("https://www.fabsurplus.com/sdi_catalog/salesItemDetails.do?id=108280")</f>
        <v>https://www.fabsurplus.com/sdi_catalog/salesItemDetails.do?id=108280</v>
      </c>
      <c r="B2881" s="5" t="s">
        <v>8135</v>
      </c>
      <c r="C2881" s="5" t="s">
        <v>8001</v>
      </c>
      <c r="D2881" s="5" t="s">
        <v>8136</v>
      </c>
      <c r="E2881" s="5" t="s">
        <v>8137</v>
      </c>
      <c r="F2881" s="5" t="s">
        <v>16</v>
      </c>
      <c r="G2881" s="5"/>
      <c r="H2881" s="5"/>
      <c r="I2881" s="6" t="n">
        <v>34851</v>
      </c>
      <c r="J2881" s="5" t="s">
        <v>19</v>
      </c>
      <c r="K2881" s="5"/>
      <c r="L2881" s="5" t="s">
        <v>2375</v>
      </c>
    </row>
    <row r="2882" customFormat="false" ht="15.65" hidden="false" customHeight="true" outlineLevel="0" collapsed="false">
      <c r="A2882" s="2" t="str">
        <f aca="false">HYPERLINK("https://www.fabsurplus.com/sdi_catalog/salesItemDetails.do?id=106820")</f>
        <v>https://www.fabsurplus.com/sdi_catalog/salesItemDetails.do?id=106820</v>
      </c>
      <c r="B2882" s="2" t="s">
        <v>8138</v>
      </c>
      <c r="C2882" s="2" t="s">
        <v>8139</v>
      </c>
      <c r="D2882" s="2" t="s">
        <v>8140</v>
      </c>
      <c r="E2882" s="2" t="s">
        <v>8141</v>
      </c>
      <c r="F2882" s="2" t="s">
        <v>151</v>
      </c>
      <c r="G2882" s="2" t="s">
        <v>38</v>
      </c>
      <c r="H2882" s="2" t="s">
        <v>18</v>
      </c>
      <c r="I2882" s="2"/>
      <c r="J2882" s="2" t="s">
        <v>19</v>
      </c>
      <c r="K2882" s="2" t="s">
        <v>20</v>
      </c>
      <c r="L2882" s="4" t="s">
        <v>8142</v>
      </c>
    </row>
    <row r="2883" customFormat="false" ht="15.65" hidden="false" customHeight="true" outlineLevel="0" collapsed="false">
      <c r="A2883" s="5" t="str">
        <f aca="false">HYPERLINK("https://www.fabsurplus.com/sdi_catalog/salesItemDetails.do?id=106866")</f>
        <v>https://www.fabsurplus.com/sdi_catalog/salesItemDetails.do?id=106866</v>
      </c>
      <c r="B2883" s="5" t="s">
        <v>8143</v>
      </c>
      <c r="C2883" s="5" t="s">
        <v>8144</v>
      </c>
      <c r="D2883" s="5" t="s">
        <v>8145</v>
      </c>
      <c r="E2883" s="5" t="s">
        <v>8146</v>
      </c>
      <c r="F2883" s="5" t="s">
        <v>16</v>
      </c>
      <c r="G2883" s="5" t="s">
        <v>165</v>
      </c>
      <c r="H2883" s="5" t="s">
        <v>1969</v>
      </c>
      <c r="I2883" s="5"/>
      <c r="J2883" s="5" t="s">
        <v>19</v>
      </c>
      <c r="K2883" s="5" t="s">
        <v>20</v>
      </c>
      <c r="L2883" s="7" t="s">
        <v>8147</v>
      </c>
    </row>
    <row r="2884" customFormat="false" ht="15.65" hidden="false" customHeight="true" outlineLevel="0" collapsed="false">
      <c r="A2884" s="2" t="str">
        <f aca="false">HYPERLINK("https://www.fabsurplus.com/sdi_catalog/salesItemDetails.do?id=110336")</f>
        <v>https://www.fabsurplus.com/sdi_catalog/salesItemDetails.do?id=110336</v>
      </c>
      <c r="B2884" s="2" t="s">
        <v>8148</v>
      </c>
      <c r="C2884" s="2" t="s">
        <v>8149</v>
      </c>
      <c r="D2884" s="2" t="s">
        <v>8150</v>
      </c>
      <c r="E2884" s="2" t="s">
        <v>170</v>
      </c>
      <c r="F2884" s="2" t="s">
        <v>16</v>
      </c>
      <c r="G2884" s="2" t="s">
        <v>165</v>
      </c>
      <c r="H2884" s="2"/>
      <c r="I2884" s="2"/>
      <c r="J2884" s="2" t="s">
        <v>42</v>
      </c>
      <c r="K2884" s="2"/>
      <c r="L2884" s="4" t="s">
        <v>8151</v>
      </c>
    </row>
    <row r="2885" customFormat="false" ht="15.65" hidden="false" customHeight="true" outlineLevel="0" collapsed="false">
      <c r="A2885" s="5" t="str">
        <f aca="false">HYPERLINK("https://www.fabsurplus.com/sdi_catalog/salesItemDetails.do?id=82879")</f>
        <v>https://www.fabsurplus.com/sdi_catalog/salesItemDetails.do?id=82879</v>
      </c>
      <c r="B2885" s="5" t="s">
        <v>8152</v>
      </c>
      <c r="C2885" s="5" t="s">
        <v>8153</v>
      </c>
      <c r="D2885" s="5" t="s">
        <v>8154</v>
      </c>
      <c r="E2885" s="5" t="s">
        <v>8155</v>
      </c>
      <c r="F2885" s="5" t="s">
        <v>16</v>
      </c>
      <c r="G2885" s="5" t="s">
        <v>104</v>
      </c>
      <c r="H2885" s="5" t="s">
        <v>32</v>
      </c>
      <c r="I2885" s="5"/>
      <c r="J2885" s="5" t="s">
        <v>19</v>
      </c>
      <c r="K2885" s="5" t="s">
        <v>20</v>
      </c>
      <c r="L2885" s="7" t="s">
        <v>8156</v>
      </c>
    </row>
    <row r="2886" customFormat="false" ht="15.65" hidden="false" customHeight="true" outlineLevel="0" collapsed="false">
      <c r="A2886" s="2" t="str">
        <f aca="false">HYPERLINK("https://www.fabsurplus.com/sdi_catalog/salesItemDetails.do?id=13044")</f>
        <v>https://www.fabsurplus.com/sdi_catalog/salesItemDetails.do?id=13044</v>
      </c>
      <c r="B2886" s="2" t="s">
        <v>8157</v>
      </c>
      <c r="C2886" s="2" t="s">
        <v>8149</v>
      </c>
      <c r="D2886" s="2" t="s">
        <v>8158</v>
      </c>
      <c r="E2886" s="2" t="s">
        <v>8159</v>
      </c>
      <c r="F2886" s="2" t="s">
        <v>16</v>
      </c>
      <c r="G2886" s="2" t="s">
        <v>104</v>
      </c>
      <c r="H2886" s="2" t="s">
        <v>18</v>
      </c>
      <c r="I2886" s="3" t="n">
        <v>37987</v>
      </c>
      <c r="J2886" s="2" t="s">
        <v>19</v>
      </c>
      <c r="K2886" s="2" t="s">
        <v>20</v>
      </c>
      <c r="L2886" s="4" t="s">
        <v>8160</v>
      </c>
    </row>
    <row r="2887" customFormat="false" ht="15.65" hidden="false" customHeight="true" outlineLevel="0" collapsed="false">
      <c r="A2887" s="5" t="str">
        <f aca="false">HYPERLINK("https://www.fabsurplus.com/sdi_catalog/salesItemDetails.do?id=15066")</f>
        <v>https://www.fabsurplus.com/sdi_catalog/salesItemDetails.do?id=15066</v>
      </c>
      <c r="B2887" s="5" t="s">
        <v>8161</v>
      </c>
      <c r="C2887" s="5" t="s">
        <v>8162</v>
      </c>
      <c r="D2887" s="5" t="s">
        <v>8163</v>
      </c>
      <c r="E2887" s="5" t="s">
        <v>8164</v>
      </c>
      <c r="F2887" s="5" t="s">
        <v>16</v>
      </c>
      <c r="G2887" s="5" t="s">
        <v>4519</v>
      </c>
      <c r="H2887" s="5" t="s">
        <v>32</v>
      </c>
      <c r="I2887" s="6" t="n">
        <v>37437.9166666667</v>
      </c>
      <c r="J2887" s="5" t="s">
        <v>19</v>
      </c>
      <c r="K2887" s="5" t="s">
        <v>20</v>
      </c>
      <c r="L2887" s="7" t="s">
        <v>8165</v>
      </c>
    </row>
    <row r="2888" customFormat="false" ht="15.65" hidden="false" customHeight="true" outlineLevel="0" collapsed="false">
      <c r="A2888" s="2" t="str">
        <f aca="false">HYPERLINK("https://www.fabsurplus.com/sdi_catalog/salesItemDetails.do?id=94475")</f>
        <v>https://www.fabsurplus.com/sdi_catalog/salesItemDetails.do?id=94475</v>
      </c>
      <c r="B2888" s="2" t="s">
        <v>8166</v>
      </c>
      <c r="C2888" s="2" t="s">
        <v>8167</v>
      </c>
      <c r="D2888" s="2" t="s">
        <v>8168</v>
      </c>
      <c r="E2888" s="2" t="s">
        <v>8169</v>
      </c>
      <c r="F2888" s="2" t="s">
        <v>16</v>
      </c>
      <c r="G2888" s="2" t="s">
        <v>38</v>
      </c>
      <c r="H2888" s="2"/>
      <c r="I2888" s="3" t="n">
        <v>39599.9166666667</v>
      </c>
      <c r="J2888" s="2" t="s">
        <v>19</v>
      </c>
      <c r="K2888" s="2"/>
      <c r="L2888" s="2"/>
    </row>
    <row r="2889" customFormat="false" ht="15.65" hidden="false" customHeight="true" outlineLevel="0" collapsed="false">
      <c r="A2889" s="5" t="str">
        <f aca="false">HYPERLINK("https://www.fabsurplus.com/sdi_catalog/salesItemDetails.do?id=106702")</f>
        <v>https://www.fabsurplus.com/sdi_catalog/salesItemDetails.do?id=106702</v>
      </c>
      <c r="B2889" s="5" t="s">
        <v>8170</v>
      </c>
      <c r="C2889" s="5" t="s">
        <v>8167</v>
      </c>
      <c r="D2889" s="5" t="s">
        <v>8168</v>
      </c>
      <c r="E2889" s="5" t="s">
        <v>7334</v>
      </c>
      <c r="F2889" s="5" t="s">
        <v>16</v>
      </c>
      <c r="G2889" s="5" t="s">
        <v>61</v>
      </c>
      <c r="H2889" s="5"/>
      <c r="I2889" s="5"/>
      <c r="J2889" s="5" t="s">
        <v>19</v>
      </c>
      <c r="K2889" s="5"/>
      <c r="L2889" s="5" t="s">
        <v>518</v>
      </c>
    </row>
    <row r="2890" customFormat="false" ht="15.65" hidden="false" customHeight="true" outlineLevel="0" collapsed="false">
      <c r="A2890" s="2" t="str">
        <f aca="false">HYPERLINK("https://www.fabsurplus.com/sdi_catalog/salesItemDetails.do?id=106484")</f>
        <v>https://www.fabsurplus.com/sdi_catalog/salesItemDetails.do?id=106484</v>
      </c>
      <c r="B2890" s="2" t="s">
        <v>8171</v>
      </c>
      <c r="C2890" s="2" t="s">
        <v>8172</v>
      </c>
      <c r="D2890" s="2" t="s">
        <v>8173</v>
      </c>
      <c r="E2890" s="2" t="s">
        <v>8174</v>
      </c>
      <c r="F2890" s="2" t="s">
        <v>16</v>
      </c>
      <c r="G2890" s="2" t="s">
        <v>2858</v>
      </c>
      <c r="H2890" s="2" t="s">
        <v>32</v>
      </c>
      <c r="I2890" s="3" t="n">
        <v>36465</v>
      </c>
      <c r="J2890" s="2" t="s">
        <v>19</v>
      </c>
      <c r="K2890" s="2" t="s">
        <v>20</v>
      </c>
      <c r="L2890" s="2" t="s">
        <v>8175</v>
      </c>
    </row>
    <row r="2891" customFormat="false" ht="15.65" hidden="false" customHeight="true" outlineLevel="0" collapsed="false">
      <c r="A2891" s="5" t="str">
        <f aca="false">HYPERLINK("https://www.fabsurplus.com/sdi_catalog/salesItemDetails.do?id=108762")</f>
        <v>https://www.fabsurplus.com/sdi_catalog/salesItemDetails.do?id=108762</v>
      </c>
      <c r="B2891" s="5" t="s">
        <v>8176</v>
      </c>
      <c r="C2891" s="5" t="s">
        <v>8177</v>
      </c>
      <c r="D2891" s="5" t="s">
        <v>8178</v>
      </c>
      <c r="E2891" s="5" t="s">
        <v>8179</v>
      </c>
      <c r="F2891" s="5" t="s">
        <v>16</v>
      </c>
      <c r="G2891" s="5" t="s">
        <v>1293</v>
      </c>
      <c r="H2891" s="5" t="s">
        <v>18</v>
      </c>
      <c r="I2891" s="5"/>
      <c r="J2891" s="5" t="s">
        <v>19</v>
      </c>
      <c r="K2891" s="5" t="s">
        <v>1560</v>
      </c>
      <c r="L2891" s="7" t="s">
        <v>8180</v>
      </c>
    </row>
    <row r="2892" customFormat="false" ht="15.65" hidden="false" customHeight="true" outlineLevel="0" collapsed="false">
      <c r="A2892" s="2" t="str">
        <f aca="false">HYPERLINK("https://www.fabsurplus.com/sdi_catalog/salesItemDetails.do?id=108763")</f>
        <v>https://www.fabsurplus.com/sdi_catalog/salesItemDetails.do?id=108763</v>
      </c>
      <c r="B2892" s="2" t="s">
        <v>8181</v>
      </c>
      <c r="C2892" s="2" t="s">
        <v>8177</v>
      </c>
      <c r="D2892" s="2" t="s">
        <v>8182</v>
      </c>
      <c r="E2892" s="2" t="s">
        <v>8183</v>
      </c>
      <c r="F2892" s="2" t="s">
        <v>16</v>
      </c>
      <c r="G2892" s="2" t="s">
        <v>1298</v>
      </c>
      <c r="H2892" s="2" t="s">
        <v>18</v>
      </c>
      <c r="I2892" s="2"/>
      <c r="J2892" s="2" t="s">
        <v>19</v>
      </c>
      <c r="K2892" s="2" t="s">
        <v>20</v>
      </c>
      <c r="L2892" s="4" t="s">
        <v>8184</v>
      </c>
    </row>
    <row r="2893" customFormat="false" ht="15.65" hidden="false" customHeight="true" outlineLevel="0" collapsed="false">
      <c r="A2893" s="5" t="str">
        <f aca="false">HYPERLINK("https://www.fabsurplus.com/sdi_catalog/salesItemDetails.do?id=11234")</f>
        <v>https://www.fabsurplus.com/sdi_catalog/salesItemDetails.do?id=11234</v>
      </c>
      <c r="B2893" s="5" t="s">
        <v>8185</v>
      </c>
      <c r="C2893" s="5" t="s">
        <v>8186</v>
      </c>
      <c r="D2893" s="5"/>
      <c r="E2893" s="5" t="s">
        <v>8187</v>
      </c>
      <c r="F2893" s="5" t="s">
        <v>86</v>
      </c>
      <c r="G2893" s="5" t="s">
        <v>165</v>
      </c>
      <c r="H2893" s="5" t="s">
        <v>18</v>
      </c>
      <c r="I2893" s="5"/>
      <c r="J2893" s="5" t="s">
        <v>19</v>
      </c>
      <c r="K2893" s="5" t="s">
        <v>20</v>
      </c>
      <c r="L2893" s="7" t="s">
        <v>8188</v>
      </c>
    </row>
    <row r="2894" customFormat="false" ht="15.65" hidden="false" customHeight="true" outlineLevel="0" collapsed="false">
      <c r="A2894" s="2" t="str">
        <f aca="false">HYPERLINK("https://www.fabsurplus.com/sdi_catalog/salesItemDetails.do?id=108171")</f>
        <v>https://www.fabsurplus.com/sdi_catalog/salesItemDetails.do?id=108171</v>
      </c>
      <c r="B2894" s="2" t="s">
        <v>8189</v>
      </c>
      <c r="C2894" s="2" t="s">
        <v>8190</v>
      </c>
      <c r="D2894" s="2" t="s">
        <v>8191</v>
      </c>
      <c r="E2894" s="2" t="s">
        <v>8192</v>
      </c>
      <c r="F2894" s="2" t="s">
        <v>16</v>
      </c>
      <c r="G2894" s="2"/>
      <c r="H2894" s="2"/>
      <c r="I2894" s="2"/>
      <c r="J2894" s="2" t="s">
        <v>19</v>
      </c>
      <c r="K2894" s="2"/>
      <c r="L2894" s="2" t="s">
        <v>1480</v>
      </c>
    </row>
    <row r="2895" customFormat="false" ht="15.65" hidden="false" customHeight="true" outlineLevel="0" collapsed="false">
      <c r="A2895" s="5" t="str">
        <f aca="false">HYPERLINK("https://www.fabsurplus.com/sdi_catalog/salesItemDetails.do?id=108172")</f>
        <v>https://www.fabsurplus.com/sdi_catalog/salesItemDetails.do?id=108172</v>
      </c>
      <c r="B2895" s="5" t="s">
        <v>8193</v>
      </c>
      <c r="C2895" s="5" t="s">
        <v>8190</v>
      </c>
      <c r="D2895" s="5" t="s">
        <v>8191</v>
      </c>
      <c r="E2895" s="5" t="s">
        <v>8192</v>
      </c>
      <c r="F2895" s="5" t="s">
        <v>16</v>
      </c>
      <c r="G2895" s="5"/>
      <c r="H2895" s="5"/>
      <c r="I2895" s="5"/>
      <c r="J2895" s="5" t="s">
        <v>19</v>
      </c>
      <c r="K2895" s="5"/>
      <c r="L2895" s="5" t="s">
        <v>1480</v>
      </c>
    </row>
    <row r="2896" customFormat="false" ht="15.65" hidden="false" customHeight="true" outlineLevel="0" collapsed="false">
      <c r="A2896" s="2" t="str">
        <f aca="false">HYPERLINK("https://www.fabsurplus.com/sdi_catalog/salesItemDetails.do?id=108173")</f>
        <v>https://www.fabsurplus.com/sdi_catalog/salesItemDetails.do?id=108173</v>
      </c>
      <c r="B2896" s="2" t="s">
        <v>8194</v>
      </c>
      <c r="C2896" s="2" t="s">
        <v>8190</v>
      </c>
      <c r="D2896" s="2" t="s">
        <v>8191</v>
      </c>
      <c r="E2896" s="2" t="s">
        <v>8192</v>
      </c>
      <c r="F2896" s="2" t="s">
        <v>16</v>
      </c>
      <c r="G2896" s="2"/>
      <c r="H2896" s="2"/>
      <c r="I2896" s="2"/>
      <c r="J2896" s="2" t="s">
        <v>19</v>
      </c>
      <c r="K2896" s="2"/>
      <c r="L2896" s="2" t="s">
        <v>1480</v>
      </c>
    </row>
    <row r="2897" customFormat="false" ht="15.65" hidden="false" customHeight="true" outlineLevel="0" collapsed="false">
      <c r="A2897" s="5" t="str">
        <f aca="false">HYPERLINK("https://www.fabsurplus.com/sdi_catalog/salesItemDetails.do?id=108174")</f>
        <v>https://www.fabsurplus.com/sdi_catalog/salesItemDetails.do?id=108174</v>
      </c>
      <c r="B2897" s="5" t="s">
        <v>8195</v>
      </c>
      <c r="C2897" s="5" t="s">
        <v>8190</v>
      </c>
      <c r="D2897" s="5" t="s">
        <v>8196</v>
      </c>
      <c r="E2897" s="5" t="s">
        <v>8197</v>
      </c>
      <c r="F2897" s="5" t="s">
        <v>16</v>
      </c>
      <c r="G2897" s="5"/>
      <c r="H2897" s="5"/>
      <c r="I2897" s="5"/>
      <c r="J2897" s="5" t="s">
        <v>19</v>
      </c>
      <c r="K2897" s="5"/>
      <c r="L2897" s="5" t="s">
        <v>1480</v>
      </c>
    </row>
    <row r="2898" customFormat="false" ht="15.65" hidden="false" customHeight="true" outlineLevel="0" collapsed="false">
      <c r="A2898" s="2" t="str">
        <f aca="false">HYPERLINK("https://www.fabsurplus.com/sdi_catalog/salesItemDetails.do?id=108175")</f>
        <v>https://www.fabsurplus.com/sdi_catalog/salesItemDetails.do?id=108175</v>
      </c>
      <c r="B2898" s="2" t="s">
        <v>8198</v>
      </c>
      <c r="C2898" s="2" t="s">
        <v>8190</v>
      </c>
      <c r="D2898" s="2" t="s">
        <v>8196</v>
      </c>
      <c r="E2898" s="2" t="s">
        <v>8197</v>
      </c>
      <c r="F2898" s="2" t="s">
        <v>16</v>
      </c>
      <c r="G2898" s="2"/>
      <c r="H2898" s="2"/>
      <c r="I2898" s="2"/>
      <c r="J2898" s="2" t="s">
        <v>19</v>
      </c>
      <c r="K2898" s="2"/>
      <c r="L2898" s="2" t="s">
        <v>1480</v>
      </c>
    </row>
    <row r="2899" customFormat="false" ht="15.65" hidden="false" customHeight="true" outlineLevel="0" collapsed="false">
      <c r="A2899" s="5" t="str">
        <f aca="false">HYPERLINK("https://www.fabsurplus.com/sdi_catalog/salesItemDetails.do?id=108176")</f>
        <v>https://www.fabsurplus.com/sdi_catalog/salesItemDetails.do?id=108176</v>
      </c>
      <c r="B2899" s="5" t="s">
        <v>8199</v>
      </c>
      <c r="C2899" s="5" t="s">
        <v>8190</v>
      </c>
      <c r="D2899" s="5" t="s">
        <v>8196</v>
      </c>
      <c r="E2899" s="5" t="s">
        <v>8197</v>
      </c>
      <c r="F2899" s="5" t="s">
        <v>16</v>
      </c>
      <c r="G2899" s="5"/>
      <c r="H2899" s="5"/>
      <c r="I2899" s="5"/>
      <c r="J2899" s="5" t="s">
        <v>19</v>
      </c>
      <c r="K2899" s="5"/>
      <c r="L2899" s="5" t="s">
        <v>1480</v>
      </c>
    </row>
    <row r="2900" customFormat="false" ht="15.65" hidden="false" customHeight="true" outlineLevel="0" collapsed="false">
      <c r="A2900" s="2" t="str">
        <f aca="false">HYPERLINK("https://www.fabsurplus.com/sdi_catalog/salesItemDetails.do?id=108177")</f>
        <v>https://www.fabsurplus.com/sdi_catalog/salesItemDetails.do?id=108177</v>
      </c>
      <c r="B2900" s="2" t="s">
        <v>8200</v>
      </c>
      <c r="C2900" s="2" t="s">
        <v>8190</v>
      </c>
      <c r="D2900" s="2" t="s">
        <v>8196</v>
      </c>
      <c r="E2900" s="2" t="s">
        <v>8197</v>
      </c>
      <c r="F2900" s="2" t="s">
        <v>16</v>
      </c>
      <c r="G2900" s="2"/>
      <c r="H2900" s="2"/>
      <c r="I2900" s="2"/>
      <c r="J2900" s="2" t="s">
        <v>19</v>
      </c>
      <c r="K2900" s="2"/>
      <c r="L2900" s="2" t="s">
        <v>1480</v>
      </c>
    </row>
    <row r="2901" customFormat="false" ht="15.65" hidden="false" customHeight="true" outlineLevel="0" collapsed="false">
      <c r="A2901" s="5" t="str">
        <f aca="false">HYPERLINK("https://www.fabsurplus.com/sdi_catalog/salesItemDetails.do?id=108178")</f>
        <v>https://www.fabsurplus.com/sdi_catalog/salesItemDetails.do?id=108178</v>
      </c>
      <c r="B2901" s="5" t="s">
        <v>8201</v>
      </c>
      <c r="C2901" s="5" t="s">
        <v>8190</v>
      </c>
      <c r="D2901" s="5" t="s">
        <v>8202</v>
      </c>
      <c r="E2901" s="5" t="s">
        <v>8203</v>
      </c>
      <c r="F2901" s="5" t="s">
        <v>16</v>
      </c>
      <c r="G2901" s="5"/>
      <c r="H2901" s="5"/>
      <c r="I2901" s="5"/>
      <c r="J2901" s="5" t="s">
        <v>19</v>
      </c>
      <c r="K2901" s="5"/>
      <c r="L2901" s="5" t="s">
        <v>1480</v>
      </c>
    </row>
    <row r="2902" customFormat="false" ht="15.65" hidden="false" customHeight="true" outlineLevel="0" collapsed="false">
      <c r="A2902" s="2" t="str">
        <f aca="false">HYPERLINK("https://www.fabsurplus.com/sdi_catalog/salesItemDetails.do?id=108179")</f>
        <v>https://www.fabsurplus.com/sdi_catalog/salesItemDetails.do?id=108179</v>
      </c>
      <c r="B2902" s="2" t="s">
        <v>8204</v>
      </c>
      <c r="C2902" s="2" t="s">
        <v>8190</v>
      </c>
      <c r="D2902" s="2" t="s">
        <v>8205</v>
      </c>
      <c r="E2902" s="2" t="s">
        <v>8197</v>
      </c>
      <c r="F2902" s="2" t="s">
        <v>16</v>
      </c>
      <c r="G2902" s="2" t="s">
        <v>5350</v>
      </c>
      <c r="H2902" s="2"/>
      <c r="I2902" s="3" t="n">
        <v>37408</v>
      </c>
      <c r="J2902" s="2" t="s">
        <v>19</v>
      </c>
      <c r="K2902" s="2"/>
      <c r="L2902" s="2" t="s">
        <v>1480</v>
      </c>
    </row>
    <row r="2903" customFormat="false" ht="15.65" hidden="false" customHeight="true" outlineLevel="0" collapsed="false">
      <c r="A2903" s="5" t="str">
        <f aca="false">HYPERLINK("https://www.fabsurplus.com/sdi_catalog/salesItemDetails.do?id=108180")</f>
        <v>https://www.fabsurplus.com/sdi_catalog/salesItemDetails.do?id=108180</v>
      </c>
      <c r="B2903" s="5" t="s">
        <v>8206</v>
      </c>
      <c r="C2903" s="5" t="s">
        <v>8190</v>
      </c>
      <c r="D2903" s="5" t="s">
        <v>8207</v>
      </c>
      <c r="E2903" s="5" t="s">
        <v>8197</v>
      </c>
      <c r="F2903" s="5" t="s">
        <v>16</v>
      </c>
      <c r="G2903" s="5"/>
      <c r="H2903" s="5"/>
      <c r="I2903" s="5"/>
      <c r="J2903" s="5" t="s">
        <v>19</v>
      </c>
      <c r="K2903" s="5"/>
      <c r="L2903" s="5" t="s">
        <v>1480</v>
      </c>
    </row>
    <row r="2904" customFormat="false" ht="15.65" hidden="false" customHeight="true" outlineLevel="0" collapsed="false">
      <c r="A2904" s="2" t="str">
        <f aca="false">HYPERLINK("https://www.fabsurplus.com/sdi_catalog/salesItemDetails.do?id=108181")</f>
        <v>https://www.fabsurplus.com/sdi_catalog/salesItemDetails.do?id=108181</v>
      </c>
      <c r="B2904" s="2" t="s">
        <v>8208</v>
      </c>
      <c r="C2904" s="2" t="s">
        <v>8190</v>
      </c>
      <c r="D2904" s="2" t="s">
        <v>8207</v>
      </c>
      <c r="E2904" s="2" t="s">
        <v>8197</v>
      </c>
      <c r="F2904" s="2" t="s">
        <v>16</v>
      </c>
      <c r="G2904" s="2"/>
      <c r="H2904" s="2"/>
      <c r="I2904" s="2"/>
      <c r="J2904" s="2" t="s">
        <v>19</v>
      </c>
      <c r="K2904" s="2"/>
      <c r="L2904" s="2" t="s">
        <v>1480</v>
      </c>
    </row>
    <row r="2905" customFormat="false" ht="15.65" hidden="false" customHeight="true" outlineLevel="0" collapsed="false">
      <c r="A2905" s="5" t="str">
        <f aca="false">HYPERLINK("https://www.fabsurplus.com/sdi_catalog/salesItemDetails.do?id=108182")</f>
        <v>https://www.fabsurplus.com/sdi_catalog/salesItemDetails.do?id=108182</v>
      </c>
      <c r="B2905" s="5" t="s">
        <v>8209</v>
      </c>
      <c r="C2905" s="5" t="s">
        <v>8190</v>
      </c>
      <c r="D2905" s="5" t="s">
        <v>8207</v>
      </c>
      <c r="E2905" s="5" t="s">
        <v>8197</v>
      </c>
      <c r="F2905" s="5" t="s">
        <v>16</v>
      </c>
      <c r="G2905" s="5"/>
      <c r="H2905" s="5"/>
      <c r="I2905" s="5"/>
      <c r="J2905" s="5" t="s">
        <v>19</v>
      </c>
      <c r="K2905" s="5"/>
      <c r="L2905" s="5" t="s">
        <v>1480</v>
      </c>
    </row>
    <row r="2906" customFormat="false" ht="15.65" hidden="false" customHeight="true" outlineLevel="0" collapsed="false">
      <c r="A2906" s="2" t="str">
        <f aca="false">HYPERLINK("https://www.fabsurplus.com/sdi_catalog/salesItemDetails.do?id=108183")</f>
        <v>https://www.fabsurplus.com/sdi_catalog/salesItemDetails.do?id=108183</v>
      </c>
      <c r="B2906" s="2" t="s">
        <v>8210</v>
      </c>
      <c r="C2906" s="2" t="s">
        <v>8190</v>
      </c>
      <c r="D2906" s="2" t="s">
        <v>8207</v>
      </c>
      <c r="E2906" s="2" t="s">
        <v>8197</v>
      </c>
      <c r="F2906" s="2" t="s">
        <v>16</v>
      </c>
      <c r="G2906" s="2"/>
      <c r="H2906" s="2"/>
      <c r="I2906" s="2"/>
      <c r="J2906" s="2" t="s">
        <v>19</v>
      </c>
      <c r="K2906" s="2"/>
      <c r="L2906" s="2" t="s">
        <v>1480</v>
      </c>
    </row>
    <row r="2907" customFormat="false" ht="15.65" hidden="false" customHeight="true" outlineLevel="0" collapsed="false">
      <c r="A2907" s="5" t="str">
        <f aca="false">HYPERLINK("https://www.fabsurplus.com/sdi_catalog/salesItemDetails.do?id=109211")</f>
        <v>https://www.fabsurplus.com/sdi_catalog/salesItemDetails.do?id=109211</v>
      </c>
      <c r="B2907" s="5" t="s">
        <v>8211</v>
      </c>
      <c r="C2907" s="5" t="s">
        <v>8212</v>
      </c>
      <c r="D2907" s="5" t="s">
        <v>8213</v>
      </c>
      <c r="E2907" s="5" t="s">
        <v>8214</v>
      </c>
      <c r="F2907" s="5" t="s">
        <v>16</v>
      </c>
      <c r="G2907" s="5" t="s">
        <v>84</v>
      </c>
      <c r="H2907" s="5"/>
      <c r="I2907" s="5"/>
      <c r="J2907" s="5" t="s">
        <v>19</v>
      </c>
      <c r="K2907" s="5"/>
      <c r="L2907" s="5"/>
    </row>
    <row r="2908" customFormat="false" ht="15.65" hidden="false" customHeight="true" outlineLevel="0" collapsed="false">
      <c r="A2908" s="2" t="str">
        <f aca="false">HYPERLINK("https://www.fabsurplus.com/sdi_catalog/salesItemDetails.do?id=109212")</f>
        <v>https://www.fabsurplus.com/sdi_catalog/salesItemDetails.do?id=109212</v>
      </c>
      <c r="B2908" s="2" t="s">
        <v>8215</v>
      </c>
      <c r="C2908" s="2" t="s">
        <v>8212</v>
      </c>
      <c r="D2908" s="2" t="s">
        <v>8213</v>
      </c>
      <c r="E2908" s="2" t="s">
        <v>8214</v>
      </c>
      <c r="F2908" s="2" t="s">
        <v>16</v>
      </c>
      <c r="G2908" s="2" t="s">
        <v>84</v>
      </c>
      <c r="H2908" s="2"/>
      <c r="I2908" s="2"/>
      <c r="J2908" s="2" t="s">
        <v>19</v>
      </c>
      <c r="K2908" s="2"/>
      <c r="L2908" s="2"/>
    </row>
    <row r="2909" customFormat="false" ht="15.65" hidden="false" customHeight="true" outlineLevel="0" collapsed="false">
      <c r="A2909" s="5" t="str">
        <f aca="false">HYPERLINK("https://www.fabsurplus.com/sdi_catalog/salesItemDetails.do?id=109213")</f>
        <v>https://www.fabsurplus.com/sdi_catalog/salesItemDetails.do?id=109213</v>
      </c>
      <c r="B2909" s="5" t="s">
        <v>8216</v>
      </c>
      <c r="C2909" s="5" t="s">
        <v>8212</v>
      </c>
      <c r="D2909" s="5" t="s">
        <v>8213</v>
      </c>
      <c r="E2909" s="5" t="s">
        <v>8214</v>
      </c>
      <c r="F2909" s="5" t="s">
        <v>16</v>
      </c>
      <c r="G2909" s="5" t="s">
        <v>84</v>
      </c>
      <c r="H2909" s="5"/>
      <c r="I2909" s="5"/>
      <c r="J2909" s="5" t="s">
        <v>19</v>
      </c>
      <c r="K2909" s="5"/>
      <c r="L2909" s="5"/>
    </row>
    <row r="2910" customFormat="false" ht="15.65" hidden="false" customHeight="true" outlineLevel="0" collapsed="false">
      <c r="A2910" s="2" t="str">
        <f aca="false">HYPERLINK("https://www.fabsurplus.com/sdi_catalog/salesItemDetails.do?id=106485")</f>
        <v>https://www.fabsurplus.com/sdi_catalog/salesItemDetails.do?id=106485</v>
      </c>
      <c r="B2910" s="2" t="s">
        <v>8217</v>
      </c>
      <c r="C2910" s="2" t="s">
        <v>8212</v>
      </c>
      <c r="D2910" s="2" t="s">
        <v>8218</v>
      </c>
      <c r="E2910" s="2" t="s">
        <v>8219</v>
      </c>
      <c r="F2910" s="2" t="s">
        <v>16</v>
      </c>
      <c r="G2910" s="2" t="s">
        <v>38</v>
      </c>
      <c r="H2910" s="2" t="s">
        <v>32</v>
      </c>
      <c r="I2910" s="3" t="n">
        <v>34851</v>
      </c>
      <c r="J2910" s="2" t="s">
        <v>19</v>
      </c>
      <c r="K2910" s="2" t="s">
        <v>20</v>
      </c>
      <c r="L2910" s="2" t="s">
        <v>2863</v>
      </c>
    </row>
    <row r="2911" customFormat="false" ht="15.65" hidden="false" customHeight="true" outlineLevel="0" collapsed="false">
      <c r="A2911" s="5" t="str">
        <f aca="false">HYPERLINK("https://www.fabsurplus.com/sdi_catalog/salesItemDetails.do?id=83570")</f>
        <v>https://www.fabsurplus.com/sdi_catalog/salesItemDetails.do?id=83570</v>
      </c>
      <c r="B2911" s="5" t="s">
        <v>8220</v>
      </c>
      <c r="C2911" s="5" t="s">
        <v>8221</v>
      </c>
      <c r="D2911" s="5" t="s">
        <v>8222</v>
      </c>
      <c r="E2911" s="5" t="s">
        <v>8223</v>
      </c>
      <c r="F2911" s="5" t="s">
        <v>16</v>
      </c>
      <c r="G2911" s="5" t="s">
        <v>8224</v>
      </c>
      <c r="H2911" s="5" t="s">
        <v>18</v>
      </c>
      <c r="I2911" s="6" t="n">
        <v>34850.9166666667</v>
      </c>
      <c r="J2911" s="5" t="s">
        <v>19</v>
      </c>
      <c r="K2911" s="5" t="s">
        <v>20</v>
      </c>
      <c r="L2911" s="7" t="s">
        <v>8225</v>
      </c>
    </row>
    <row r="2912" customFormat="false" ht="15.65" hidden="false" customHeight="true" outlineLevel="0" collapsed="false">
      <c r="A2912" s="2" t="str">
        <f aca="false">HYPERLINK("https://www.fabsurplus.com/sdi_catalog/salesItemDetails.do?id=109017")</f>
        <v>https://www.fabsurplus.com/sdi_catalog/salesItemDetails.do?id=109017</v>
      </c>
      <c r="B2912" s="2" t="s">
        <v>8226</v>
      </c>
      <c r="C2912" s="2" t="s">
        <v>8227</v>
      </c>
      <c r="D2912" s="2" t="s">
        <v>8228</v>
      </c>
      <c r="E2912" s="2" t="s">
        <v>8229</v>
      </c>
      <c r="F2912" s="2" t="s">
        <v>16</v>
      </c>
      <c r="G2912" s="2"/>
      <c r="H2912" s="2" t="s">
        <v>32</v>
      </c>
      <c r="I2912" s="2"/>
      <c r="J2912" s="2"/>
      <c r="K2912" s="2"/>
      <c r="L2912" s="4" t="s">
        <v>8230</v>
      </c>
    </row>
    <row r="2913" customFormat="false" ht="15.65" hidden="false" customHeight="true" outlineLevel="0" collapsed="false">
      <c r="A2913" s="5" t="str">
        <f aca="false">HYPERLINK("https://www.fabsurplus.com/sdi_catalog/salesItemDetails.do?id=106241")</f>
        <v>https://www.fabsurplus.com/sdi_catalog/salesItemDetails.do?id=106241</v>
      </c>
      <c r="B2913" s="5" t="s">
        <v>8231</v>
      </c>
      <c r="C2913" s="5" t="s">
        <v>8232</v>
      </c>
      <c r="D2913" s="5" t="s">
        <v>8233</v>
      </c>
      <c r="E2913" s="5" t="s">
        <v>8234</v>
      </c>
      <c r="F2913" s="5" t="s">
        <v>16</v>
      </c>
      <c r="G2913" s="5" t="s">
        <v>104</v>
      </c>
      <c r="H2913" s="5" t="s">
        <v>32</v>
      </c>
      <c r="I2913" s="5"/>
      <c r="J2913" s="5" t="s">
        <v>19</v>
      </c>
      <c r="K2913" s="5" t="s">
        <v>20</v>
      </c>
      <c r="L2913" s="7" t="s">
        <v>8235</v>
      </c>
    </row>
    <row r="2914" customFormat="false" ht="15.65" hidden="false" customHeight="true" outlineLevel="0" collapsed="false">
      <c r="A2914" s="2" t="str">
        <f aca="false">HYPERLINK("https://www.fabsurplus.com/sdi_catalog/salesItemDetails.do?id=77003")</f>
        <v>https://www.fabsurplus.com/sdi_catalog/salesItemDetails.do?id=77003</v>
      </c>
      <c r="B2914" s="2" t="s">
        <v>8236</v>
      </c>
      <c r="C2914" s="2" t="s">
        <v>8237</v>
      </c>
      <c r="D2914" s="2" t="s">
        <v>8238</v>
      </c>
      <c r="E2914" s="2" t="s">
        <v>8239</v>
      </c>
      <c r="F2914" s="2" t="s">
        <v>16</v>
      </c>
      <c r="G2914" s="2" t="s">
        <v>141</v>
      </c>
      <c r="H2914" s="2" t="s">
        <v>32</v>
      </c>
      <c r="I2914" s="2"/>
      <c r="J2914" s="2" t="s">
        <v>19</v>
      </c>
      <c r="K2914" s="2" t="s">
        <v>20</v>
      </c>
      <c r="L2914" s="4" t="s">
        <v>8240</v>
      </c>
    </row>
    <row r="2915" customFormat="false" ht="15.65" hidden="false" customHeight="true" outlineLevel="0" collapsed="false">
      <c r="A2915" s="5" t="str">
        <f aca="false">HYPERLINK("https://www.fabsurplus.com/sdi_catalog/salesItemDetails.do?id=108838")</f>
        <v>https://www.fabsurplus.com/sdi_catalog/salesItemDetails.do?id=108838</v>
      </c>
      <c r="B2915" s="5" t="s">
        <v>8241</v>
      </c>
      <c r="C2915" s="5" t="s">
        <v>8242</v>
      </c>
      <c r="D2915" s="5" t="s">
        <v>8243</v>
      </c>
      <c r="E2915" s="5" t="s">
        <v>8244</v>
      </c>
      <c r="F2915" s="5" t="s">
        <v>16</v>
      </c>
      <c r="G2915" s="5" t="s">
        <v>141</v>
      </c>
      <c r="H2915" s="5"/>
      <c r="I2915" s="5"/>
      <c r="J2915" s="5" t="s">
        <v>42</v>
      </c>
      <c r="K2915" s="5"/>
      <c r="L2915" s="5" t="s">
        <v>131</v>
      </c>
    </row>
    <row r="2916" customFormat="false" ht="15.65" hidden="false" customHeight="true" outlineLevel="0" collapsed="false">
      <c r="A2916" s="2" t="str">
        <f aca="false">HYPERLINK("https://www.fabsurplus.com/sdi_catalog/salesItemDetails.do?id=108839")</f>
        <v>https://www.fabsurplus.com/sdi_catalog/salesItemDetails.do?id=108839</v>
      </c>
      <c r="B2916" s="2" t="s">
        <v>8245</v>
      </c>
      <c r="C2916" s="2" t="s">
        <v>8242</v>
      </c>
      <c r="D2916" s="2" t="s">
        <v>8246</v>
      </c>
      <c r="E2916" s="2" t="s">
        <v>8247</v>
      </c>
      <c r="F2916" s="2" t="s">
        <v>16</v>
      </c>
      <c r="G2916" s="2" t="s">
        <v>141</v>
      </c>
      <c r="H2916" s="2"/>
      <c r="I2916" s="2"/>
      <c r="J2916" s="2" t="s">
        <v>42</v>
      </c>
      <c r="K2916" s="2"/>
      <c r="L2916" s="2" t="s">
        <v>131</v>
      </c>
    </row>
    <row r="2917" customFormat="false" ht="15.65" hidden="false" customHeight="true" outlineLevel="0" collapsed="false">
      <c r="A2917" s="5" t="str">
        <f aca="false">HYPERLINK("https://www.fabsurplus.com/sdi_catalog/salesItemDetails.do?id=108840")</f>
        <v>https://www.fabsurplus.com/sdi_catalog/salesItemDetails.do?id=108840</v>
      </c>
      <c r="B2917" s="5" t="s">
        <v>8248</v>
      </c>
      <c r="C2917" s="5" t="s">
        <v>8242</v>
      </c>
      <c r="D2917" s="5" t="s">
        <v>8249</v>
      </c>
      <c r="E2917" s="5" t="s">
        <v>8250</v>
      </c>
      <c r="F2917" s="5" t="s">
        <v>16</v>
      </c>
      <c r="G2917" s="5" t="s">
        <v>141</v>
      </c>
      <c r="H2917" s="5"/>
      <c r="I2917" s="5"/>
      <c r="J2917" s="5" t="s">
        <v>42</v>
      </c>
      <c r="K2917" s="5"/>
      <c r="L2917" s="5" t="s">
        <v>131</v>
      </c>
    </row>
    <row r="2918" customFormat="false" ht="15.65" hidden="false" customHeight="true" outlineLevel="0" collapsed="false">
      <c r="A2918" s="2" t="str">
        <f aca="false">HYPERLINK("https://www.fabsurplus.com/sdi_catalog/salesItemDetails.do?id=108841")</f>
        <v>https://www.fabsurplus.com/sdi_catalog/salesItemDetails.do?id=108841</v>
      </c>
      <c r="B2918" s="2" t="s">
        <v>8251</v>
      </c>
      <c r="C2918" s="2" t="s">
        <v>8242</v>
      </c>
      <c r="D2918" s="2" t="s">
        <v>8252</v>
      </c>
      <c r="E2918" s="2" t="s">
        <v>8247</v>
      </c>
      <c r="F2918" s="2" t="s">
        <v>16</v>
      </c>
      <c r="G2918" s="2" t="s">
        <v>141</v>
      </c>
      <c r="H2918" s="2"/>
      <c r="I2918" s="2"/>
      <c r="J2918" s="2" t="s">
        <v>42</v>
      </c>
      <c r="K2918" s="2"/>
      <c r="L2918" s="2" t="s">
        <v>131</v>
      </c>
    </row>
    <row r="2919" customFormat="false" ht="15.65" hidden="false" customHeight="true" outlineLevel="0" collapsed="false">
      <c r="A2919" s="5" t="str">
        <f aca="false">HYPERLINK("https://www.fabsurplus.com/sdi_catalog/salesItemDetails.do?id=108842")</f>
        <v>https://www.fabsurplus.com/sdi_catalog/salesItemDetails.do?id=108842</v>
      </c>
      <c r="B2919" s="5" t="s">
        <v>8253</v>
      </c>
      <c r="C2919" s="5" t="s">
        <v>8242</v>
      </c>
      <c r="D2919" s="5" t="s">
        <v>8254</v>
      </c>
      <c r="E2919" s="5" t="s">
        <v>8247</v>
      </c>
      <c r="F2919" s="5" t="s">
        <v>16</v>
      </c>
      <c r="G2919" s="5" t="s">
        <v>141</v>
      </c>
      <c r="H2919" s="5"/>
      <c r="I2919" s="5"/>
      <c r="J2919" s="5" t="s">
        <v>42</v>
      </c>
      <c r="K2919" s="5"/>
      <c r="L2919" s="5" t="s">
        <v>131</v>
      </c>
    </row>
    <row r="2920" customFormat="false" ht="15.65" hidden="false" customHeight="true" outlineLevel="0" collapsed="false">
      <c r="A2920" s="2" t="str">
        <f aca="false">HYPERLINK("https://www.fabsurplus.com/sdi_catalog/salesItemDetails.do?id=33542")</f>
        <v>https://www.fabsurplus.com/sdi_catalog/salesItemDetails.do?id=33542</v>
      </c>
      <c r="B2920" s="2" t="s">
        <v>8255</v>
      </c>
      <c r="C2920" s="2" t="s">
        <v>8256</v>
      </c>
      <c r="D2920" s="2" t="s">
        <v>8257</v>
      </c>
      <c r="E2920" s="2" t="s">
        <v>8258</v>
      </c>
      <c r="F2920" s="2" t="s">
        <v>16</v>
      </c>
      <c r="G2920" s="2" t="s">
        <v>4519</v>
      </c>
      <c r="H2920" s="2" t="s">
        <v>18</v>
      </c>
      <c r="I2920" s="2"/>
      <c r="J2920" s="2" t="s">
        <v>19</v>
      </c>
      <c r="K2920" s="2" t="s">
        <v>20</v>
      </c>
      <c r="L2920" s="4" t="s">
        <v>8259</v>
      </c>
    </row>
    <row r="2921" customFormat="false" ht="15.65" hidden="false" customHeight="true" outlineLevel="0" collapsed="false">
      <c r="A2921" s="5" t="str">
        <f aca="false">HYPERLINK("https://www.fabsurplus.com/sdi_catalog/salesItemDetails.do?id=106486")</f>
        <v>https://www.fabsurplus.com/sdi_catalog/salesItemDetails.do?id=106486</v>
      </c>
      <c r="B2921" s="5" t="s">
        <v>8260</v>
      </c>
      <c r="C2921" s="5" t="s">
        <v>8261</v>
      </c>
      <c r="D2921" s="5" t="s">
        <v>8262</v>
      </c>
      <c r="E2921" s="5" t="s">
        <v>8263</v>
      </c>
      <c r="F2921" s="5" t="s">
        <v>16</v>
      </c>
      <c r="G2921" s="5" t="s">
        <v>2858</v>
      </c>
      <c r="H2921" s="5" t="s">
        <v>18</v>
      </c>
      <c r="I2921" s="6" t="n">
        <v>43282</v>
      </c>
      <c r="J2921" s="5" t="s">
        <v>19</v>
      </c>
      <c r="K2921" s="5" t="s">
        <v>20</v>
      </c>
      <c r="L2921" s="5" t="s">
        <v>8175</v>
      </c>
    </row>
    <row r="2922" customFormat="false" ht="15.65" hidden="false" customHeight="true" outlineLevel="0" collapsed="false">
      <c r="A2922" s="2" t="str">
        <f aca="false">HYPERLINK("https://www.fabsurplus.com/sdi_catalog/salesItemDetails.do?id=106487")</f>
        <v>https://www.fabsurplus.com/sdi_catalog/salesItemDetails.do?id=106487</v>
      </c>
      <c r="B2922" s="2" t="s">
        <v>8264</v>
      </c>
      <c r="C2922" s="2" t="s">
        <v>8261</v>
      </c>
      <c r="D2922" s="2" t="s">
        <v>8265</v>
      </c>
      <c r="E2922" s="2" t="s">
        <v>8266</v>
      </c>
      <c r="F2922" s="2" t="s">
        <v>16</v>
      </c>
      <c r="G2922" s="2" t="s">
        <v>2858</v>
      </c>
      <c r="H2922" s="2" t="s">
        <v>18</v>
      </c>
      <c r="I2922" s="2"/>
      <c r="J2922" s="2" t="s">
        <v>19</v>
      </c>
      <c r="K2922" s="2" t="s">
        <v>20</v>
      </c>
      <c r="L2922" s="2" t="s">
        <v>6101</v>
      </c>
    </row>
    <row r="2923" customFormat="false" ht="15.65" hidden="false" customHeight="true" outlineLevel="0" collapsed="false">
      <c r="A2923" s="5" t="str">
        <f aca="false">HYPERLINK("https://www.fabsurplus.com/sdi_catalog/salesItemDetails.do?id=106488")</f>
        <v>https://www.fabsurplus.com/sdi_catalog/salesItemDetails.do?id=106488</v>
      </c>
      <c r="B2923" s="5" t="s">
        <v>8267</v>
      </c>
      <c r="C2923" s="5" t="s">
        <v>8261</v>
      </c>
      <c r="D2923" s="5" t="s">
        <v>8268</v>
      </c>
      <c r="E2923" s="5" t="s">
        <v>8269</v>
      </c>
      <c r="F2923" s="5" t="s">
        <v>16</v>
      </c>
      <c r="G2923" s="5" t="s">
        <v>2858</v>
      </c>
      <c r="H2923" s="5" t="s">
        <v>18</v>
      </c>
      <c r="I2923" s="6" t="n">
        <v>37043</v>
      </c>
      <c r="J2923" s="5" t="s">
        <v>19</v>
      </c>
      <c r="K2923" s="5" t="s">
        <v>20</v>
      </c>
      <c r="L2923" s="5" t="s">
        <v>8270</v>
      </c>
    </row>
    <row r="2924" customFormat="false" ht="15.65" hidden="false" customHeight="true" outlineLevel="0" collapsed="false">
      <c r="A2924" s="2" t="str">
        <f aca="false">HYPERLINK("https://www.fabsurplus.com/sdi_catalog/salesItemDetails.do?id=107008")</f>
        <v>https://www.fabsurplus.com/sdi_catalog/salesItemDetails.do?id=107008</v>
      </c>
      <c r="B2924" s="2" t="s">
        <v>8271</v>
      </c>
      <c r="C2924" s="2" t="s">
        <v>8272</v>
      </c>
      <c r="D2924" s="2" t="s">
        <v>8273</v>
      </c>
      <c r="E2924" s="2" t="s">
        <v>8274</v>
      </c>
      <c r="F2924" s="2" t="s">
        <v>16</v>
      </c>
      <c r="G2924" s="2" t="s">
        <v>1293</v>
      </c>
      <c r="H2924" s="2" t="s">
        <v>32</v>
      </c>
      <c r="I2924" s="3" t="n">
        <v>38047</v>
      </c>
      <c r="J2924" s="2" t="s">
        <v>19</v>
      </c>
      <c r="K2924" s="2" t="s">
        <v>20</v>
      </c>
      <c r="L2924" s="4" t="s">
        <v>8275</v>
      </c>
    </row>
    <row r="2925" customFormat="false" ht="15.65" hidden="false" customHeight="true" outlineLevel="0" collapsed="false">
      <c r="A2925" s="5" t="str">
        <f aca="false">HYPERLINK("https://www.fabsurplus.com/sdi_catalog/salesItemDetails.do?id=108282")</f>
        <v>https://www.fabsurplus.com/sdi_catalog/salesItemDetails.do?id=108282</v>
      </c>
      <c r="B2925" s="5" t="s">
        <v>8276</v>
      </c>
      <c r="C2925" s="5" t="s">
        <v>8277</v>
      </c>
      <c r="D2925" s="5" t="s">
        <v>8278</v>
      </c>
      <c r="E2925" s="5" t="s">
        <v>8279</v>
      </c>
      <c r="F2925" s="5" t="s">
        <v>16</v>
      </c>
      <c r="G2925" s="5" t="s">
        <v>38</v>
      </c>
      <c r="H2925" s="5"/>
      <c r="I2925" s="6" t="n">
        <v>39234</v>
      </c>
      <c r="J2925" s="5" t="s">
        <v>19</v>
      </c>
      <c r="K2925" s="5"/>
      <c r="L2925" s="5"/>
    </row>
    <row r="2926" customFormat="false" ht="15.65" hidden="false" customHeight="true" outlineLevel="0" collapsed="false">
      <c r="A2926" s="2" t="str">
        <f aca="false">HYPERLINK("https://www.fabsurplus.com/sdi_catalog/salesItemDetails.do?id=108843")</f>
        <v>https://www.fabsurplus.com/sdi_catalog/salesItemDetails.do?id=108843</v>
      </c>
      <c r="B2926" s="2" t="s">
        <v>8280</v>
      </c>
      <c r="C2926" s="2" t="s">
        <v>8281</v>
      </c>
      <c r="D2926" s="2" t="s">
        <v>8282</v>
      </c>
      <c r="E2926" s="2" t="s">
        <v>8283</v>
      </c>
      <c r="F2926" s="2" t="s">
        <v>16</v>
      </c>
      <c r="G2926" s="2"/>
      <c r="H2926" s="2"/>
      <c r="I2926" s="2"/>
      <c r="J2926" s="2" t="s">
        <v>42</v>
      </c>
      <c r="K2926" s="2"/>
      <c r="L2926" s="2" t="s">
        <v>131</v>
      </c>
    </row>
    <row r="2927" customFormat="false" ht="15.65" hidden="false" customHeight="true" outlineLevel="0" collapsed="false">
      <c r="A2927" s="5" t="str">
        <f aca="false">HYPERLINK("https://www.fabsurplus.com/sdi_catalog/salesItemDetails.do?id=98730")</f>
        <v>https://www.fabsurplus.com/sdi_catalog/salesItemDetails.do?id=98730</v>
      </c>
      <c r="B2927" s="5" t="s">
        <v>8284</v>
      </c>
      <c r="C2927" s="5" t="s">
        <v>8285</v>
      </c>
      <c r="D2927" s="5" t="s">
        <v>8286</v>
      </c>
      <c r="E2927" s="5" t="s">
        <v>8287</v>
      </c>
      <c r="F2927" s="5" t="s">
        <v>16</v>
      </c>
      <c r="G2927" s="5" t="s">
        <v>2803</v>
      </c>
      <c r="H2927" s="5" t="s">
        <v>32</v>
      </c>
      <c r="I2927" s="6" t="n">
        <v>39356</v>
      </c>
      <c r="J2927" s="5" t="s">
        <v>19</v>
      </c>
      <c r="K2927" s="5" t="s">
        <v>20</v>
      </c>
      <c r="L2927" s="7" t="s">
        <v>8288</v>
      </c>
    </row>
    <row r="2928" customFormat="false" ht="15.65" hidden="false" customHeight="true" outlineLevel="0" collapsed="false">
      <c r="A2928" s="2" t="str">
        <f aca="false">HYPERLINK("https://www.fabsurplus.com/sdi_catalog/salesItemDetails.do?id=94476")</f>
        <v>https://www.fabsurplus.com/sdi_catalog/salesItemDetails.do?id=94476</v>
      </c>
      <c r="B2928" s="2" t="s">
        <v>8289</v>
      </c>
      <c r="C2928" s="2" t="s">
        <v>8290</v>
      </c>
      <c r="D2928" s="2" t="s">
        <v>5997</v>
      </c>
      <c r="E2928" s="2" t="s">
        <v>8291</v>
      </c>
      <c r="F2928" s="2" t="s">
        <v>16</v>
      </c>
      <c r="G2928" s="2" t="s">
        <v>38</v>
      </c>
      <c r="H2928" s="2"/>
      <c r="I2928" s="2"/>
      <c r="J2928" s="2" t="s">
        <v>19</v>
      </c>
      <c r="K2928" s="2"/>
      <c r="L2928" s="2"/>
    </row>
    <row r="2929" customFormat="false" ht="15.65" hidden="false" customHeight="true" outlineLevel="0" collapsed="false">
      <c r="A2929" s="5" t="str">
        <f aca="false">HYPERLINK("https://www.fabsurplus.com/sdi_catalog/salesItemDetails.do?id=77092")</f>
        <v>https://www.fabsurplus.com/sdi_catalog/salesItemDetails.do?id=77092</v>
      </c>
      <c r="B2929" s="5" t="s">
        <v>8292</v>
      </c>
      <c r="C2929" s="5" t="s">
        <v>8293</v>
      </c>
      <c r="D2929" s="5" t="s">
        <v>8294</v>
      </c>
      <c r="E2929" s="5" t="s">
        <v>8295</v>
      </c>
      <c r="F2929" s="5" t="s">
        <v>16</v>
      </c>
      <c r="G2929" s="5"/>
      <c r="H2929" s="5"/>
      <c r="I2929" s="5"/>
      <c r="J2929" s="5" t="s">
        <v>19</v>
      </c>
      <c r="K2929" s="5"/>
      <c r="L2929" s="5"/>
    </row>
    <row r="2930" customFormat="false" ht="15.65" hidden="false" customHeight="true" outlineLevel="0" collapsed="false">
      <c r="A2930" s="2" t="str">
        <f aca="false">HYPERLINK("https://www.fabsurplus.com/sdi_catalog/salesItemDetails.do?id=108844")</f>
        <v>https://www.fabsurplus.com/sdi_catalog/salesItemDetails.do?id=108844</v>
      </c>
      <c r="B2930" s="2" t="s">
        <v>8296</v>
      </c>
      <c r="C2930" s="2" t="s">
        <v>8297</v>
      </c>
      <c r="D2930" s="2" t="s">
        <v>8298</v>
      </c>
      <c r="E2930" s="2" t="s">
        <v>8299</v>
      </c>
      <c r="F2930" s="2" t="s">
        <v>16</v>
      </c>
      <c r="G2930" s="2"/>
      <c r="H2930" s="2"/>
      <c r="I2930" s="2"/>
      <c r="J2930" s="2" t="s">
        <v>42</v>
      </c>
      <c r="K2930" s="2"/>
      <c r="L2930" s="2" t="s">
        <v>131</v>
      </c>
    </row>
    <row r="2931" customFormat="false" ht="15.65" hidden="false" customHeight="true" outlineLevel="0" collapsed="false">
      <c r="A2931" s="5" t="str">
        <f aca="false">HYPERLINK("https://www.fabsurplus.com/sdi_catalog/salesItemDetails.do?id=108845")</f>
        <v>https://www.fabsurplus.com/sdi_catalog/salesItemDetails.do?id=108845</v>
      </c>
      <c r="B2931" s="5" t="s">
        <v>8300</v>
      </c>
      <c r="C2931" s="5" t="s">
        <v>8297</v>
      </c>
      <c r="D2931" s="5" t="s">
        <v>8301</v>
      </c>
      <c r="E2931" s="5" t="s">
        <v>8302</v>
      </c>
      <c r="F2931" s="5" t="s">
        <v>16</v>
      </c>
      <c r="G2931" s="5" t="s">
        <v>388</v>
      </c>
      <c r="H2931" s="5"/>
      <c r="I2931" s="5"/>
      <c r="J2931" s="5" t="s">
        <v>42</v>
      </c>
      <c r="K2931" s="5"/>
      <c r="L2931" s="5" t="s">
        <v>131</v>
      </c>
    </row>
    <row r="2932" customFormat="false" ht="15.65" hidden="false" customHeight="true" outlineLevel="0" collapsed="false">
      <c r="A2932" s="2" t="str">
        <f aca="false">HYPERLINK("https://www.fabsurplus.com/sdi_catalog/salesItemDetails.do?id=108764")</f>
        <v>https://www.fabsurplus.com/sdi_catalog/salesItemDetails.do?id=108764</v>
      </c>
      <c r="B2932" s="2" t="s">
        <v>8303</v>
      </c>
      <c r="C2932" s="2" t="s">
        <v>8297</v>
      </c>
      <c r="D2932" s="2" t="s">
        <v>8304</v>
      </c>
      <c r="E2932" s="2" t="s">
        <v>8305</v>
      </c>
      <c r="F2932" s="2" t="s">
        <v>16</v>
      </c>
      <c r="G2932" s="2" t="s">
        <v>1293</v>
      </c>
      <c r="H2932" s="2"/>
      <c r="I2932" s="2"/>
      <c r="J2932" s="2" t="s">
        <v>19</v>
      </c>
      <c r="K2932" s="2"/>
      <c r="L2932" s="2"/>
    </row>
    <row r="2933" customFormat="false" ht="15.65" hidden="false" customHeight="true" outlineLevel="0" collapsed="false">
      <c r="A2933" s="5" t="str">
        <f aca="false">HYPERLINK("https://www.fabsurplus.com/sdi_catalog/salesItemDetails.do?id=94599")</f>
        <v>https://www.fabsurplus.com/sdi_catalog/salesItemDetails.do?id=94599</v>
      </c>
      <c r="B2933" s="5" t="s">
        <v>8306</v>
      </c>
      <c r="C2933" s="5" t="s">
        <v>8307</v>
      </c>
      <c r="D2933" s="5" t="s">
        <v>8308</v>
      </c>
      <c r="E2933" s="5" t="s">
        <v>8309</v>
      </c>
      <c r="F2933" s="5" t="s">
        <v>16</v>
      </c>
      <c r="G2933" s="5" t="s">
        <v>165</v>
      </c>
      <c r="H2933" s="5"/>
      <c r="I2933" s="5"/>
      <c r="J2933" s="5" t="s">
        <v>19</v>
      </c>
      <c r="K2933" s="5"/>
      <c r="L2933" s="5"/>
    </row>
    <row r="2934" customFormat="false" ht="15.65" hidden="false" customHeight="true" outlineLevel="0" collapsed="false">
      <c r="A2934" s="2" t="str">
        <f aca="false">HYPERLINK("https://www.fabsurplus.com/sdi_catalog/salesItemDetails.do?id=84026")</f>
        <v>https://www.fabsurplus.com/sdi_catalog/salesItemDetails.do?id=84026</v>
      </c>
      <c r="B2934" s="2" t="s">
        <v>8310</v>
      </c>
      <c r="C2934" s="2" t="s">
        <v>8311</v>
      </c>
      <c r="D2934" s="2" t="s">
        <v>8312</v>
      </c>
      <c r="E2934" s="2" t="s">
        <v>8313</v>
      </c>
      <c r="F2934" s="2" t="s">
        <v>16</v>
      </c>
      <c r="G2934" s="2" t="s">
        <v>97</v>
      </c>
      <c r="H2934" s="2" t="s">
        <v>1395</v>
      </c>
      <c r="I2934" s="3" t="n">
        <v>38718</v>
      </c>
      <c r="J2934" s="2" t="s">
        <v>19</v>
      </c>
      <c r="K2934" s="2" t="s">
        <v>20</v>
      </c>
      <c r="L2934" s="4" t="s">
        <v>8314</v>
      </c>
    </row>
    <row r="2935" customFormat="false" ht="15.65" hidden="false" customHeight="true" outlineLevel="0" collapsed="false">
      <c r="A2935" s="5" t="str">
        <f aca="false">HYPERLINK("https://www.fabsurplus.com/sdi_catalog/salesItemDetails.do?id=84072")</f>
        <v>https://www.fabsurplus.com/sdi_catalog/salesItemDetails.do?id=84072</v>
      </c>
      <c r="B2935" s="5" t="s">
        <v>8315</v>
      </c>
      <c r="C2935" s="5" t="s">
        <v>8311</v>
      </c>
      <c r="D2935" s="5" t="s">
        <v>8312</v>
      </c>
      <c r="E2935" s="5" t="s">
        <v>8313</v>
      </c>
      <c r="F2935" s="5" t="s">
        <v>16</v>
      </c>
      <c r="G2935" s="5" t="s">
        <v>97</v>
      </c>
      <c r="H2935" s="5" t="s">
        <v>453</v>
      </c>
      <c r="I2935" s="6" t="n">
        <v>38718</v>
      </c>
      <c r="J2935" s="5" t="s">
        <v>19</v>
      </c>
      <c r="K2935" s="5" t="s">
        <v>20</v>
      </c>
      <c r="L2935" s="7" t="s">
        <v>8316</v>
      </c>
    </row>
    <row r="2936" customFormat="false" ht="15.65" hidden="false" customHeight="true" outlineLevel="0" collapsed="false">
      <c r="A2936" s="2" t="str">
        <f aca="false">HYPERLINK("https://www.fabsurplus.com/sdi_catalog/salesItemDetails.do?id=110615")</f>
        <v>https://www.fabsurplus.com/sdi_catalog/salesItemDetails.do?id=110615</v>
      </c>
      <c r="B2936" s="2" t="s">
        <v>8317</v>
      </c>
      <c r="C2936" s="2" t="s">
        <v>8318</v>
      </c>
      <c r="D2936" s="2"/>
      <c r="E2936" s="2" t="s">
        <v>2588</v>
      </c>
      <c r="F2936" s="2" t="s">
        <v>16</v>
      </c>
      <c r="G2936" s="2" t="s">
        <v>1362</v>
      </c>
      <c r="H2936" s="2" t="s">
        <v>32</v>
      </c>
      <c r="I2936" s="2"/>
      <c r="J2936" s="2" t="s">
        <v>19</v>
      </c>
      <c r="K2936" s="2" t="s">
        <v>20</v>
      </c>
      <c r="L2936" s="4" t="s">
        <v>4203</v>
      </c>
    </row>
    <row r="2937" customFormat="false" ht="15.65" hidden="false" customHeight="true" outlineLevel="0" collapsed="false">
      <c r="A2937" s="5" t="str">
        <f aca="false">HYPERLINK("https://www.fabsurplus.com/sdi_catalog/salesItemDetails.do?id=83885")</f>
        <v>https://www.fabsurplus.com/sdi_catalog/salesItemDetails.do?id=83885</v>
      </c>
      <c r="B2937" s="5" t="s">
        <v>8319</v>
      </c>
      <c r="C2937" s="5" t="s">
        <v>8320</v>
      </c>
      <c r="D2937" s="5" t="s">
        <v>8321</v>
      </c>
      <c r="E2937" s="5" t="s">
        <v>8322</v>
      </c>
      <c r="F2937" s="5" t="s">
        <v>86</v>
      </c>
      <c r="G2937" s="5"/>
      <c r="H2937" s="5" t="s">
        <v>98</v>
      </c>
      <c r="I2937" s="5"/>
      <c r="J2937" s="5" t="s">
        <v>19</v>
      </c>
      <c r="K2937" s="5" t="s">
        <v>20</v>
      </c>
      <c r="L2937" s="7" t="s">
        <v>8323</v>
      </c>
    </row>
    <row r="2938" customFormat="false" ht="15.65" hidden="false" customHeight="true" outlineLevel="0" collapsed="false">
      <c r="A2938" s="2" t="str">
        <f aca="false">HYPERLINK("https://www.fabsurplus.com/sdi_catalog/salesItemDetails.do?id=18835")</f>
        <v>https://www.fabsurplus.com/sdi_catalog/salesItemDetails.do?id=18835</v>
      </c>
      <c r="B2938" s="2" t="s">
        <v>8324</v>
      </c>
      <c r="C2938" s="2" t="s">
        <v>8325</v>
      </c>
      <c r="D2938" s="2" t="s">
        <v>8326</v>
      </c>
      <c r="E2938" s="2" t="s">
        <v>8327</v>
      </c>
      <c r="F2938" s="2" t="s">
        <v>151</v>
      </c>
      <c r="G2938" s="2"/>
      <c r="H2938" s="2"/>
      <c r="I2938" s="2"/>
      <c r="J2938" s="2" t="s">
        <v>19</v>
      </c>
      <c r="K2938" s="2"/>
      <c r="L2938" s="2"/>
    </row>
    <row r="2939" customFormat="false" ht="15.65" hidden="false" customHeight="true" outlineLevel="0" collapsed="false">
      <c r="A2939" s="5" t="str">
        <f aca="false">HYPERLINK("https://www.fabsurplus.com/sdi_catalog/salesItemDetails.do?id=18836")</f>
        <v>https://www.fabsurplus.com/sdi_catalog/salesItemDetails.do?id=18836</v>
      </c>
      <c r="B2939" s="5" t="s">
        <v>8328</v>
      </c>
      <c r="C2939" s="5" t="s">
        <v>8325</v>
      </c>
      <c r="D2939" s="5" t="s">
        <v>8329</v>
      </c>
      <c r="E2939" s="5" t="s">
        <v>8330</v>
      </c>
      <c r="F2939" s="5" t="s">
        <v>16</v>
      </c>
      <c r="G2939" s="5"/>
      <c r="H2939" s="5"/>
      <c r="I2939" s="5"/>
      <c r="J2939" s="5" t="s">
        <v>19</v>
      </c>
      <c r="K2939" s="5"/>
      <c r="L2939" s="5"/>
    </row>
    <row r="2940" customFormat="false" ht="15.65" hidden="false" customHeight="true" outlineLevel="0" collapsed="false">
      <c r="A2940" s="2" t="str">
        <f aca="false">HYPERLINK("https://www.fabsurplus.com/sdi_catalog/salesItemDetails.do?id=18837")</f>
        <v>https://www.fabsurplus.com/sdi_catalog/salesItemDetails.do?id=18837</v>
      </c>
      <c r="B2940" s="2" t="s">
        <v>8331</v>
      </c>
      <c r="C2940" s="2" t="s">
        <v>8325</v>
      </c>
      <c r="D2940" s="2" t="s">
        <v>8326</v>
      </c>
      <c r="E2940" s="2" t="s">
        <v>8332</v>
      </c>
      <c r="F2940" s="2" t="s">
        <v>16</v>
      </c>
      <c r="G2940" s="2"/>
      <c r="H2940" s="2"/>
      <c r="I2940" s="2"/>
      <c r="J2940" s="2" t="s">
        <v>19</v>
      </c>
      <c r="K2940" s="2"/>
      <c r="L2940" s="2"/>
    </row>
    <row r="2941" customFormat="false" ht="15.65" hidden="false" customHeight="true" outlineLevel="0" collapsed="false">
      <c r="A2941" s="5" t="str">
        <f aca="false">HYPERLINK("https://www.fabsurplus.com/sdi_catalog/salesItemDetails.do?id=18838")</f>
        <v>https://www.fabsurplus.com/sdi_catalog/salesItemDetails.do?id=18838</v>
      </c>
      <c r="B2941" s="5" t="s">
        <v>8333</v>
      </c>
      <c r="C2941" s="5" t="s">
        <v>8325</v>
      </c>
      <c r="D2941" s="5" t="s">
        <v>8334</v>
      </c>
      <c r="E2941" s="5" t="s">
        <v>8335</v>
      </c>
      <c r="F2941" s="5" t="s">
        <v>16</v>
      </c>
      <c r="G2941" s="5"/>
      <c r="H2941" s="5"/>
      <c r="I2941" s="5"/>
      <c r="J2941" s="5" t="s">
        <v>19</v>
      </c>
      <c r="K2941" s="5"/>
      <c r="L2941" s="5"/>
    </row>
    <row r="2942" customFormat="false" ht="15.65" hidden="false" customHeight="true" outlineLevel="0" collapsed="false">
      <c r="A2942" s="2" t="str">
        <f aca="false">HYPERLINK("https://www.fabsurplus.com/sdi_catalog/salesItemDetails.do?id=83882")</f>
        <v>https://www.fabsurplus.com/sdi_catalog/salesItemDetails.do?id=83882</v>
      </c>
      <c r="B2942" s="2" t="s">
        <v>8336</v>
      </c>
      <c r="C2942" s="2" t="s">
        <v>8337</v>
      </c>
      <c r="D2942" s="2" t="s">
        <v>8338</v>
      </c>
      <c r="E2942" s="2" t="s">
        <v>8339</v>
      </c>
      <c r="F2942" s="2" t="s">
        <v>16</v>
      </c>
      <c r="G2942" s="2"/>
      <c r="H2942" s="2" t="s">
        <v>98</v>
      </c>
      <c r="I2942" s="3" t="n">
        <v>40299</v>
      </c>
      <c r="J2942" s="2" t="s">
        <v>19</v>
      </c>
      <c r="K2942" s="2" t="s">
        <v>20</v>
      </c>
      <c r="L2942" s="4" t="s">
        <v>8340</v>
      </c>
    </row>
    <row r="2943" customFormat="false" ht="15.65" hidden="false" customHeight="true" outlineLevel="0" collapsed="false">
      <c r="A2943" s="5" t="str">
        <f aca="false">HYPERLINK("https://www.fabsurplus.com/sdi_catalog/salesItemDetails.do?id=83637")</f>
        <v>https://www.fabsurplus.com/sdi_catalog/salesItemDetails.do?id=83637</v>
      </c>
      <c r="B2943" s="5" t="s">
        <v>8341</v>
      </c>
      <c r="C2943" s="5" t="s">
        <v>8337</v>
      </c>
      <c r="D2943" s="5" t="s">
        <v>8342</v>
      </c>
      <c r="E2943" s="5" t="s">
        <v>8343</v>
      </c>
      <c r="F2943" s="5" t="s">
        <v>2550</v>
      </c>
      <c r="G2943" s="5"/>
      <c r="H2943" s="5" t="s">
        <v>98</v>
      </c>
      <c r="I2943" s="5"/>
      <c r="J2943" s="5" t="s">
        <v>19</v>
      </c>
      <c r="K2943" s="5" t="s">
        <v>20</v>
      </c>
      <c r="L2943" s="7" t="s">
        <v>8344</v>
      </c>
    </row>
    <row r="2944" customFormat="false" ht="15.65" hidden="false" customHeight="true" outlineLevel="0" collapsed="false">
      <c r="A2944" s="2" t="str">
        <f aca="false">HYPERLINK("https://www.fabsurplus.com/sdi_catalog/salesItemDetails.do?id=108578")</f>
        <v>https://www.fabsurplus.com/sdi_catalog/salesItemDetails.do?id=108578</v>
      </c>
      <c r="B2944" s="2" t="s">
        <v>8345</v>
      </c>
      <c r="C2944" s="2" t="s">
        <v>8346</v>
      </c>
      <c r="D2944" s="2" t="s">
        <v>8347</v>
      </c>
      <c r="E2944" s="2" t="s">
        <v>8348</v>
      </c>
      <c r="F2944" s="2" t="s">
        <v>16</v>
      </c>
      <c r="G2944" s="2" t="s">
        <v>84</v>
      </c>
      <c r="H2944" s="2" t="s">
        <v>18</v>
      </c>
      <c r="I2944" s="3" t="n">
        <v>41061</v>
      </c>
      <c r="J2944" s="2" t="s">
        <v>19</v>
      </c>
      <c r="K2944" s="2" t="s">
        <v>20</v>
      </c>
      <c r="L2944" s="2" t="s">
        <v>6187</v>
      </c>
    </row>
    <row r="2945" customFormat="false" ht="15.65" hidden="false" customHeight="true" outlineLevel="0" collapsed="false">
      <c r="A2945" s="5" t="str">
        <f aca="false">HYPERLINK("https://www.fabsurplus.com/sdi_catalog/salesItemDetails.do?id=108579")</f>
        <v>https://www.fabsurplus.com/sdi_catalog/salesItemDetails.do?id=108579</v>
      </c>
      <c r="B2945" s="5" t="s">
        <v>8349</v>
      </c>
      <c r="C2945" s="5" t="s">
        <v>8346</v>
      </c>
      <c r="D2945" s="5" t="s">
        <v>8347</v>
      </c>
      <c r="E2945" s="5" t="s">
        <v>8350</v>
      </c>
      <c r="F2945" s="5" t="s">
        <v>16</v>
      </c>
      <c r="G2945" s="5" t="s">
        <v>61</v>
      </c>
      <c r="H2945" s="5" t="s">
        <v>32</v>
      </c>
      <c r="I2945" s="6" t="n">
        <v>40664</v>
      </c>
      <c r="J2945" s="5" t="s">
        <v>19</v>
      </c>
      <c r="K2945" s="5" t="s">
        <v>20</v>
      </c>
      <c r="L2945" s="7" t="s">
        <v>1576</v>
      </c>
    </row>
    <row r="2946" customFormat="false" ht="15.65" hidden="false" customHeight="true" outlineLevel="0" collapsed="false">
      <c r="A2946" s="2" t="str">
        <f aca="false">HYPERLINK("https://www.fabsurplus.com/sdi_catalog/salesItemDetails.do?id=108910")</f>
        <v>https://www.fabsurplus.com/sdi_catalog/salesItemDetails.do?id=108910</v>
      </c>
      <c r="B2946" s="2" t="s">
        <v>8351</v>
      </c>
      <c r="C2946" s="2" t="s">
        <v>8352</v>
      </c>
      <c r="D2946" s="2" t="s">
        <v>8353</v>
      </c>
      <c r="E2946" s="2" t="s">
        <v>1877</v>
      </c>
      <c r="F2946" s="2" t="s">
        <v>16</v>
      </c>
      <c r="G2946" s="2" t="s">
        <v>38</v>
      </c>
      <c r="H2946" s="2" t="s">
        <v>32</v>
      </c>
      <c r="I2946" s="3" t="n">
        <v>37500</v>
      </c>
      <c r="J2946" s="2" t="s">
        <v>19</v>
      </c>
      <c r="K2946" s="2" t="s">
        <v>20</v>
      </c>
      <c r="L2946" s="4" t="s">
        <v>8354</v>
      </c>
    </row>
    <row r="2947" customFormat="false" ht="15.65" hidden="false" customHeight="true" outlineLevel="0" collapsed="false">
      <c r="A2947" s="5" t="str">
        <f aca="false">HYPERLINK("https://www.fabsurplus.com/sdi_catalog/salesItemDetails.do?id=103539")</f>
        <v>https://www.fabsurplus.com/sdi_catalog/salesItemDetails.do?id=103539</v>
      </c>
      <c r="B2947" s="5" t="s">
        <v>8355</v>
      </c>
      <c r="C2947" s="5" t="s">
        <v>8346</v>
      </c>
      <c r="D2947" s="5" t="s">
        <v>8356</v>
      </c>
      <c r="E2947" s="5" t="s">
        <v>1877</v>
      </c>
      <c r="F2947" s="5" t="s">
        <v>16</v>
      </c>
      <c r="G2947" s="5" t="s">
        <v>61</v>
      </c>
      <c r="H2947" s="5" t="s">
        <v>32</v>
      </c>
      <c r="I2947" s="6" t="n">
        <v>37925.9583333333</v>
      </c>
      <c r="J2947" s="5" t="s">
        <v>19</v>
      </c>
      <c r="K2947" s="5" t="s">
        <v>20</v>
      </c>
      <c r="L2947" s="7" t="s">
        <v>8357</v>
      </c>
    </row>
    <row r="2948" customFormat="false" ht="15.65" hidden="false" customHeight="true" outlineLevel="0" collapsed="false">
      <c r="A2948" s="2" t="str">
        <f aca="false">HYPERLINK("https://www.fabsurplus.com/sdi_catalog/salesItemDetails.do?id=103540")</f>
        <v>https://www.fabsurplus.com/sdi_catalog/salesItemDetails.do?id=103540</v>
      </c>
      <c r="B2948" s="2" t="s">
        <v>8358</v>
      </c>
      <c r="C2948" s="2" t="s">
        <v>8346</v>
      </c>
      <c r="D2948" s="2" t="s">
        <v>8356</v>
      </c>
      <c r="E2948" s="2" t="s">
        <v>1877</v>
      </c>
      <c r="F2948" s="2" t="s">
        <v>16</v>
      </c>
      <c r="G2948" s="2" t="s">
        <v>61</v>
      </c>
      <c r="H2948" s="2" t="s">
        <v>32</v>
      </c>
      <c r="I2948" s="3" t="n">
        <v>38472.9166666667</v>
      </c>
      <c r="J2948" s="2" t="s">
        <v>19</v>
      </c>
      <c r="K2948" s="2" t="s">
        <v>20</v>
      </c>
      <c r="L2948" s="4" t="s">
        <v>8357</v>
      </c>
    </row>
    <row r="2949" customFormat="false" ht="15.65" hidden="false" customHeight="true" outlineLevel="0" collapsed="false">
      <c r="A2949" s="5" t="str">
        <f aca="false">HYPERLINK("https://www.fabsurplus.com/sdi_catalog/salesItemDetails.do?id=109447")</f>
        <v>https://www.fabsurplus.com/sdi_catalog/salesItemDetails.do?id=109447</v>
      </c>
      <c r="B2949" s="5" t="s">
        <v>8359</v>
      </c>
      <c r="C2949" s="5" t="s">
        <v>8346</v>
      </c>
      <c r="D2949" s="5" t="s">
        <v>8360</v>
      </c>
      <c r="E2949" s="5" t="s">
        <v>103</v>
      </c>
      <c r="F2949" s="5" t="s">
        <v>16</v>
      </c>
      <c r="G2949" s="5" t="s">
        <v>104</v>
      </c>
      <c r="H2949" s="5"/>
      <c r="I2949" s="5"/>
      <c r="J2949" s="5" t="s">
        <v>19</v>
      </c>
      <c r="K2949" s="5"/>
      <c r="L2949" s="5" t="s">
        <v>8361</v>
      </c>
    </row>
    <row r="2950" customFormat="false" ht="15.65" hidden="false" customHeight="true" outlineLevel="0" collapsed="false">
      <c r="A2950" s="2" t="str">
        <f aca="false">HYPERLINK("https://www.fabsurplus.com/sdi_catalog/salesItemDetails.do?id=108184")</f>
        <v>https://www.fabsurplus.com/sdi_catalog/salesItemDetails.do?id=108184</v>
      </c>
      <c r="B2950" s="2" t="s">
        <v>8362</v>
      </c>
      <c r="C2950" s="2" t="s">
        <v>8346</v>
      </c>
      <c r="D2950" s="2" t="s">
        <v>8363</v>
      </c>
      <c r="E2950" s="2" t="s">
        <v>8364</v>
      </c>
      <c r="F2950" s="2" t="s">
        <v>16</v>
      </c>
      <c r="G2950" s="2" t="s">
        <v>61</v>
      </c>
      <c r="H2950" s="2"/>
      <c r="I2950" s="3" t="n">
        <v>40695</v>
      </c>
      <c r="J2950" s="2" t="s">
        <v>19</v>
      </c>
      <c r="K2950" s="2"/>
      <c r="L2950" s="2" t="s">
        <v>1480</v>
      </c>
    </row>
    <row r="2951" customFormat="false" ht="15.65" hidden="false" customHeight="true" outlineLevel="0" collapsed="false">
      <c r="A2951" s="5" t="str">
        <f aca="false">HYPERLINK("https://www.fabsurplus.com/sdi_catalog/salesItemDetails.do?id=18845")</f>
        <v>https://www.fabsurplus.com/sdi_catalog/salesItemDetails.do?id=18845</v>
      </c>
      <c r="B2951" s="5" t="s">
        <v>8365</v>
      </c>
      <c r="C2951" s="5" t="s">
        <v>8346</v>
      </c>
      <c r="D2951" s="5" t="s">
        <v>8366</v>
      </c>
      <c r="E2951" s="5" t="s">
        <v>8367</v>
      </c>
      <c r="F2951" s="5" t="s">
        <v>151</v>
      </c>
      <c r="G2951" s="5"/>
      <c r="H2951" s="5"/>
      <c r="I2951" s="5"/>
      <c r="J2951" s="5" t="s">
        <v>19</v>
      </c>
      <c r="K2951" s="5"/>
      <c r="L2951" s="5"/>
    </row>
    <row r="2952" customFormat="false" ht="15.65" hidden="false" customHeight="true" outlineLevel="0" collapsed="false">
      <c r="A2952" s="2" t="str">
        <f aca="false">HYPERLINK("https://www.fabsurplus.com/sdi_catalog/salesItemDetails.do?id=18846")</f>
        <v>https://www.fabsurplus.com/sdi_catalog/salesItemDetails.do?id=18846</v>
      </c>
      <c r="B2952" s="2" t="s">
        <v>8368</v>
      </c>
      <c r="C2952" s="2" t="s">
        <v>8346</v>
      </c>
      <c r="D2952" s="2" t="s">
        <v>8366</v>
      </c>
      <c r="E2952" s="2" t="s">
        <v>8369</v>
      </c>
      <c r="F2952" s="2" t="s">
        <v>86</v>
      </c>
      <c r="G2952" s="2"/>
      <c r="H2952" s="2"/>
      <c r="I2952" s="2"/>
      <c r="J2952" s="2" t="s">
        <v>19</v>
      </c>
      <c r="K2952" s="2"/>
      <c r="L2952" s="2"/>
    </row>
    <row r="2953" customFormat="false" ht="15.65" hidden="false" customHeight="true" outlineLevel="0" collapsed="false">
      <c r="A2953" s="5" t="str">
        <f aca="false">HYPERLINK("https://www.fabsurplus.com/sdi_catalog/salesItemDetails.do?id=18847")</f>
        <v>https://www.fabsurplus.com/sdi_catalog/salesItemDetails.do?id=18847</v>
      </c>
      <c r="B2953" s="5" t="s">
        <v>8370</v>
      </c>
      <c r="C2953" s="5" t="s">
        <v>8346</v>
      </c>
      <c r="D2953" s="5" t="s">
        <v>8366</v>
      </c>
      <c r="E2953" s="5" t="s">
        <v>8371</v>
      </c>
      <c r="F2953" s="5" t="s">
        <v>86</v>
      </c>
      <c r="G2953" s="5"/>
      <c r="H2953" s="5"/>
      <c r="I2953" s="5"/>
      <c r="J2953" s="5" t="s">
        <v>19</v>
      </c>
      <c r="K2953" s="5"/>
      <c r="L2953" s="5"/>
    </row>
    <row r="2954" customFormat="false" ht="15.65" hidden="false" customHeight="true" outlineLevel="0" collapsed="false">
      <c r="A2954" s="2" t="str">
        <f aca="false">HYPERLINK("https://www.fabsurplus.com/sdi_catalog/salesItemDetails.do?id=18848")</f>
        <v>https://www.fabsurplus.com/sdi_catalog/salesItemDetails.do?id=18848</v>
      </c>
      <c r="B2954" s="2" t="s">
        <v>8372</v>
      </c>
      <c r="C2954" s="2" t="s">
        <v>8346</v>
      </c>
      <c r="D2954" s="2" t="s">
        <v>8373</v>
      </c>
      <c r="E2954" s="2" t="s">
        <v>8374</v>
      </c>
      <c r="F2954" s="2" t="s">
        <v>236</v>
      </c>
      <c r="G2954" s="2"/>
      <c r="H2954" s="2"/>
      <c r="I2954" s="2"/>
      <c r="J2954" s="2" t="s">
        <v>19</v>
      </c>
      <c r="K2954" s="2"/>
      <c r="L2954" s="2"/>
    </row>
    <row r="2955" customFormat="false" ht="15.65" hidden="false" customHeight="true" outlineLevel="0" collapsed="false">
      <c r="A2955" s="5" t="str">
        <f aca="false">HYPERLINK("https://www.fabsurplus.com/sdi_catalog/salesItemDetails.do?id=98281")</f>
        <v>https://www.fabsurplus.com/sdi_catalog/salesItemDetails.do?id=98281</v>
      </c>
      <c r="B2955" s="5" t="s">
        <v>8375</v>
      </c>
      <c r="C2955" s="5" t="s">
        <v>8346</v>
      </c>
      <c r="D2955" s="5" t="s">
        <v>8356</v>
      </c>
      <c r="E2955" s="5" t="s">
        <v>1877</v>
      </c>
      <c r="F2955" s="5" t="s">
        <v>16</v>
      </c>
      <c r="G2955" s="5" t="s">
        <v>61</v>
      </c>
      <c r="H2955" s="5" t="s">
        <v>32</v>
      </c>
      <c r="I2955" s="6" t="n">
        <v>38748.9583333333</v>
      </c>
      <c r="J2955" s="5" t="s">
        <v>19</v>
      </c>
      <c r="K2955" s="5" t="s">
        <v>20</v>
      </c>
      <c r="L2955" s="7" t="s">
        <v>8376</v>
      </c>
    </row>
    <row r="2956" customFormat="false" ht="15.65" hidden="false" customHeight="true" outlineLevel="0" collapsed="false">
      <c r="A2956" s="2" t="str">
        <f aca="false">HYPERLINK("https://www.fabsurplus.com/sdi_catalog/salesItemDetails.do?id=98282")</f>
        <v>https://www.fabsurplus.com/sdi_catalog/salesItemDetails.do?id=98282</v>
      </c>
      <c r="B2956" s="2" t="s">
        <v>8377</v>
      </c>
      <c r="C2956" s="2" t="s">
        <v>8346</v>
      </c>
      <c r="D2956" s="2" t="s">
        <v>8356</v>
      </c>
      <c r="E2956" s="2" t="s">
        <v>1877</v>
      </c>
      <c r="F2956" s="2" t="s">
        <v>16</v>
      </c>
      <c r="G2956" s="2" t="s">
        <v>61</v>
      </c>
      <c r="H2956" s="2" t="s">
        <v>32</v>
      </c>
      <c r="I2956" s="3" t="n">
        <v>39021.9583333333</v>
      </c>
      <c r="J2956" s="2" t="s">
        <v>19</v>
      </c>
      <c r="K2956" s="2" t="s">
        <v>20</v>
      </c>
      <c r="L2956" s="4" t="s">
        <v>8378</v>
      </c>
    </row>
    <row r="2957" customFormat="false" ht="15.65" hidden="false" customHeight="true" outlineLevel="0" collapsed="false">
      <c r="A2957" s="5" t="str">
        <f aca="false">HYPERLINK("https://www.fabsurplus.com/sdi_catalog/salesItemDetails.do?id=98283")</f>
        <v>https://www.fabsurplus.com/sdi_catalog/salesItemDetails.do?id=98283</v>
      </c>
      <c r="B2957" s="5" t="s">
        <v>8379</v>
      </c>
      <c r="C2957" s="5" t="s">
        <v>8346</v>
      </c>
      <c r="D2957" s="5" t="s">
        <v>8380</v>
      </c>
      <c r="E2957" s="5" t="s">
        <v>8381</v>
      </c>
      <c r="F2957" s="5" t="s">
        <v>16</v>
      </c>
      <c r="G2957" s="5" t="s">
        <v>61</v>
      </c>
      <c r="H2957" s="5"/>
      <c r="I2957" s="6" t="n">
        <v>40694.9166666667</v>
      </c>
      <c r="J2957" s="5" t="s">
        <v>19</v>
      </c>
      <c r="K2957" s="5"/>
      <c r="L2957" s="5"/>
    </row>
    <row r="2958" customFormat="false" ht="15.65" hidden="false" customHeight="true" outlineLevel="0" collapsed="false">
      <c r="A2958" s="2" t="str">
        <f aca="false">HYPERLINK("https://www.fabsurplus.com/sdi_catalog/salesItemDetails.do?id=98284")</f>
        <v>https://www.fabsurplus.com/sdi_catalog/salesItemDetails.do?id=98284</v>
      </c>
      <c r="B2958" s="2" t="s">
        <v>8382</v>
      </c>
      <c r="C2958" s="2" t="s">
        <v>8346</v>
      </c>
      <c r="D2958" s="2" t="s">
        <v>8380</v>
      </c>
      <c r="E2958" s="2" t="s">
        <v>1732</v>
      </c>
      <c r="F2958" s="2" t="s">
        <v>16</v>
      </c>
      <c r="G2958" s="2" t="s">
        <v>61</v>
      </c>
      <c r="H2958" s="2"/>
      <c r="I2958" s="2"/>
      <c r="J2958" s="2" t="s">
        <v>19</v>
      </c>
      <c r="K2958" s="2"/>
      <c r="L2958" s="2"/>
    </row>
    <row r="2959" customFormat="false" ht="15.65" hidden="false" customHeight="true" outlineLevel="0" collapsed="false">
      <c r="A2959" s="5" t="str">
        <f aca="false">HYPERLINK("https://www.fabsurplus.com/sdi_catalog/salesItemDetails.do?id=109552")</f>
        <v>https://www.fabsurplus.com/sdi_catalog/salesItemDetails.do?id=109552</v>
      </c>
      <c r="B2959" s="5" t="s">
        <v>8383</v>
      </c>
      <c r="C2959" s="5" t="s">
        <v>8352</v>
      </c>
      <c r="D2959" s="5" t="s">
        <v>8384</v>
      </c>
      <c r="E2959" s="5" t="s">
        <v>8385</v>
      </c>
      <c r="F2959" s="5" t="s">
        <v>16</v>
      </c>
      <c r="G2959" s="5" t="s">
        <v>61</v>
      </c>
      <c r="H2959" s="5" t="s">
        <v>32</v>
      </c>
      <c r="I2959" s="6" t="n">
        <v>39630</v>
      </c>
      <c r="J2959" s="5" t="s">
        <v>19</v>
      </c>
      <c r="K2959" s="5" t="s">
        <v>20</v>
      </c>
      <c r="L2959" s="7" t="s">
        <v>8386</v>
      </c>
    </row>
    <row r="2960" customFormat="false" ht="15.65" hidden="false" customHeight="true" outlineLevel="0" collapsed="false">
      <c r="A2960" s="2" t="str">
        <f aca="false">HYPERLINK("https://www.fabsurplus.com/sdi_catalog/salesItemDetails.do?id=91641")</f>
        <v>https://www.fabsurplus.com/sdi_catalog/salesItemDetails.do?id=91641</v>
      </c>
      <c r="B2960" s="2" t="s">
        <v>8387</v>
      </c>
      <c r="C2960" s="2" t="s">
        <v>8346</v>
      </c>
      <c r="D2960" s="2" t="s">
        <v>8356</v>
      </c>
      <c r="E2960" s="2" t="s">
        <v>1877</v>
      </c>
      <c r="F2960" s="2" t="s">
        <v>16</v>
      </c>
      <c r="G2960" s="2" t="s">
        <v>61</v>
      </c>
      <c r="H2960" s="2" t="s">
        <v>18</v>
      </c>
      <c r="I2960" s="3" t="n">
        <v>38472.9166666667</v>
      </c>
      <c r="J2960" s="2" t="s">
        <v>19</v>
      </c>
      <c r="K2960" s="2" t="s">
        <v>20</v>
      </c>
      <c r="L2960" s="4" t="s">
        <v>8388</v>
      </c>
    </row>
    <row r="2961" customFormat="false" ht="15.65" hidden="false" customHeight="true" outlineLevel="0" collapsed="false">
      <c r="A2961" s="5" t="str">
        <f aca="false">HYPERLINK("https://www.fabsurplus.com/sdi_catalog/salesItemDetails.do?id=79571")</f>
        <v>https://www.fabsurplus.com/sdi_catalog/salesItemDetails.do?id=79571</v>
      </c>
      <c r="B2961" s="5" t="s">
        <v>8389</v>
      </c>
      <c r="C2961" s="5" t="s">
        <v>8390</v>
      </c>
      <c r="D2961" s="5" t="s">
        <v>8391</v>
      </c>
      <c r="E2961" s="5" t="s">
        <v>8392</v>
      </c>
      <c r="F2961" s="5" t="s">
        <v>16</v>
      </c>
      <c r="G2961" s="5" t="s">
        <v>4568</v>
      </c>
      <c r="H2961" s="5" t="s">
        <v>18</v>
      </c>
      <c r="I2961" s="6" t="n">
        <v>34120.9166666667</v>
      </c>
      <c r="J2961" s="5" t="s">
        <v>19</v>
      </c>
      <c r="K2961" s="5" t="s">
        <v>20</v>
      </c>
      <c r="L2961" s="7" t="s">
        <v>8393</v>
      </c>
    </row>
    <row r="2962" customFormat="false" ht="15.65" hidden="false" customHeight="true" outlineLevel="0" collapsed="false">
      <c r="A2962" s="2" t="str">
        <f aca="false">HYPERLINK("https://www.fabsurplus.com/sdi_catalog/salesItemDetails.do?id=79572")</f>
        <v>https://www.fabsurplus.com/sdi_catalog/salesItemDetails.do?id=79572</v>
      </c>
      <c r="B2962" s="2" t="s">
        <v>8394</v>
      </c>
      <c r="C2962" s="2" t="s">
        <v>8390</v>
      </c>
      <c r="D2962" s="2" t="s">
        <v>8391</v>
      </c>
      <c r="E2962" s="2" t="s">
        <v>8392</v>
      </c>
      <c r="F2962" s="2" t="s">
        <v>16</v>
      </c>
      <c r="G2962" s="2" t="s">
        <v>4568</v>
      </c>
      <c r="H2962" s="2" t="s">
        <v>18</v>
      </c>
      <c r="I2962" s="3" t="n">
        <v>34120.9166666667</v>
      </c>
      <c r="J2962" s="2" t="s">
        <v>19</v>
      </c>
      <c r="K2962" s="2" t="s">
        <v>20</v>
      </c>
      <c r="L2962" s="4" t="s">
        <v>8393</v>
      </c>
    </row>
    <row r="2963" customFormat="false" ht="15.65" hidden="false" customHeight="true" outlineLevel="0" collapsed="false">
      <c r="A2963" s="5" t="str">
        <f aca="false">HYPERLINK("https://www.fabsurplus.com/sdi_catalog/salesItemDetails.do?id=4007")</f>
        <v>https://www.fabsurplus.com/sdi_catalog/salesItemDetails.do?id=4007</v>
      </c>
      <c r="B2963" s="5" t="s">
        <v>8395</v>
      </c>
      <c r="C2963" s="5" t="s">
        <v>8396</v>
      </c>
      <c r="D2963" s="5" t="s">
        <v>8397</v>
      </c>
      <c r="E2963" s="5" t="s">
        <v>8398</v>
      </c>
      <c r="F2963" s="5" t="s">
        <v>16</v>
      </c>
      <c r="G2963" s="5" t="s">
        <v>1293</v>
      </c>
      <c r="H2963" s="5" t="s">
        <v>32</v>
      </c>
      <c r="I2963" s="6" t="n">
        <v>34850.9166666667</v>
      </c>
      <c r="J2963" s="5" t="s">
        <v>42</v>
      </c>
      <c r="K2963" s="5" t="s">
        <v>20</v>
      </c>
      <c r="L2963" s="7" t="s">
        <v>8399</v>
      </c>
    </row>
    <row r="2964" customFormat="false" ht="15.65" hidden="false" customHeight="true" outlineLevel="0" collapsed="false">
      <c r="A2964" s="2" t="str">
        <f aca="false">HYPERLINK("https://www.fabsurplus.com/sdi_catalog/salesItemDetails.do?id=108283")</f>
        <v>https://www.fabsurplus.com/sdi_catalog/salesItemDetails.do?id=108283</v>
      </c>
      <c r="B2964" s="2" t="s">
        <v>8400</v>
      </c>
      <c r="C2964" s="2" t="s">
        <v>8401</v>
      </c>
      <c r="D2964" s="2" t="s">
        <v>8402</v>
      </c>
      <c r="E2964" s="2" t="s">
        <v>8403</v>
      </c>
      <c r="F2964" s="2" t="s">
        <v>16</v>
      </c>
      <c r="G2964" s="2" t="s">
        <v>61</v>
      </c>
      <c r="H2964" s="2"/>
      <c r="I2964" s="3" t="n">
        <v>41791</v>
      </c>
      <c r="J2964" s="2" t="s">
        <v>19</v>
      </c>
      <c r="K2964" s="2"/>
      <c r="L2964" s="2"/>
    </row>
    <row r="2965" customFormat="false" ht="15.65" hidden="false" customHeight="true" outlineLevel="0" collapsed="false">
      <c r="A2965" s="5" t="str">
        <f aca="false">HYPERLINK("https://www.fabsurplus.com/sdi_catalog/salesItemDetails.do?id=108284")</f>
        <v>https://www.fabsurplus.com/sdi_catalog/salesItemDetails.do?id=108284</v>
      </c>
      <c r="B2965" s="5" t="s">
        <v>8404</v>
      </c>
      <c r="C2965" s="5" t="s">
        <v>8401</v>
      </c>
      <c r="D2965" s="5" t="s">
        <v>8405</v>
      </c>
      <c r="E2965" s="5" t="s">
        <v>8403</v>
      </c>
      <c r="F2965" s="5" t="s">
        <v>16</v>
      </c>
      <c r="G2965" s="5" t="s">
        <v>61</v>
      </c>
      <c r="H2965" s="5"/>
      <c r="I2965" s="6" t="n">
        <v>41061</v>
      </c>
      <c r="J2965" s="5" t="s">
        <v>19</v>
      </c>
      <c r="K2965" s="5"/>
      <c r="L2965" s="5"/>
    </row>
    <row r="2966" customFormat="false" ht="15.65" hidden="false" customHeight="true" outlineLevel="0" collapsed="false">
      <c r="A2966" s="2" t="str">
        <f aca="false">HYPERLINK("https://www.fabsurplus.com/sdi_catalog/salesItemDetails.do?id=106821")</f>
        <v>https://www.fabsurplus.com/sdi_catalog/salesItemDetails.do?id=106821</v>
      </c>
      <c r="B2966" s="2" t="s">
        <v>8406</v>
      </c>
      <c r="C2966" s="2" t="s">
        <v>8407</v>
      </c>
      <c r="D2966" s="2" t="s">
        <v>8408</v>
      </c>
      <c r="E2966" s="2" t="s">
        <v>8409</v>
      </c>
      <c r="F2966" s="2" t="s">
        <v>16</v>
      </c>
      <c r="G2966" s="2" t="s">
        <v>1803</v>
      </c>
      <c r="H2966" s="2"/>
      <c r="I2966" s="2"/>
      <c r="J2966" s="2" t="s">
        <v>42</v>
      </c>
      <c r="K2966" s="2"/>
      <c r="L2966" s="2" t="s">
        <v>142</v>
      </c>
    </row>
    <row r="2967" customFormat="false" ht="15.65" hidden="false" customHeight="true" outlineLevel="0" collapsed="false">
      <c r="A2967" s="5" t="str">
        <f aca="false">HYPERLINK("https://www.fabsurplus.com/sdi_catalog/salesItemDetails.do?id=98474")</f>
        <v>https://www.fabsurplus.com/sdi_catalog/salesItemDetails.do?id=98474</v>
      </c>
      <c r="B2967" s="5" t="s">
        <v>8410</v>
      </c>
      <c r="C2967" s="5" t="s">
        <v>8407</v>
      </c>
      <c r="D2967" s="5" t="s">
        <v>8411</v>
      </c>
      <c r="E2967" s="5" t="s">
        <v>8412</v>
      </c>
      <c r="F2967" s="5" t="s">
        <v>86</v>
      </c>
      <c r="G2967" s="5" t="s">
        <v>1803</v>
      </c>
      <c r="H2967" s="5" t="s">
        <v>32</v>
      </c>
      <c r="I2967" s="5"/>
      <c r="J2967" s="5" t="s">
        <v>19</v>
      </c>
      <c r="K2967" s="5" t="s">
        <v>20</v>
      </c>
      <c r="L2967" s="5" t="s">
        <v>518</v>
      </c>
    </row>
    <row r="2968" customFormat="false" ht="15.65" hidden="false" customHeight="true" outlineLevel="0" collapsed="false">
      <c r="A2968" s="2" t="str">
        <f aca="false">HYPERLINK("https://www.fabsurplus.com/sdi_catalog/salesItemDetails.do?id=98476")</f>
        <v>https://www.fabsurplus.com/sdi_catalog/salesItemDetails.do?id=98476</v>
      </c>
      <c r="B2968" s="2" t="s">
        <v>8413</v>
      </c>
      <c r="C2968" s="2" t="s">
        <v>8407</v>
      </c>
      <c r="D2968" s="2" t="s">
        <v>8414</v>
      </c>
      <c r="E2968" s="2" t="s">
        <v>8415</v>
      </c>
      <c r="F2968" s="2" t="s">
        <v>151</v>
      </c>
      <c r="G2968" s="2" t="s">
        <v>1803</v>
      </c>
      <c r="H2968" s="2" t="s">
        <v>18</v>
      </c>
      <c r="I2968" s="2"/>
      <c r="J2968" s="2" t="s">
        <v>19</v>
      </c>
      <c r="K2968" s="2" t="s">
        <v>20</v>
      </c>
      <c r="L2968" s="4" t="s">
        <v>8416</v>
      </c>
    </row>
    <row r="2969" customFormat="false" ht="15.65" hidden="false" customHeight="true" outlineLevel="0" collapsed="false">
      <c r="A2969" s="5" t="str">
        <f aca="false">HYPERLINK("https://www.fabsurplus.com/sdi_catalog/salesItemDetails.do?id=98477")</f>
        <v>https://www.fabsurplus.com/sdi_catalog/salesItemDetails.do?id=98477</v>
      </c>
      <c r="B2969" s="5" t="s">
        <v>8417</v>
      </c>
      <c r="C2969" s="5" t="s">
        <v>8407</v>
      </c>
      <c r="D2969" s="5" t="s">
        <v>8418</v>
      </c>
      <c r="E2969" s="5" t="s">
        <v>8419</v>
      </c>
      <c r="F2969" s="5" t="s">
        <v>151</v>
      </c>
      <c r="G2969" s="5" t="s">
        <v>1803</v>
      </c>
      <c r="H2969" s="5"/>
      <c r="I2969" s="5"/>
      <c r="J2969" s="5" t="s">
        <v>19</v>
      </c>
      <c r="K2969" s="5"/>
      <c r="L2969" s="5" t="s">
        <v>518</v>
      </c>
    </row>
    <row r="2970" customFormat="false" ht="15.65" hidden="false" customHeight="true" outlineLevel="0" collapsed="false">
      <c r="A2970" s="2" t="str">
        <f aca="false">HYPERLINK("https://www.fabsurplus.com/sdi_catalog/salesItemDetails.do?id=98478")</f>
        <v>https://www.fabsurplus.com/sdi_catalog/salesItemDetails.do?id=98478</v>
      </c>
      <c r="B2970" s="2" t="s">
        <v>8420</v>
      </c>
      <c r="C2970" s="2" t="s">
        <v>8407</v>
      </c>
      <c r="D2970" s="2" t="s">
        <v>8421</v>
      </c>
      <c r="E2970" s="2" t="s">
        <v>8419</v>
      </c>
      <c r="F2970" s="2" t="s">
        <v>16</v>
      </c>
      <c r="G2970" s="2" t="s">
        <v>1803</v>
      </c>
      <c r="H2970" s="2"/>
      <c r="I2970" s="2"/>
      <c r="J2970" s="2" t="s">
        <v>19</v>
      </c>
      <c r="K2970" s="2"/>
      <c r="L2970" s="2" t="s">
        <v>518</v>
      </c>
    </row>
    <row r="2971" customFormat="false" ht="15.65" hidden="false" customHeight="true" outlineLevel="0" collapsed="false">
      <c r="A2971" s="5" t="str">
        <f aca="false">HYPERLINK("https://www.fabsurplus.com/sdi_catalog/salesItemDetails.do?id=106822")</f>
        <v>https://www.fabsurplus.com/sdi_catalog/salesItemDetails.do?id=106822</v>
      </c>
      <c r="B2971" s="5" t="s">
        <v>8422</v>
      </c>
      <c r="C2971" s="5" t="s">
        <v>8423</v>
      </c>
      <c r="D2971" s="5" t="s">
        <v>8424</v>
      </c>
      <c r="E2971" s="5" t="s">
        <v>8425</v>
      </c>
      <c r="F2971" s="5" t="s">
        <v>16</v>
      </c>
      <c r="G2971" s="5" t="s">
        <v>8426</v>
      </c>
      <c r="H2971" s="5"/>
      <c r="I2971" s="5"/>
      <c r="J2971" s="5" t="s">
        <v>42</v>
      </c>
      <c r="K2971" s="5"/>
      <c r="L2971" s="5" t="s">
        <v>142</v>
      </c>
    </row>
    <row r="2972" customFormat="false" ht="15.65" hidden="false" customHeight="true" outlineLevel="0" collapsed="false">
      <c r="A2972" s="2" t="str">
        <f aca="false">HYPERLINK("https://www.fabsurplus.com/sdi_catalog/salesItemDetails.do?id=108765")</f>
        <v>https://www.fabsurplus.com/sdi_catalog/salesItemDetails.do?id=108765</v>
      </c>
      <c r="B2972" s="2" t="s">
        <v>8427</v>
      </c>
      <c r="C2972" s="2" t="s">
        <v>8428</v>
      </c>
      <c r="D2972" s="2" t="s">
        <v>8429</v>
      </c>
      <c r="E2972" s="2" t="s">
        <v>8430</v>
      </c>
      <c r="F2972" s="2" t="s">
        <v>16</v>
      </c>
      <c r="G2972" s="2"/>
      <c r="H2972" s="2"/>
      <c r="I2972" s="2"/>
      <c r="J2972" s="2" t="s">
        <v>19</v>
      </c>
      <c r="K2972" s="2"/>
      <c r="L2972" s="2"/>
    </row>
    <row r="2973" customFormat="false" ht="15.65" hidden="false" customHeight="true" outlineLevel="0" collapsed="false">
      <c r="A2973" s="5" t="str">
        <f aca="false">HYPERLINK("https://www.fabsurplus.com/sdi_catalog/salesItemDetails.do?id=80244")</f>
        <v>https://www.fabsurplus.com/sdi_catalog/salesItemDetails.do?id=80244</v>
      </c>
      <c r="B2973" s="5" t="s">
        <v>8431</v>
      </c>
      <c r="C2973" s="5" t="s">
        <v>8432</v>
      </c>
      <c r="D2973" s="5" t="s">
        <v>8433</v>
      </c>
      <c r="E2973" s="5" t="s">
        <v>8434</v>
      </c>
      <c r="F2973" s="5" t="s">
        <v>16</v>
      </c>
      <c r="G2973" s="5" t="s">
        <v>104</v>
      </c>
      <c r="H2973" s="5" t="s">
        <v>1969</v>
      </c>
      <c r="I2973" s="6" t="n">
        <v>35400</v>
      </c>
      <c r="J2973" s="5" t="s">
        <v>19</v>
      </c>
      <c r="K2973" s="5" t="s">
        <v>20</v>
      </c>
      <c r="L2973" s="5" t="s">
        <v>8435</v>
      </c>
    </row>
    <row r="2974" customFormat="false" ht="15.65" hidden="false" customHeight="true" outlineLevel="0" collapsed="false">
      <c r="A2974" s="2" t="str">
        <f aca="false">HYPERLINK("https://www.fabsurplus.com/sdi_catalog/salesItemDetails.do?id=109214")</f>
        <v>https://www.fabsurplus.com/sdi_catalog/salesItemDetails.do?id=109214</v>
      </c>
      <c r="B2974" s="2" t="s">
        <v>8436</v>
      </c>
      <c r="C2974" s="2" t="s">
        <v>8437</v>
      </c>
      <c r="D2974" s="2" t="s">
        <v>8438</v>
      </c>
      <c r="E2974" s="2" t="s">
        <v>8439</v>
      </c>
      <c r="F2974" s="2" t="s">
        <v>16</v>
      </c>
      <c r="G2974" s="2" t="s">
        <v>1803</v>
      </c>
      <c r="H2974" s="2"/>
      <c r="I2974" s="2"/>
      <c r="J2974" s="2" t="s">
        <v>19</v>
      </c>
      <c r="K2974" s="2"/>
      <c r="L2974" s="2"/>
    </row>
    <row r="2975" customFormat="false" ht="15.65" hidden="false" customHeight="true" outlineLevel="0" collapsed="false">
      <c r="A2975" s="5" t="str">
        <f aca="false">HYPERLINK("https://www.fabsurplus.com/sdi_catalog/salesItemDetails.do?id=108464")</f>
        <v>https://www.fabsurplus.com/sdi_catalog/salesItemDetails.do?id=108464</v>
      </c>
      <c r="B2975" s="5" t="s">
        <v>8440</v>
      </c>
      <c r="C2975" s="5" t="s">
        <v>8437</v>
      </c>
      <c r="D2975" s="5" t="s">
        <v>8441</v>
      </c>
      <c r="E2975" s="5" t="s">
        <v>8439</v>
      </c>
      <c r="F2975" s="5" t="s">
        <v>16</v>
      </c>
      <c r="G2975" s="5" t="s">
        <v>61</v>
      </c>
      <c r="H2975" s="5"/>
      <c r="I2975" s="5"/>
      <c r="J2975" s="5" t="s">
        <v>19</v>
      </c>
      <c r="K2975" s="5"/>
      <c r="L2975" s="5"/>
    </row>
    <row r="2976" customFormat="false" ht="15.65" hidden="false" customHeight="true" outlineLevel="0" collapsed="false">
      <c r="A2976" s="2" t="str">
        <f aca="false">HYPERLINK("https://www.fabsurplus.com/sdi_catalog/salesItemDetails.do?id=108465")</f>
        <v>https://www.fabsurplus.com/sdi_catalog/salesItemDetails.do?id=108465</v>
      </c>
      <c r="B2976" s="2" t="s">
        <v>8442</v>
      </c>
      <c r="C2976" s="2" t="s">
        <v>8437</v>
      </c>
      <c r="D2976" s="2" t="s">
        <v>8438</v>
      </c>
      <c r="E2976" s="2" t="s">
        <v>8439</v>
      </c>
      <c r="F2976" s="2" t="s">
        <v>16</v>
      </c>
      <c r="G2976" s="2" t="s">
        <v>2896</v>
      </c>
      <c r="H2976" s="2" t="s">
        <v>32</v>
      </c>
      <c r="I2976" s="2"/>
      <c r="J2976" s="2" t="s">
        <v>19</v>
      </c>
      <c r="K2976" s="2" t="s">
        <v>20</v>
      </c>
      <c r="L2976" s="4" t="s">
        <v>8443</v>
      </c>
    </row>
    <row r="2977" customFormat="false" ht="15.65" hidden="false" customHeight="true" outlineLevel="0" collapsed="false">
      <c r="A2977" s="5" t="str">
        <f aca="false">HYPERLINK("https://www.fabsurplus.com/sdi_catalog/salesItemDetails.do?id=108766")</f>
        <v>https://www.fabsurplus.com/sdi_catalog/salesItemDetails.do?id=108766</v>
      </c>
      <c r="B2977" s="5" t="s">
        <v>8444</v>
      </c>
      <c r="C2977" s="5" t="s">
        <v>8445</v>
      </c>
      <c r="D2977" s="5" t="s">
        <v>8446</v>
      </c>
      <c r="E2977" s="5" t="s">
        <v>8447</v>
      </c>
      <c r="F2977" s="5" t="s">
        <v>16</v>
      </c>
      <c r="G2977" s="5"/>
      <c r="H2977" s="5" t="s">
        <v>32</v>
      </c>
      <c r="I2977" s="5"/>
      <c r="J2977" s="5" t="s">
        <v>19</v>
      </c>
      <c r="K2977" s="5" t="s">
        <v>20</v>
      </c>
      <c r="L2977" s="7" t="s">
        <v>8448</v>
      </c>
    </row>
    <row r="2978" customFormat="false" ht="15.65" hidden="false" customHeight="true" outlineLevel="0" collapsed="false">
      <c r="A2978" s="2" t="str">
        <f aca="false">HYPERLINK("https://www.fabsurplus.com/sdi_catalog/salesItemDetails.do?id=108185")</f>
        <v>https://www.fabsurplus.com/sdi_catalog/salesItemDetails.do?id=108185</v>
      </c>
      <c r="B2978" s="2" t="s">
        <v>8449</v>
      </c>
      <c r="C2978" s="2" t="s">
        <v>8450</v>
      </c>
      <c r="D2978" s="2" t="s">
        <v>8451</v>
      </c>
      <c r="E2978" s="2" t="s">
        <v>8452</v>
      </c>
      <c r="F2978" s="2" t="s">
        <v>16</v>
      </c>
      <c r="G2978" s="2" t="s">
        <v>8453</v>
      </c>
      <c r="H2978" s="2"/>
      <c r="I2978" s="2"/>
      <c r="J2978" s="2" t="s">
        <v>19</v>
      </c>
      <c r="K2978" s="2"/>
      <c r="L2978" s="2" t="s">
        <v>1480</v>
      </c>
    </row>
    <row r="2979" customFormat="false" ht="15.65" hidden="false" customHeight="true" outlineLevel="0" collapsed="false">
      <c r="A2979" s="5" t="str">
        <f aca="false">HYPERLINK("https://www.fabsurplus.com/sdi_catalog/salesItemDetails.do?id=108846")</f>
        <v>https://www.fabsurplus.com/sdi_catalog/salesItemDetails.do?id=108846</v>
      </c>
      <c r="B2979" s="5" t="s">
        <v>8454</v>
      </c>
      <c r="C2979" s="5" t="s">
        <v>8455</v>
      </c>
      <c r="D2979" s="5" t="s">
        <v>8456</v>
      </c>
      <c r="E2979" s="5" t="s">
        <v>8457</v>
      </c>
      <c r="F2979" s="5" t="s">
        <v>16</v>
      </c>
      <c r="G2979" s="5" t="s">
        <v>1579</v>
      </c>
      <c r="H2979" s="5"/>
      <c r="I2979" s="5"/>
      <c r="J2979" s="5" t="s">
        <v>42</v>
      </c>
      <c r="K2979" s="5"/>
      <c r="L2979" s="5" t="s">
        <v>131</v>
      </c>
    </row>
    <row r="2980" customFormat="false" ht="15.65" hidden="false" customHeight="true" outlineLevel="0" collapsed="false">
      <c r="A2980" s="2" t="str">
        <f aca="false">HYPERLINK("https://www.fabsurplus.com/sdi_catalog/salesItemDetails.do?id=71902")</f>
        <v>https://www.fabsurplus.com/sdi_catalog/salesItemDetails.do?id=71902</v>
      </c>
      <c r="B2980" s="2" t="s">
        <v>8458</v>
      </c>
      <c r="C2980" s="2" t="s">
        <v>8459</v>
      </c>
      <c r="D2980" s="2" t="s">
        <v>8460</v>
      </c>
      <c r="E2980" s="2" t="s">
        <v>8461</v>
      </c>
      <c r="F2980" s="2" t="s">
        <v>16</v>
      </c>
      <c r="G2980" s="2" t="s">
        <v>8462</v>
      </c>
      <c r="H2980" s="2" t="s">
        <v>18</v>
      </c>
      <c r="I2980" s="3" t="n">
        <v>36647</v>
      </c>
      <c r="J2980" s="2" t="s">
        <v>19</v>
      </c>
      <c r="K2980" s="2" t="s">
        <v>20</v>
      </c>
      <c r="L2980" s="4" t="s">
        <v>8463</v>
      </c>
    </row>
    <row r="2981" customFormat="false" ht="15.65" hidden="false" customHeight="true" outlineLevel="0" collapsed="false">
      <c r="A2981" s="5" t="str">
        <f aca="false">HYPERLINK("https://www.fabsurplus.com/sdi_catalog/salesItemDetails.do?id=108580")</f>
        <v>https://www.fabsurplus.com/sdi_catalog/salesItemDetails.do?id=108580</v>
      </c>
      <c r="B2981" s="5" t="s">
        <v>8464</v>
      </c>
      <c r="C2981" s="5" t="s">
        <v>8465</v>
      </c>
      <c r="D2981" s="5" t="s">
        <v>8466</v>
      </c>
      <c r="E2981" s="5" t="s">
        <v>8467</v>
      </c>
      <c r="F2981" s="5" t="s">
        <v>16</v>
      </c>
      <c r="G2981" s="5" t="s">
        <v>38</v>
      </c>
      <c r="H2981" s="5" t="s">
        <v>32</v>
      </c>
      <c r="I2981" s="5"/>
      <c r="J2981" s="5" t="s">
        <v>19</v>
      </c>
      <c r="K2981" s="5" t="s">
        <v>20</v>
      </c>
      <c r="L2981" s="7" t="s">
        <v>8468</v>
      </c>
    </row>
    <row r="2982" customFormat="false" ht="15.65" hidden="false" customHeight="true" outlineLevel="0" collapsed="false">
      <c r="A2982" s="2" t="str">
        <f aca="false">HYPERLINK("https://www.fabsurplus.com/sdi_catalog/salesItemDetails.do?id=84374")</f>
        <v>https://www.fabsurplus.com/sdi_catalog/salesItemDetails.do?id=84374</v>
      </c>
      <c r="B2982" s="2" t="s">
        <v>8469</v>
      </c>
      <c r="C2982" s="2" t="s">
        <v>8470</v>
      </c>
      <c r="D2982" s="2" t="s">
        <v>8471</v>
      </c>
      <c r="E2982" s="2" t="s">
        <v>8472</v>
      </c>
      <c r="F2982" s="2" t="s">
        <v>16</v>
      </c>
      <c r="G2982" s="2"/>
      <c r="H2982" s="2" t="s">
        <v>18</v>
      </c>
      <c r="I2982" s="2"/>
      <c r="J2982" s="2" t="s">
        <v>19</v>
      </c>
      <c r="K2982" s="2" t="s">
        <v>20</v>
      </c>
      <c r="L2982" s="4" t="s">
        <v>8473</v>
      </c>
    </row>
    <row r="2983" customFormat="false" ht="15.65" hidden="false" customHeight="true" outlineLevel="0" collapsed="false">
      <c r="A2983" s="5" t="str">
        <f aca="false">HYPERLINK("https://www.fabsurplus.com/sdi_catalog/salesItemDetails.do?id=108847")</f>
        <v>https://www.fabsurplus.com/sdi_catalog/salesItemDetails.do?id=108847</v>
      </c>
      <c r="B2983" s="5" t="s">
        <v>8474</v>
      </c>
      <c r="C2983" s="5" t="s">
        <v>8475</v>
      </c>
      <c r="D2983" s="5" t="s">
        <v>8476</v>
      </c>
      <c r="E2983" s="5" t="s">
        <v>8477</v>
      </c>
      <c r="F2983" s="5" t="s">
        <v>16</v>
      </c>
      <c r="G2983" s="5"/>
      <c r="H2983" s="5"/>
      <c r="I2983" s="5"/>
      <c r="J2983" s="5" t="s">
        <v>42</v>
      </c>
      <c r="K2983" s="5"/>
      <c r="L2983" s="5" t="s">
        <v>131</v>
      </c>
    </row>
    <row r="2984" customFormat="false" ht="15.65" hidden="false" customHeight="true" outlineLevel="0" collapsed="false">
      <c r="A2984" s="2" t="str">
        <f aca="false">HYPERLINK("https://www.fabsurplus.com/sdi_catalog/salesItemDetails.do?id=84059")</f>
        <v>https://www.fabsurplus.com/sdi_catalog/salesItemDetails.do?id=84059</v>
      </c>
      <c r="B2984" s="2" t="s">
        <v>8478</v>
      </c>
      <c r="C2984" s="2" t="s">
        <v>8479</v>
      </c>
      <c r="D2984" s="2" t="s">
        <v>8480</v>
      </c>
      <c r="E2984" s="2" t="s">
        <v>8481</v>
      </c>
      <c r="F2984" s="2" t="s">
        <v>16</v>
      </c>
      <c r="G2984" s="2" t="s">
        <v>8482</v>
      </c>
      <c r="H2984" s="2" t="s">
        <v>18</v>
      </c>
      <c r="I2984" s="2"/>
      <c r="J2984" s="2" t="s">
        <v>19</v>
      </c>
      <c r="K2984" s="2" t="s">
        <v>20</v>
      </c>
      <c r="L2984" s="4" t="s">
        <v>8483</v>
      </c>
    </row>
    <row r="2985" customFormat="false" ht="15.65" hidden="false" customHeight="true" outlineLevel="0" collapsed="false">
      <c r="A2985" s="5" t="str">
        <f aca="false">HYPERLINK("https://www.fabsurplus.com/sdi_catalog/salesItemDetails.do?id=106496")</f>
        <v>https://www.fabsurplus.com/sdi_catalog/salesItemDetails.do?id=106496</v>
      </c>
      <c r="B2985" s="5" t="s">
        <v>8484</v>
      </c>
      <c r="C2985" s="5" t="s">
        <v>8485</v>
      </c>
      <c r="D2985" s="5" t="s">
        <v>8486</v>
      </c>
      <c r="E2985" s="5" t="s">
        <v>8487</v>
      </c>
      <c r="F2985" s="5" t="s">
        <v>16</v>
      </c>
      <c r="G2985" s="5" t="s">
        <v>2858</v>
      </c>
      <c r="H2985" s="5"/>
      <c r="I2985" s="5"/>
      <c r="J2985" s="5" t="s">
        <v>19</v>
      </c>
      <c r="K2985" s="5"/>
      <c r="L2985" s="5" t="s">
        <v>4017</v>
      </c>
    </row>
    <row r="2986" customFormat="false" ht="15.65" hidden="false" customHeight="true" outlineLevel="0" collapsed="false">
      <c r="A2986" s="2" t="str">
        <f aca="false">HYPERLINK("https://www.fabsurplus.com/sdi_catalog/salesItemDetails.do?id=106495")</f>
        <v>https://www.fabsurplus.com/sdi_catalog/salesItemDetails.do?id=106495</v>
      </c>
      <c r="B2986" s="2" t="s">
        <v>8488</v>
      </c>
      <c r="C2986" s="2" t="s">
        <v>8485</v>
      </c>
      <c r="D2986" s="2" t="s">
        <v>8486</v>
      </c>
      <c r="E2986" s="2" t="s">
        <v>8487</v>
      </c>
      <c r="F2986" s="2" t="s">
        <v>16</v>
      </c>
      <c r="G2986" s="2" t="s">
        <v>2858</v>
      </c>
      <c r="H2986" s="2"/>
      <c r="I2986" s="2"/>
      <c r="J2986" s="2" t="s">
        <v>19</v>
      </c>
      <c r="K2986" s="2"/>
      <c r="L2986" s="2" t="s">
        <v>4017</v>
      </c>
    </row>
    <row r="2987" customFormat="false" ht="15.65" hidden="false" customHeight="true" outlineLevel="0" collapsed="false">
      <c r="A2987" s="5" t="str">
        <f aca="false">HYPERLINK("https://www.fabsurplus.com/sdi_catalog/salesItemDetails.do?id=80260")</f>
        <v>https://www.fabsurplus.com/sdi_catalog/salesItemDetails.do?id=80260</v>
      </c>
      <c r="B2987" s="5" t="s">
        <v>8489</v>
      </c>
      <c r="C2987" s="5" t="s">
        <v>8490</v>
      </c>
      <c r="D2987" s="5" t="s">
        <v>8491</v>
      </c>
      <c r="E2987" s="5" t="s">
        <v>8492</v>
      </c>
      <c r="F2987" s="5" t="s">
        <v>108</v>
      </c>
      <c r="G2987" s="5" t="s">
        <v>165</v>
      </c>
      <c r="H2987" s="5" t="s">
        <v>18</v>
      </c>
      <c r="I2987" s="5"/>
      <c r="J2987" s="5" t="s">
        <v>19</v>
      </c>
      <c r="K2987" s="5" t="s">
        <v>20</v>
      </c>
      <c r="L2987" s="7" t="s">
        <v>8493</v>
      </c>
    </row>
    <row r="2988" customFormat="false" ht="15.65" hidden="false" customHeight="true" outlineLevel="0" collapsed="false">
      <c r="A2988" s="2" t="str">
        <f aca="false">HYPERLINK("https://www.fabsurplus.com/sdi_catalog/salesItemDetails.do?id=80265")</f>
        <v>https://www.fabsurplus.com/sdi_catalog/salesItemDetails.do?id=80265</v>
      </c>
      <c r="B2988" s="2" t="s">
        <v>8494</v>
      </c>
      <c r="C2988" s="2" t="s">
        <v>8490</v>
      </c>
      <c r="D2988" s="2" t="s">
        <v>8495</v>
      </c>
      <c r="E2988" s="2" t="s">
        <v>8496</v>
      </c>
      <c r="F2988" s="2" t="s">
        <v>16</v>
      </c>
      <c r="G2988" s="2" t="s">
        <v>97</v>
      </c>
      <c r="H2988" s="2" t="s">
        <v>98</v>
      </c>
      <c r="I2988" s="2"/>
      <c r="J2988" s="2" t="s">
        <v>19</v>
      </c>
      <c r="K2988" s="2" t="s">
        <v>20</v>
      </c>
      <c r="L2988" s="2"/>
    </row>
    <row r="2989" customFormat="false" ht="15.65" hidden="false" customHeight="true" outlineLevel="0" collapsed="false">
      <c r="A2989" s="5" t="str">
        <f aca="false">HYPERLINK("https://www.fabsurplus.com/sdi_catalog/salesItemDetails.do?id=80245")</f>
        <v>https://www.fabsurplus.com/sdi_catalog/salesItemDetails.do?id=80245</v>
      </c>
      <c r="B2989" s="5" t="s">
        <v>8497</v>
      </c>
      <c r="C2989" s="5" t="s">
        <v>8498</v>
      </c>
      <c r="D2989" s="5" t="s">
        <v>8499</v>
      </c>
      <c r="E2989" s="5" t="s">
        <v>8500</v>
      </c>
      <c r="F2989" s="5" t="s">
        <v>151</v>
      </c>
      <c r="G2989" s="5"/>
      <c r="H2989" s="5" t="s">
        <v>98</v>
      </c>
      <c r="I2989" s="5"/>
      <c r="J2989" s="5" t="s">
        <v>19</v>
      </c>
      <c r="K2989" s="5" t="s">
        <v>20</v>
      </c>
      <c r="L2989" s="5" t="s">
        <v>8501</v>
      </c>
    </row>
    <row r="2990" customFormat="false" ht="15.65" hidden="false" customHeight="true" outlineLevel="0" collapsed="false">
      <c r="A2990" s="2" t="str">
        <f aca="false">HYPERLINK("https://www.fabsurplus.com/sdi_catalog/salesItemDetails.do?id=82220")</f>
        <v>https://www.fabsurplus.com/sdi_catalog/salesItemDetails.do?id=82220</v>
      </c>
      <c r="B2990" s="2" t="s">
        <v>8502</v>
      </c>
      <c r="C2990" s="2" t="s">
        <v>8503</v>
      </c>
      <c r="D2990" s="2" t="s">
        <v>8504</v>
      </c>
      <c r="E2990" s="2" t="s">
        <v>8505</v>
      </c>
      <c r="F2990" s="2" t="s">
        <v>16</v>
      </c>
      <c r="G2990" s="2"/>
      <c r="H2990" s="2" t="s">
        <v>32</v>
      </c>
      <c r="I2990" s="2"/>
      <c r="J2990" s="2" t="s">
        <v>19</v>
      </c>
      <c r="K2990" s="2" t="s">
        <v>20</v>
      </c>
      <c r="L2990" s="4" t="s">
        <v>8506</v>
      </c>
    </row>
    <row r="2991" customFormat="false" ht="15.65" hidden="false" customHeight="true" outlineLevel="0" collapsed="false">
      <c r="A2991" s="5" t="str">
        <f aca="false">HYPERLINK("https://www.fabsurplus.com/sdi_catalog/salesItemDetails.do?id=108848")</f>
        <v>https://www.fabsurplus.com/sdi_catalog/salesItemDetails.do?id=108848</v>
      </c>
      <c r="B2991" s="5" t="s">
        <v>8507</v>
      </c>
      <c r="C2991" s="5" t="s">
        <v>8508</v>
      </c>
      <c r="D2991" s="5" t="s">
        <v>8509</v>
      </c>
      <c r="E2991" s="5" t="s">
        <v>8510</v>
      </c>
      <c r="F2991" s="5" t="s">
        <v>16</v>
      </c>
      <c r="G2991" s="5"/>
      <c r="H2991" s="5"/>
      <c r="I2991" s="5"/>
      <c r="J2991" s="5" t="s">
        <v>42</v>
      </c>
      <c r="K2991" s="5"/>
      <c r="L2991" s="5" t="s">
        <v>131</v>
      </c>
    </row>
    <row r="2992" customFormat="false" ht="15.65" hidden="false" customHeight="true" outlineLevel="0" collapsed="false">
      <c r="A2992" s="2" t="str">
        <f aca="false">HYPERLINK("https://www.fabsurplus.com/sdi_catalog/salesItemDetails.do?id=79592")</f>
        <v>https://www.fabsurplus.com/sdi_catalog/salesItemDetails.do?id=79592</v>
      </c>
      <c r="B2992" s="2" t="s">
        <v>8511</v>
      </c>
      <c r="C2992" s="2" t="s">
        <v>8512</v>
      </c>
      <c r="D2992" s="2" t="s">
        <v>8513</v>
      </c>
      <c r="E2992" s="2" t="s">
        <v>8514</v>
      </c>
      <c r="F2992" s="2" t="s">
        <v>16</v>
      </c>
      <c r="G2992" s="2" t="s">
        <v>1236</v>
      </c>
      <c r="H2992" s="2" t="s">
        <v>18</v>
      </c>
      <c r="I2992" s="3" t="n">
        <v>39233.9166666667</v>
      </c>
      <c r="J2992" s="2" t="s">
        <v>19</v>
      </c>
      <c r="K2992" s="2" t="s">
        <v>20</v>
      </c>
      <c r="L2992" s="4" t="s">
        <v>8515</v>
      </c>
    </row>
    <row r="2993" customFormat="false" ht="15.65" hidden="false" customHeight="true" outlineLevel="0" collapsed="false">
      <c r="A2993" s="5" t="str">
        <f aca="false">HYPERLINK("https://www.fabsurplus.com/sdi_catalog/salesItemDetails.do?id=79593")</f>
        <v>https://www.fabsurplus.com/sdi_catalog/salesItemDetails.do?id=79593</v>
      </c>
      <c r="B2993" s="5" t="s">
        <v>8516</v>
      </c>
      <c r="C2993" s="5" t="s">
        <v>8512</v>
      </c>
      <c r="D2993" s="5" t="s">
        <v>8513</v>
      </c>
      <c r="E2993" s="5" t="s">
        <v>8517</v>
      </c>
      <c r="F2993" s="5" t="s">
        <v>16</v>
      </c>
      <c r="G2993" s="5" t="s">
        <v>1236</v>
      </c>
      <c r="H2993" s="5" t="s">
        <v>18</v>
      </c>
      <c r="I2993" s="6" t="n">
        <v>38503.9166666667</v>
      </c>
      <c r="J2993" s="5" t="s">
        <v>19</v>
      </c>
      <c r="K2993" s="5" t="s">
        <v>20</v>
      </c>
      <c r="L2993" s="7" t="s">
        <v>8518</v>
      </c>
    </row>
    <row r="2994" customFormat="false" ht="15.65" hidden="false" customHeight="true" outlineLevel="0" collapsed="false">
      <c r="A2994" s="2" t="str">
        <f aca="false">HYPERLINK("https://www.fabsurplus.com/sdi_catalog/salesItemDetails.do?id=83812")</f>
        <v>https://www.fabsurplus.com/sdi_catalog/salesItemDetails.do?id=83812</v>
      </c>
      <c r="B2994" s="2" t="s">
        <v>8519</v>
      </c>
      <c r="C2994" s="2" t="s">
        <v>8520</v>
      </c>
      <c r="D2994" s="2" t="s">
        <v>8521</v>
      </c>
      <c r="E2994" s="2" t="s">
        <v>8522</v>
      </c>
      <c r="F2994" s="2" t="s">
        <v>16</v>
      </c>
      <c r="G2994" s="2"/>
      <c r="H2994" s="2" t="s">
        <v>18</v>
      </c>
      <c r="I2994" s="3" t="n">
        <v>35338.9166666667</v>
      </c>
      <c r="J2994" s="2" t="s">
        <v>19</v>
      </c>
      <c r="K2994" s="2" t="s">
        <v>20</v>
      </c>
      <c r="L2994" s="4" t="s">
        <v>8523</v>
      </c>
    </row>
    <row r="2995" customFormat="false" ht="15.65" hidden="false" customHeight="true" outlineLevel="0" collapsed="false">
      <c r="A2995" s="5" t="str">
        <f aca="false">HYPERLINK("https://www.fabsurplus.com/sdi_catalog/salesItemDetails.do?id=83890")</f>
        <v>https://www.fabsurplus.com/sdi_catalog/salesItemDetails.do?id=83890</v>
      </c>
      <c r="B2995" s="5" t="s">
        <v>8524</v>
      </c>
      <c r="C2995" s="5" t="s">
        <v>8520</v>
      </c>
      <c r="D2995" s="5" t="s">
        <v>8521</v>
      </c>
      <c r="E2995" s="5" t="s">
        <v>8525</v>
      </c>
      <c r="F2995" s="5" t="s">
        <v>16</v>
      </c>
      <c r="G2995" s="5"/>
      <c r="H2995" s="5" t="s">
        <v>18</v>
      </c>
      <c r="I2995" s="6" t="n">
        <v>35490</v>
      </c>
      <c r="J2995" s="5" t="s">
        <v>19</v>
      </c>
      <c r="K2995" s="5" t="s">
        <v>20</v>
      </c>
      <c r="L2995" s="7" t="s">
        <v>8526</v>
      </c>
    </row>
    <row r="2996" customFormat="false" ht="15.65" hidden="false" customHeight="true" outlineLevel="0" collapsed="false">
      <c r="A2996" s="2" t="str">
        <f aca="false">HYPERLINK("https://www.fabsurplus.com/sdi_catalog/salesItemDetails.do?id=110337")</f>
        <v>https://www.fabsurplus.com/sdi_catalog/salesItemDetails.do?id=110337</v>
      </c>
      <c r="B2996" s="2" t="s">
        <v>8527</v>
      </c>
      <c r="C2996" s="2" t="s">
        <v>8528</v>
      </c>
      <c r="D2996" s="2" t="s">
        <v>8529</v>
      </c>
      <c r="E2996" s="2" t="s">
        <v>763</v>
      </c>
      <c r="F2996" s="2" t="s">
        <v>16</v>
      </c>
      <c r="G2996" s="2" t="s">
        <v>165</v>
      </c>
      <c r="H2996" s="2"/>
      <c r="I2996" s="2"/>
      <c r="J2996" s="2" t="s">
        <v>42</v>
      </c>
      <c r="K2996" s="2"/>
      <c r="L2996" s="4" t="s">
        <v>8530</v>
      </c>
    </row>
    <row r="2997" customFormat="false" ht="15.65" hidden="false" customHeight="true" outlineLevel="0" collapsed="false">
      <c r="A2997" s="5" t="str">
        <f aca="false">HYPERLINK("https://www.fabsurplus.com/sdi_catalog/salesItemDetails.do?id=110338")</f>
        <v>https://www.fabsurplus.com/sdi_catalog/salesItemDetails.do?id=110338</v>
      </c>
      <c r="B2997" s="5" t="s">
        <v>8531</v>
      </c>
      <c r="C2997" s="5" t="s">
        <v>8528</v>
      </c>
      <c r="D2997" s="5" t="s">
        <v>8532</v>
      </c>
      <c r="E2997" s="5" t="s">
        <v>763</v>
      </c>
      <c r="F2997" s="5" t="s">
        <v>16</v>
      </c>
      <c r="G2997" s="5" t="s">
        <v>165</v>
      </c>
      <c r="H2997" s="5"/>
      <c r="I2997" s="5"/>
      <c r="J2997" s="5" t="s">
        <v>42</v>
      </c>
      <c r="K2997" s="5"/>
      <c r="L2997" s="5" t="s">
        <v>824</v>
      </c>
    </row>
    <row r="2998" customFormat="false" ht="15.65" hidden="false" customHeight="true" outlineLevel="0" collapsed="false">
      <c r="A2998" s="2" t="str">
        <f aca="false">HYPERLINK("https://www.fabsurplus.com/sdi_catalog/salesItemDetails.do?id=110339")</f>
        <v>https://www.fabsurplus.com/sdi_catalog/salesItemDetails.do?id=110339</v>
      </c>
      <c r="B2998" s="2" t="s">
        <v>8533</v>
      </c>
      <c r="C2998" s="2" t="s">
        <v>8528</v>
      </c>
      <c r="D2998" s="2" t="s">
        <v>8532</v>
      </c>
      <c r="E2998" s="2" t="s">
        <v>763</v>
      </c>
      <c r="F2998" s="2" t="s">
        <v>16</v>
      </c>
      <c r="G2998" s="2" t="s">
        <v>165</v>
      </c>
      <c r="H2998" s="2"/>
      <c r="I2998" s="2"/>
      <c r="J2998" s="2" t="s">
        <v>42</v>
      </c>
      <c r="K2998" s="2"/>
      <c r="L2998" s="2" t="s">
        <v>824</v>
      </c>
    </row>
    <row r="2999" customFormat="false" ht="15.65" hidden="false" customHeight="true" outlineLevel="0" collapsed="false">
      <c r="A2999" s="5" t="str">
        <f aca="false">HYPERLINK("https://www.fabsurplus.com/sdi_catalog/salesItemDetails.do?id=110340")</f>
        <v>https://www.fabsurplus.com/sdi_catalog/salesItemDetails.do?id=110340</v>
      </c>
      <c r="B2999" s="5" t="s">
        <v>8534</v>
      </c>
      <c r="C2999" s="5" t="s">
        <v>8528</v>
      </c>
      <c r="D2999" s="5" t="s">
        <v>8532</v>
      </c>
      <c r="E2999" s="5" t="s">
        <v>763</v>
      </c>
      <c r="F2999" s="5" t="s">
        <v>16</v>
      </c>
      <c r="G2999" s="5" t="s">
        <v>165</v>
      </c>
      <c r="H2999" s="5"/>
      <c r="I2999" s="5"/>
      <c r="J2999" s="5" t="s">
        <v>42</v>
      </c>
      <c r="K2999" s="5"/>
      <c r="L2999" s="5" t="s">
        <v>8535</v>
      </c>
    </row>
    <row r="3000" customFormat="false" ht="15.65" hidden="false" customHeight="true" outlineLevel="0" collapsed="false">
      <c r="A3000" s="2" t="str">
        <f aca="false">HYPERLINK("https://www.fabsurplus.com/sdi_catalog/salesItemDetails.do?id=83523")</f>
        <v>https://www.fabsurplus.com/sdi_catalog/salesItemDetails.do?id=83523</v>
      </c>
      <c r="B3000" s="2" t="s">
        <v>8536</v>
      </c>
      <c r="C3000" s="2" t="s">
        <v>8537</v>
      </c>
      <c r="D3000" s="2" t="s">
        <v>8538</v>
      </c>
      <c r="E3000" s="2" t="s">
        <v>8539</v>
      </c>
      <c r="F3000" s="2" t="s">
        <v>16</v>
      </c>
      <c r="G3000" s="2" t="s">
        <v>8540</v>
      </c>
      <c r="H3000" s="2" t="s">
        <v>18</v>
      </c>
      <c r="I3000" s="2"/>
      <c r="J3000" s="2"/>
      <c r="K3000" s="2"/>
      <c r="L3000" s="4" t="s">
        <v>8541</v>
      </c>
    </row>
    <row r="3001" customFormat="false" ht="15.65" hidden="false" customHeight="true" outlineLevel="0" collapsed="false">
      <c r="A3001" s="5" t="str">
        <f aca="false">HYPERLINK("https://www.fabsurplus.com/sdi_catalog/salesItemDetails.do?id=83554")</f>
        <v>https://www.fabsurplus.com/sdi_catalog/salesItemDetails.do?id=83554</v>
      </c>
      <c r="B3001" s="5" t="s">
        <v>8542</v>
      </c>
      <c r="C3001" s="5" t="s">
        <v>8537</v>
      </c>
      <c r="D3001" s="5" t="s">
        <v>8543</v>
      </c>
      <c r="E3001" s="5" t="s">
        <v>8544</v>
      </c>
      <c r="F3001" s="5" t="s">
        <v>16</v>
      </c>
      <c r="G3001" s="5" t="s">
        <v>8545</v>
      </c>
      <c r="H3001" s="5" t="s">
        <v>18</v>
      </c>
      <c r="I3001" s="5"/>
      <c r="J3001" s="5" t="s">
        <v>19</v>
      </c>
      <c r="K3001" s="5" t="s">
        <v>20</v>
      </c>
      <c r="L3001" s="7" t="s">
        <v>8546</v>
      </c>
    </row>
    <row r="3002" customFormat="false" ht="15.65" hidden="false" customHeight="true" outlineLevel="0" collapsed="false">
      <c r="A3002" s="2" t="str">
        <f aca="false">HYPERLINK("https://www.fabsurplus.com/sdi_catalog/salesItemDetails.do?id=83638")</f>
        <v>https://www.fabsurplus.com/sdi_catalog/salesItemDetails.do?id=83638</v>
      </c>
      <c r="B3002" s="2" t="s">
        <v>8547</v>
      </c>
      <c r="C3002" s="2" t="s">
        <v>8537</v>
      </c>
      <c r="D3002" s="2" t="s">
        <v>8548</v>
      </c>
      <c r="E3002" s="2" t="s">
        <v>8549</v>
      </c>
      <c r="F3002" s="2" t="s">
        <v>16</v>
      </c>
      <c r="G3002" s="2" t="s">
        <v>8550</v>
      </c>
      <c r="H3002" s="2" t="s">
        <v>98</v>
      </c>
      <c r="I3002" s="3" t="n">
        <v>38442.9166666667</v>
      </c>
      <c r="J3002" s="2" t="s">
        <v>19</v>
      </c>
      <c r="K3002" s="2" t="s">
        <v>20</v>
      </c>
      <c r="L3002" s="4" t="s">
        <v>8551</v>
      </c>
    </row>
    <row r="3003" customFormat="false" ht="15.65" hidden="false" customHeight="true" outlineLevel="0" collapsed="false">
      <c r="A3003" s="5" t="str">
        <f aca="false">HYPERLINK("https://www.fabsurplus.com/sdi_catalog/salesItemDetails.do?id=108289")</f>
        <v>https://www.fabsurplus.com/sdi_catalog/salesItemDetails.do?id=108289</v>
      </c>
      <c r="B3003" s="5" t="s">
        <v>8552</v>
      </c>
      <c r="C3003" s="5" t="s">
        <v>8553</v>
      </c>
      <c r="D3003" s="5" t="s">
        <v>8554</v>
      </c>
      <c r="E3003" s="5" t="s">
        <v>8555</v>
      </c>
      <c r="F3003" s="5" t="s">
        <v>16</v>
      </c>
      <c r="G3003" s="5" t="s">
        <v>2327</v>
      </c>
      <c r="H3003" s="5"/>
      <c r="I3003" s="6" t="n">
        <v>42522</v>
      </c>
      <c r="J3003" s="5" t="s">
        <v>19</v>
      </c>
      <c r="K3003" s="5"/>
      <c r="L3003" s="7" t="s">
        <v>8556</v>
      </c>
    </row>
    <row r="3004" customFormat="false" ht="15.65" hidden="false" customHeight="true" outlineLevel="0" collapsed="false">
      <c r="A3004" s="2" t="str">
        <f aca="false">HYPERLINK("https://www.fabsurplus.com/sdi_catalog/salesItemDetails.do?id=110341")</f>
        <v>https://www.fabsurplus.com/sdi_catalog/salesItemDetails.do?id=110341</v>
      </c>
      <c r="B3004" s="2" t="s">
        <v>8557</v>
      </c>
      <c r="C3004" s="2" t="s">
        <v>8558</v>
      </c>
      <c r="D3004" s="2" t="s">
        <v>8559</v>
      </c>
      <c r="E3004" s="2" t="s">
        <v>170</v>
      </c>
      <c r="F3004" s="2" t="s">
        <v>16</v>
      </c>
      <c r="G3004" s="2" t="s">
        <v>165</v>
      </c>
      <c r="H3004" s="2"/>
      <c r="I3004" s="2"/>
      <c r="J3004" s="2" t="s">
        <v>42</v>
      </c>
      <c r="K3004" s="2"/>
      <c r="L3004" s="2" t="s">
        <v>8560</v>
      </c>
    </row>
    <row r="3005" customFormat="false" ht="15.65" hidden="false" customHeight="true" outlineLevel="0" collapsed="false">
      <c r="A3005" s="5" t="str">
        <f aca="false">HYPERLINK("https://www.fabsurplus.com/sdi_catalog/salesItemDetails.do?id=110342")</f>
        <v>https://www.fabsurplus.com/sdi_catalog/salesItemDetails.do?id=110342</v>
      </c>
      <c r="B3005" s="5" t="s">
        <v>8561</v>
      </c>
      <c r="C3005" s="5" t="s">
        <v>8558</v>
      </c>
      <c r="D3005" s="5" t="s">
        <v>8562</v>
      </c>
      <c r="E3005" s="5" t="s">
        <v>763</v>
      </c>
      <c r="F3005" s="5" t="s">
        <v>16</v>
      </c>
      <c r="G3005" s="5" t="s">
        <v>165</v>
      </c>
      <c r="H3005" s="5"/>
      <c r="I3005" s="5"/>
      <c r="J3005" s="5" t="s">
        <v>42</v>
      </c>
      <c r="K3005" s="5"/>
      <c r="L3005" s="5" t="s">
        <v>8563</v>
      </c>
    </row>
    <row r="3006" customFormat="false" ht="15.65" hidden="false" customHeight="true" outlineLevel="0" collapsed="false">
      <c r="A3006" s="2" t="str">
        <f aca="false">HYPERLINK("https://www.fabsurplus.com/sdi_catalog/salesItemDetails.do?id=110343")</f>
        <v>https://www.fabsurplus.com/sdi_catalog/salesItemDetails.do?id=110343</v>
      </c>
      <c r="B3006" s="2" t="s">
        <v>8564</v>
      </c>
      <c r="C3006" s="2" t="s">
        <v>8558</v>
      </c>
      <c r="D3006" s="2" t="s">
        <v>8562</v>
      </c>
      <c r="E3006" s="2" t="s">
        <v>763</v>
      </c>
      <c r="F3006" s="2" t="s">
        <v>16</v>
      </c>
      <c r="G3006" s="2" t="s">
        <v>165</v>
      </c>
      <c r="H3006" s="2"/>
      <c r="I3006" s="2"/>
      <c r="J3006" s="2" t="s">
        <v>42</v>
      </c>
      <c r="K3006" s="2"/>
      <c r="L3006" s="2" t="s">
        <v>8563</v>
      </c>
    </row>
    <row r="3007" customFormat="false" ht="15.65" hidden="false" customHeight="true" outlineLevel="0" collapsed="false">
      <c r="A3007" s="5" t="str">
        <f aca="false">HYPERLINK("https://www.fabsurplus.com/sdi_catalog/salesItemDetails.do?id=110344")</f>
        <v>https://www.fabsurplus.com/sdi_catalog/salesItemDetails.do?id=110344</v>
      </c>
      <c r="B3007" s="5" t="s">
        <v>8565</v>
      </c>
      <c r="C3007" s="5" t="s">
        <v>8558</v>
      </c>
      <c r="D3007" s="5" t="s">
        <v>8562</v>
      </c>
      <c r="E3007" s="5" t="s">
        <v>763</v>
      </c>
      <c r="F3007" s="5" t="s">
        <v>16</v>
      </c>
      <c r="G3007" s="5" t="s">
        <v>165</v>
      </c>
      <c r="H3007" s="5"/>
      <c r="I3007" s="5"/>
      <c r="J3007" s="5" t="s">
        <v>42</v>
      </c>
      <c r="K3007" s="5"/>
      <c r="L3007" s="5" t="s">
        <v>8563</v>
      </c>
    </row>
    <row r="3008" customFormat="false" ht="15.65" hidden="false" customHeight="true" outlineLevel="0" collapsed="false">
      <c r="A3008" s="2" t="str">
        <f aca="false">HYPERLINK("https://www.fabsurplus.com/sdi_catalog/salesItemDetails.do?id=110345")</f>
        <v>https://www.fabsurplus.com/sdi_catalog/salesItemDetails.do?id=110345</v>
      </c>
      <c r="B3008" s="2" t="s">
        <v>8566</v>
      </c>
      <c r="C3008" s="2" t="s">
        <v>8558</v>
      </c>
      <c r="D3008" s="2" t="s">
        <v>8562</v>
      </c>
      <c r="E3008" s="2" t="s">
        <v>763</v>
      </c>
      <c r="F3008" s="2" t="s">
        <v>16</v>
      </c>
      <c r="G3008" s="2" t="s">
        <v>165</v>
      </c>
      <c r="H3008" s="2"/>
      <c r="I3008" s="2"/>
      <c r="J3008" s="2" t="s">
        <v>42</v>
      </c>
      <c r="K3008" s="2"/>
      <c r="L3008" s="2" t="s">
        <v>8563</v>
      </c>
    </row>
    <row r="3009" customFormat="false" ht="15.65" hidden="false" customHeight="true" outlineLevel="0" collapsed="false">
      <c r="A3009" s="5" t="str">
        <f aca="false">HYPERLINK("https://www.fabsurplus.com/sdi_catalog/salesItemDetails.do?id=110346")</f>
        <v>https://www.fabsurplus.com/sdi_catalog/salesItemDetails.do?id=110346</v>
      </c>
      <c r="B3009" s="5" t="s">
        <v>8567</v>
      </c>
      <c r="C3009" s="5" t="s">
        <v>8558</v>
      </c>
      <c r="D3009" s="5" t="s">
        <v>8568</v>
      </c>
      <c r="E3009" s="5" t="s">
        <v>763</v>
      </c>
      <c r="F3009" s="5" t="s">
        <v>16</v>
      </c>
      <c r="G3009" s="5" t="s">
        <v>165</v>
      </c>
      <c r="H3009" s="5"/>
      <c r="I3009" s="5"/>
      <c r="J3009" s="5" t="s">
        <v>42</v>
      </c>
      <c r="K3009" s="5"/>
      <c r="L3009" s="5" t="s">
        <v>686</v>
      </c>
    </row>
    <row r="3010" customFormat="false" ht="15.65" hidden="false" customHeight="true" outlineLevel="0" collapsed="false">
      <c r="A3010" s="2" t="str">
        <f aca="false">HYPERLINK("https://www.fabsurplus.com/sdi_catalog/salesItemDetails.do?id=108849")</f>
        <v>https://www.fabsurplus.com/sdi_catalog/salesItemDetails.do?id=108849</v>
      </c>
      <c r="B3010" s="2" t="s">
        <v>8569</v>
      </c>
      <c r="C3010" s="2" t="s">
        <v>8558</v>
      </c>
      <c r="D3010" s="2" t="s">
        <v>8570</v>
      </c>
      <c r="E3010" s="2" t="s">
        <v>8571</v>
      </c>
      <c r="F3010" s="2" t="s">
        <v>16</v>
      </c>
      <c r="G3010" s="2" t="s">
        <v>165</v>
      </c>
      <c r="H3010" s="2"/>
      <c r="I3010" s="2"/>
      <c r="J3010" s="2" t="s">
        <v>42</v>
      </c>
      <c r="K3010" s="2"/>
      <c r="L3010" s="2" t="s">
        <v>131</v>
      </c>
    </row>
    <row r="3011" customFormat="false" ht="15.65" hidden="false" customHeight="true" outlineLevel="0" collapsed="false">
      <c r="A3011" s="5" t="str">
        <f aca="false">HYPERLINK("https://www.fabsurplus.com/sdi_catalog/salesItemDetails.do?id=87366")</f>
        <v>https://www.fabsurplus.com/sdi_catalog/salesItemDetails.do?id=87366</v>
      </c>
      <c r="B3011" s="5" t="s">
        <v>8572</v>
      </c>
      <c r="C3011" s="5" t="s">
        <v>8558</v>
      </c>
      <c r="D3011" s="5" t="s">
        <v>8573</v>
      </c>
      <c r="E3011" s="5" t="s">
        <v>8574</v>
      </c>
      <c r="F3011" s="5" t="s">
        <v>16</v>
      </c>
      <c r="G3011" s="5"/>
      <c r="H3011" s="5" t="s">
        <v>18</v>
      </c>
      <c r="I3011" s="5"/>
      <c r="J3011" s="5" t="s">
        <v>19</v>
      </c>
      <c r="K3011" s="5" t="s">
        <v>20</v>
      </c>
      <c r="L3011" s="5" t="s">
        <v>8575</v>
      </c>
    </row>
    <row r="3012" customFormat="false" ht="15.65" hidden="false" customHeight="true" outlineLevel="0" collapsed="false">
      <c r="A3012" s="2" t="str">
        <f aca="false">HYPERLINK("https://www.fabsurplus.com/sdi_catalog/salesItemDetails.do?id=77940")</f>
        <v>https://www.fabsurplus.com/sdi_catalog/salesItemDetails.do?id=77940</v>
      </c>
      <c r="B3012" s="2" t="s">
        <v>8576</v>
      </c>
      <c r="C3012" s="2" t="s">
        <v>8558</v>
      </c>
      <c r="D3012" s="2" t="s">
        <v>8577</v>
      </c>
      <c r="E3012" s="2" t="s">
        <v>8578</v>
      </c>
      <c r="F3012" s="2" t="s">
        <v>16</v>
      </c>
      <c r="G3012" s="2" t="s">
        <v>104</v>
      </c>
      <c r="H3012" s="2" t="s">
        <v>1395</v>
      </c>
      <c r="I3012" s="2"/>
      <c r="J3012" s="2" t="s">
        <v>19</v>
      </c>
      <c r="K3012" s="2" t="s">
        <v>20</v>
      </c>
      <c r="L3012" s="4" t="s">
        <v>8579</v>
      </c>
    </row>
    <row r="3013" customFormat="false" ht="15.65" hidden="false" customHeight="true" outlineLevel="0" collapsed="false">
      <c r="A3013" s="5" t="str">
        <f aca="false">HYPERLINK("https://www.fabsurplus.com/sdi_catalog/salesItemDetails.do?id=109448")</f>
        <v>https://www.fabsurplus.com/sdi_catalog/salesItemDetails.do?id=109448</v>
      </c>
      <c r="B3013" s="5" t="s">
        <v>8580</v>
      </c>
      <c r="C3013" s="5" t="s">
        <v>8558</v>
      </c>
      <c r="D3013" s="5" t="s">
        <v>8581</v>
      </c>
      <c r="E3013" s="5" t="s">
        <v>8582</v>
      </c>
      <c r="F3013" s="5" t="s">
        <v>151</v>
      </c>
      <c r="G3013" s="5" t="s">
        <v>104</v>
      </c>
      <c r="H3013" s="5"/>
      <c r="I3013" s="5"/>
      <c r="J3013" s="5" t="s">
        <v>19</v>
      </c>
      <c r="K3013" s="5"/>
      <c r="L3013" s="5" t="s">
        <v>8583</v>
      </c>
    </row>
    <row r="3014" customFormat="false" ht="15.65" hidden="false" customHeight="true" outlineLevel="0" collapsed="false">
      <c r="A3014" s="2" t="str">
        <f aca="false">HYPERLINK("https://www.fabsurplus.com/sdi_catalog/salesItemDetails.do?id=109449")</f>
        <v>https://www.fabsurplus.com/sdi_catalog/salesItemDetails.do?id=109449</v>
      </c>
      <c r="B3014" s="2" t="s">
        <v>8584</v>
      </c>
      <c r="C3014" s="2" t="s">
        <v>8558</v>
      </c>
      <c r="D3014" s="2" t="s">
        <v>8585</v>
      </c>
      <c r="E3014" s="2" t="s">
        <v>8582</v>
      </c>
      <c r="F3014" s="2" t="s">
        <v>16</v>
      </c>
      <c r="G3014" s="2" t="s">
        <v>104</v>
      </c>
      <c r="H3014" s="2"/>
      <c r="I3014" s="2"/>
      <c r="J3014" s="2" t="s">
        <v>19</v>
      </c>
      <c r="K3014" s="2"/>
      <c r="L3014" s="2" t="s">
        <v>8586</v>
      </c>
    </row>
    <row r="3015" customFormat="false" ht="15.65" hidden="false" customHeight="true" outlineLevel="0" collapsed="false">
      <c r="A3015" s="5" t="str">
        <f aca="false">HYPERLINK("https://www.fabsurplus.com/sdi_catalog/salesItemDetails.do?id=109450")</f>
        <v>https://www.fabsurplus.com/sdi_catalog/salesItemDetails.do?id=109450</v>
      </c>
      <c r="B3015" s="5" t="s">
        <v>8587</v>
      </c>
      <c r="C3015" s="5" t="s">
        <v>8558</v>
      </c>
      <c r="D3015" s="5" t="s">
        <v>8588</v>
      </c>
      <c r="E3015" s="5" t="s">
        <v>8582</v>
      </c>
      <c r="F3015" s="5" t="s">
        <v>16</v>
      </c>
      <c r="G3015" s="5" t="s">
        <v>104</v>
      </c>
      <c r="H3015" s="5"/>
      <c r="I3015" s="5"/>
      <c r="J3015" s="5" t="s">
        <v>19</v>
      </c>
      <c r="K3015" s="5"/>
      <c r="L3015" s="5"/>
    </row>
    <row r="3016" customFormat="false" ht="15.65" hidden="false" customHeight="true" outlineLevel="0" collapsed="false">
      <c r="A3016" s="2" t="str">
        <f aca="false">HYPERLINK("https://www.fabsurplus.com/sdi_catalog/salesItemDetails.do?id=109451")</f>
        <v>https://www.fabsurplus.com/sdi_catalog/salesItemDetails.do?id=109451</v>
      </c>
      <c r="B3016" s="2" t="s">
        <v>8589</v>
      </c>
      <c r="C3016" s="2" t="s">
        <v>8558</v>
      </c>
      <c r="D3016" s="2" t="s">
        <v>8590</v>
      </c>
      <c r="E3016" s="2" t="s">
        <v>8582</v>
      </c>
      <c r="F3016" s="2" t="s">
        <v>108</v>
      </c>
      <c r="G3016" s="2" t="s">
        <v>104</v>
      </c>
      <c r="H3016" s="2"/>
      <c r="I3016" s="2"/>
      <c r="J3016" s="2" t="s">
        <v>19</v>
      </c>
      <c r="K3016" s="2"/>
      <c r="L3016" s="2"/>
    </row>
    <row r="3017" customFormat="false" ht="15.65" hidden="false" customHeight="true" outlineLevel="0" collapsed="false">
      <c r="A3017" s="5" t="str">
        <f aca="false">HYPERLINK("https://www.fabsurplus.com/sdi_catalog/salesItemDetails.do?id=109452")</f>
        <v>https://www.fabsurplus.com/sdi_catalog/salesItemDetails.do?id=109452</v>
      </c>
      <c r="B3017" s="5" t="s">
        <v>8591</v>
      </c>
      <c r="C3017" s="5" t="s">
        <v>8558</v>
      </c>
      <c r="D3017" s="5" t="s">
        <v>8592</v>
      </c>
      <c r="E3017" s="5" t="s">
        <v>8582</v>
      </c>
      <c r="F3017" s="5" t="s">
        <v>16</v>
      </c>
      <c r="G3017" s="5" t="s">
        <v>104</v>
      </c>
      <c r="H3017" s="5"/>
      <c r="I3017" s="5"/>
      <c r="J3017" s="5" t="s">
        <v>19</v>
      </c>
      <c r="K3017" s="5"/>
      <c r="L3017" s="5"/>
    </row>
    <row r="3018" customFormat="false" ht="15.65" hidden="false" customHeight="true" outlineLevel="0" collapsed="false">
      <c r="A3018" s="2" t="str">
        <f aca="false">HYPERLINK("https://www.fabsurplus.com/sdi_catalog/salesItemDetails.do?id=109453")</f>
        <v>https://www.fabsurplus.com/sdi_catalog/salesItemDetails.do?id=109453</v>
      </c>
      <c r="B3018" s="2" t="s">
        <v>8593</v>
      </c>
      <c r="C3018" s="2" t="s">
        <v>8558</v>
      </c>
      <c r="D3018" s="2" t="s">
        <v>8594</v>
      </c>
      <c r="E3018" s="2" t="s">
        <v>8582</v>
      </c>
      <c r="F3018" s="2" t="s">
        <v>151</v>
      </c>
      <c r="G3018" s="2" t="s">
        <v>104</v>
      </c>
      <c r="H3018" s="2"/>
      <c r="I3018" s="2"/>
      <c r="J3018" s="2" t="s">
        <v>19</v>
      </c>
      <c r="K3018" s="2"/>
      <c r="L3018" s="2"/>
    </row>
    <row r="3019" customFormat="false" ht="15.65" hidden="false" customHeight="true" outlineLevel="0" collapsed="false">
      <c r="A3019" s="5" t="str">
        <f aca="false">HYPERLINK("https://www.fabsurplus.com/sdi_catalog/salesItemDetails.do?id=109454")</f>
        <v>https://www.fabsurplus.com/sdi_catalog/salesItemDetails.do?id=109454</v>
      </c>
      <c r="B3019" s="5" t="s">
        <v>8595</v>
      </c>
      <c r="C3019" s="5" t="s">
        <v>8558</v>
      </c>
      <c r="D3019" s="5" t="s">
        <v>8596</v>
      </c>
      <c r="E3019" s="5" t="s">
        <v>8582</v>
      </c>
      <c r="F3019" s="5" t="s">
        <v>16</v>
      </c>
      <c r="G3019" s="5" t="s">
        <v>104</v>
      </c>
      <c r="H3019" s="5"/>
      <c r="I3019" s="5"/>
      <c r="J3019" s="5" t="s">
        <v>19</v>
      </c>
      <c r="K3019" s="5"/>
      <c r="L3019" s="5"/>
    </row>
    <row r="3020" customFormat="false" ht="15.65" hidden="false" customHeight="true" outlineLevel="0" collapsed="false">
      <c r="A3020" s="2" t="str">
        <f aca="false">HYPERLINK("https://www.fabsurplus.com/sdi_catalog/salesItemDetails.do?id=109455")</f>
        <v>https://www.fabsurplus.com/sdi_catalog/salesItemDetails.do?id=109455</v>
      </c>
      <c r="B3020" s="2" t="s">
        <v>8597</v>
      </c>
      <c r="C3020" s="2" t="s">
        <v>8558</v>
      </c>
      <c r="D3020" s="2" t="s">
        <v>8598</v>
      </c>
      <c r="E3020" s="2" t="s">
        <v>8582</v>
      </c>
      <c r="F3020" s="2" t="s">
        <v>145</v>
      </c>
      <c r="G3020" s="2" t="s">
        <v>104</v>
      </c>
      <c r="H3020" s="2"/>
      <c r="I3020" s="2"/>
      <c r="J3020" s="2" t="s">
        <v>19</v>
      </c>
      <c r="K3020" s="2"/>
      <c r="L3020" s="2"/>
    </row>
    <row r="3021" customFormat="false" ht="15.65" hidden="false" customHeight="true" outlineLevel="0" collapsed="false">
      <c r="A3021" s="5" t="str">
        <f aca="false">HYPERLINK("https://www.fabsurplus.com/sdi_catalog/salesItemDetails.do?id=109456")</f>
        <v>https://www.fabsurplus.com/sdi_catalog/salesItemDetails.do?id=109456</v>
      </c>
      <c r="B3021" s="5" t="s">
        <v>8599</v>
      </c>
      <c r="C3021" s="5" t="s">
        <v>8558</v>
      </c>
      <c r="D3021" s="5" t="s">
        <v>8600</v>
      </c>
      <c r="E3021" s="5" t="s">
        <v>8582</v>
      </c>
      <c r="F3021" s="5" t="s">
        <v>151</v>
      </c>
      <c r="G3021" s="5" t="s">
        <v>104</v>
      </c>
      <c r="H3021" s="5"/>
      <c r="I3021" s="5"/>
      <c r="J3021" s="5" t="s">
        <v>19</v>
      </c>
      <c r="K3021" s="5"/>
      <c r="L3021" s="5" t="s">
        <v>8601</v>
      </c>
    </row>
    <row r="3022" customFormat="false" ht="15.65" hidden="false" customHeight="true" outlineLevel="0" collapsed="false">
      <c r="A3022" s="2" t="str">
        <f aca="false">HYPERLINK("https://www.fabsurplus.com/sdi_catalog/salesItemDetails.do?id=109457")</f>
        <v>https://www.fabsurplus.com/sdi_catalog/salesItemDetails.do?id=109457</v>
      </c>
      <c r="B3022" s="2" t="s">
        <v>8602</v>
      </c>
      <c r="C3022" s="2" t="s">
        <v>8558</v>
      </c>
      <c r="D3022" s="2" t="s">
        <v>8603</v>
      </c>
      <c r="E3022" s="2" t="s">
        <v>8582</v>
      </c>
      <c r="F3022" s="2" t="s">
        <v>16</v>
      </c>
      <c r="G3022" s="2" t="s">
        <v>104</v>
      </c>
      <c r="H3022" s="2"/>
      <c r="I3022" s="2"/>
      <c r="J3022" s="2" t="s">
        <v>19</v>
      </c>
      <c r="K3022" s="2"/>
      <c r="L3022" s="2"/>
    </row>
    <row r="3023" customFormat="false" ht="15.65" hidden="false" customHeight="true" outlineLevel="0" collapsed="false">
      <c r="A3023" s="5" t="str">
        <f aca="false">HYPERLINK("https://www.fabsurplus.com/sdi_catalog/salesItemDetails.do?id=109458")</f>
        <v>https://www.fabsurplus.com/sdi_catalog/salesItemDetails.do?id=109458</v>
      </c>
      <c r="B3023" s="5" t="s">
        <v>8604</v>
      </c>
      <c r="C3023" s="5" t="s">
        <v>8558</v>
      </c>
      <c r="D3023" s="5" t="s">
        <v>8605</v>
      </c>
      <c r="E3023" s="5" t="s">
        <v>103</v>
      </c>
      <c r="F3023" s="5" t="s">
        <v>16</v>
      </c>
      <c r="G3023" s="5" t="s">
        <v>104</v>
      </c>
      <c r="H3023" s="5"/>
      <c r="I3023" s="5"/>
      <c r="J3023" s="5" t="s">
        <v>19</v>
      </c>
      <c r="K3023" s="5"/>
      <c r="L3023" s="5" t="s">
        <v>8606</v>
      </c>
    </row>
    <row r="3024" customFormat="false" ht="15.65" hidden="false" customHeight="true" outlineLevel="0" collapsed="false">
      <c r="A3024" s="2" t="str">
        <f aca="false">HYPERLINK("https://www.fabsurplus.com/sdi_catalog/salesItemDetails.do?id=109459")</f>
        <v>https://www.fabsurplus.com/sdi_catalog/salesItemDetails.do?id=109459</v>
      </c>
      <c r="B3024" s="2" t="s">
        <v>8607</v>
      </c>
      <c r="C3024" s="2" t="s">
        <v>8558</v>
      </c>
      <c r="D3024" s="2" t="s">
        <v>8608</v>
      </c>
      <c r="E3024" s="2" t="s">
        <v>103</v>
      </c>
      <c r="F3024" s="2" t="s">
        <v>16</v>
      </c>
      <c r="G3024" s="2" t="s">
        <v>104</v>
      </c>
      <c r="H3024" s="2"/>
      <c r="I3024" s="2"/>
      <c r="J3024" s="2" t="s">
        <v>19</v>
      </c>
      <c r="K3024" s="2"/>
      <c r="L3024" s="2" t="s">
        <v>8609</v>
      </c>
    </row>
    <row r="3025" customFormat="false" ht="15.65" hidden="false" customHeight="true" outlineLevel="0" collapsed="false">
      <c r="A3025" s="5" t="str">
        <f aca="false">HYPERLINK("https://www.fabsurplus.com/sdi_catalog/salesItemDetails.do?id=109460")</f>
        <v>https://www.fabsurplus.com/sdi_catalog/salesItemDetails.do?id=109460</v>
      </c>
      <c r="B3025" s="5" t="s">
        <v>8610</v>
      </c>
      <c r="C3025" s="5" t="s">
        <v>8558</v>
      </c>
      <c r="D3025" s="5" t="s">
        <v>8608</v>
      </c>
      <c r="E3025" s="5" t="s">
        <v>103</v>
      </c>
      <c r="F3025" s="5" t="s">
        <v>16</v>
      </c>
      <c r="G3025" s="5" t="s">
        <v>104</v>
      </c>
      <c r="H3025" s="5"/>
      <c r="I3025" s="5"/>
      <c r="J3025" s="5" t="s">
        <v>19</v>
      </c>
      <c r="K3025" s="5"/>
      <c r="L3025" s="5" t="s">
        <v>8611</v>
      </c>
    </row>
    <row r="3026" customFormat="false" ht="15.65" hidden="false" customHeight="true" outlineLevel="0" collapsed="false">
      <c r="A3026" s="2" t="str">
        <f aca="false">HYPERLINK("https://www.fabsurplus.com/sdi_catalog/salesItemDetails.do?id=109461")</f>
        <v>https://www.fabsurplus.com/sdi_catalog/salesItemDetails.do?id=109461</v>
      </c>
      <c r="B3026" s="2" t="s">
        <v>8612</v>
      </c>
      <c r="C3026" s="2" t="s">
        <v>8558</v>
      </c>
      <c r="D3026" s="2" t="s">
        <v>8613</v>
      </c>
      <c r="E3026" s="2" t="s">
        <v>103</v>
      </c>
      <c r="F3026" s="2" t="s">
        <v>86</v>
      </c>
      <c r="G3026" s="2" t="s">
        <v>104</v>
      </c>
      <c r="H3026" s="2"/>
      <c r="I3026" s="2"/>
      <c r="J3026" s="2" t="s">
        <v>19</v>
      </c>
      <c r="K3026" s="2"/>
      <c r="L3026" s="2"/>
    </row>
    <row r="3027" customFormat="false" ht="15.65" hidden="false" customHeight="true" outlineLevel="0" collapsed="false">
      <c r="A3027" s="5" t="str">
        <f aca="false">HYPERLINK("https://www.fabsurplus.com/sdi_catalog/salesItemDetails.do?id=109462")</f>
        <v>https://www.fabsurplus.com/sdi_catalog/salesItemDetails.do?id=109462</v>
      </c>
      <c r="B3027" s="5" t="s">
        <v>8614</v>
      </c>
      <c r="C3027" s="5" t="s">
        <v>8558</v>
      </c>
      <c r="D3027" s="5" t="s">
        <v>5052</v>
      </c>
      <c r="E3027" s="5" t="s">
        <v>103</v>
      </c>
      <c r="F3027" s="5" t="s">
        <v>16</v>
      </c>
      <c r="G3027" s="5" t="s">
        <v>104</v>
      </c>
      <c r="H3027" s="5"/>
      <c r="I3027" s="5"/>
      <c r="J3027" s="5" t="s">
        <v>19</v>
      </c>
      <c r="K3027" s="5"/>
      <c r="L3027" s="5" t="s">
        <v>8615</v>
      </c>
    </row>
    <row r="3028" customFormat="false" ht="15.65" hidden="false" customHeight="true" outlineLevel="0" collapsed="false">
      <c r="A3028" s="2" t="str">
        <f aca="false">HYPERLINK("https://www.fabsurplus.com/sdi_catalog/salesItemDetails.do?id=109463")</f>
        <v>https://www.fabsurplus.com/sdi_catalog/salesItemDetails.do?id=109463</v>
      </c>
      <c r="B3028" s="2" t="s">
        <v>8616</v>
      </c>
      <c r="C3028" s="2" t="s">
        <v>8558</v>
      </c>
      <c r="D3028" s="2" t="s">
        <v>5052</v>
      </c>
      <c r="E3028" s="2" t="s">
        <v>103</v>
      </c>
      <c r="F3028" s="2" t="s">
        <v>16</v>
      </c>
      <c r="G3028" s="2" t="s">
        <v>104</v>
      </c>
      <c r="H3028" s="2"/>
      <c r="I3028" s="2"/>
      <c r="J3028" s="2" t="s">
        <v>19</v>
      </c>
      <c r="K3028" s="2"/>
      <c r="L3028" s="2" t="s">
        <v>8617</v>
      </c>
    </row>
    <row r="3029" customFormat="false" ht="15.65" hidden="false" customHeight="true" outlineLevel="0" collapsed="false">
      <c r="A3029" s="5" t="str">
        <f aca="false">HYPERLINK("https://www.fabsurplus.com/sdi_catalog/salesItemDetails.do?id=109464")</f>
        <v>https://www.fabsurplus.com/sdi_catalog/salesItemDetails.do?id=109464</v>
      </c>
      <c r="B3029" s="5" t="s">
        <v>8618</v>
      </c>
      <c r="C3029" s="5" t="s">
        <v>8558</v>
      </c>
      <c r="D3029" s="5" t="s">
        <v>5052</v>
      </c>
      <c r="E3029" s="5" t="s">
        <v>103</v>
      </c>
      <c r="F3029" s="5" t="s">
        <v>151</v>
      </c>
      <c r="G3029" s="5" t="s">
        <v>104</v>
      </c>
      <c r="H3029" s="5"/>
      <c r="I3029" s="5"/>
      <c r="J3029" s="5" t="s">
        <v>19</v>
      </c>
      <c r="K3029" s="5"/>
      <c r="L3029" s="5" t="s">
        <v>8619</v>
      </c>
    </row>
    <row r="3030" customFormat="false" ht="15.65" hidden="false" customHeight="true" outlineLevel="0" collapsed="false">
      <c r="A3030" s="2" t="str">
        <f aca="false">HYPERLINK("https://www.fabsurplus.com/sdi_catalog/salesItemDetails.do?id=109465")</f>
        <v>https://www.fabsurplus.com/sdi_catalog/salesItemDetails.do?id=109465</v>
      </c>
      <c r="B3030" s="2" t="s">
        <v>8620</v>
      </c>
      <c r="C3030" s="2" t="s">
        <v>8558</v>
      </c>
      <c r="D3030" s="2" t="s">
        <v>5052</v>
      </c>
      <c r="E3030" s="2" t="s">
        <v>103</v>
      </c>
      <c r="F3030" s="2" t="s">
        <v>236</v>
      </c>
      <c r="G3030" s="2" t="s">
        <v>104</v>
      </c>
      <c r="H3030" s="2"/>
      <c r="I3030" s="2"/>
      <c r="J3030" s="2" t="s">
        <v>19</v>
      </c>
      <c r="K3030" s="2"/>
      <c r="L3030" s="2" t="s">
        <v>8621</v>
      </c>
    </row>
    <row r="3031" customFormat="false" ht="15.65" hidden="false" customHeight="true" outlineLevel="0" collapsed="false">
      <c r="A3031" s="5" t="str">
        <f aca="false">HYPERLINK("https://www.fabsurplus.com/sdi_catalog/salesItemDetails.do?id=109466")</f>
        <v>https://www.fabsurplus.com/sdi_catalog/salesItemDetails.do?id=109466</v>
      </c>
      <c r="B3031" s="5" t="s">
        <v>8622</v>
      </c>
      <c r="C3031" s="5" t="s">
        <v>8558</v>
      </c>
      <c r="D3031" s="5" t="s">
        <v>5052</v>
      </c>
      <c r="E3031" s="5" t="s">
        <v>103</v>
      </c>
      <c r="F3031" s="5" t="s">
        <v>16</v>
      </c>
      <c r="G3031" s="5" t="s">
        <v>104</v>
      </c>
      <c r="H3031" s="5"/>
      <c r="I3031" s="5"/>
      <c r="J3031" s="5" t="s">
        <v>19</v>
      </c>
      <c r="K3031" s="5"/>
      <c r="L3031" s="5" t="s">
        <v>8623</v>
      </c>
    </row>
    <row r="3032" customFormat="false" ht="15.65" hidden="false" customHeight="true" outlineLevel="0" collapsed="false">
      <c r="A3032" s="2" t="str">
        <f aca="false">HYPERLINK("https://www.fabsurplus.com/sdi_catalog/salesItemDetails.do?id=109467")</f>
        <v>https://www.fabsurplus.com/sdi_catalog/salesItemDetails.do?id=109467</v>
      </c>
      <c r="B3032" s="2" t="s">
        <v>8624</v>
      </c>
      <c r="C3032" s="2" t="s">
        <v>8558</v>
      </c>
      <c r="D3032" s="2" t="s">
        <v>5052</v>
      </c>
      <c r="E3032" s="2" t="s">
        <v>103</v>
      </c>
      <c r="F3032" s="2" t="s">
        <v>16</v>
      </c>
      <c r="G3032" s="2" t="s">
        <v>104</v>
      </c>
      <c r="H3032" s="2"/>
      <c r="I3032" s="2"/>
      <c r="J3032" s="2" t="s">
        <v>19</v>
      </c>
      <c r="K3032" s="2"/>
      <c r="L3032" s="2" t="s">
        <v>8625</v>
      </c>
    </row>
    <row r="3033" customFormat="false" ht="15.65" hidden="false" customHeight="true" outlineLevel="0" collapsed="false">
      <c r="A3033" s="5" t="str">
        <f aca="false">HYPERLINK("https://www.fabsurplus.com/sdi_catalog/salesItemDetails.do?id=109468")</f>
        <v>https://www.fabsurplus.com/sdi_catalog/salesItemDetails.do?id=109468</v>
      </c>
      <c r="B3033" s="5" t="s">
        <v>8626</v>
      </c>
      <c r="C3033" s="5" t="s">
        <v>8558</v>
      </c>
      <c r="D3033" s="5" t="s">
        <v>5052</v>
      </c>
      <c r="E3033" s="5" t="s">
        <v>103</v>
      </c>
      <c r="F3033" s="5" t="s">
        <v>151</v>
      </c>
      <c r="G3033" s="5" t="s">
        <v>104</v>
      </c>
      <c r="H3033" s="5"/>
      <c r="I3033" s="5"/>
      <c r="J3033" s="5" t="s">
        <v>19</v>
      </c>
      <c r="K3033" s="5"/>
      <c r="L3033" s="5" t="s">
        <v>8627</v>
      </c>
    </row>
    <row r="3034" customFormat="false" ht="15.65" hidden="false" customHeight="true" outlineLevel="0" collapsed="false">
      <c r="A3034" s="2" t="str">
        <f aca="false">HYPERLINK("https://www.fabsurplus.com/sdi_catalog/salesItemDetails.do?id=109469")</f>
        <v>https://www.fabsurplus.com/sdi_catalog/salesItemDetails.do?id=109469</v>
      </c>
      <c r="B3034" s="2" t="s">
        <v>8628</v>
      </c>
      <c r="C3034" s="2" t="s">
        <v>8558</v>
      </c>
      <c r="D3034" s="2" t="s">
        <v>8629</v>
      </c>
      <c r="E3034" s="2" t="s">
        <v>103</v>
      </c>
      <c r="F3034" s="2" t="s">
        <v>108</v>
      </c>
      <c r="G3034" s="2" t="s">
        <v>104</v>
      </c>
      <c r="H3034" s="2"/>
      <c r="I3034" s="2"/>
      <c r="J3034" s="2" t="s">
        <v>19</v>
      </c>
      <c r="K3034" s="2"/>
      <c r="L3034" s="2" t="s">
        <v>8630</v>
      </c>
    </row>
    <row r="3035" customFormat="false" ht="15.65" hidden="false" customHeight="true" outlineLevel="0" collapsed="false">
      <c r="A3035" s="5" t="str">
        <f aca="false">HYPERLINK("https://www.fabsurplus.com/sdi_catalog/salesItemDetails.do?id=109470")</f>
        <v>https://www.fabsurplus.com/sdi_catalog/salesItemDetails.do?id=109470</v>
      </c>
      <c r="B3035" s="5" t="s">
        <v>8631</v>
      </c>
      <c r="C3035" s="5" t="s">
        <v>8558</v>
      </c>
      <c r="D3035" s="5" t="s">
        <v>8632</v>
      </c>
      <c r="E3035" s="5" t="s">
        <v>103</v>
      </c>
      <c r="F3035" s="5" t="s">
        <v>16</v>
      </c>
      <c r="G3035" s="5" t="s">
        <v>104</v>
      </c>
      <c r="H3035" s="5"/>
      <c r="I3035" s="5"/>
      <c r="J3035" s="5" t="s">
        <v>19</v>
      </c>
      <c r="K3035" s="5"/>
      <c r="L3035" s="5"/>
    </row>
    <row r="3036" customFormat="false" ht="15.65" hidden="false" customHeight="true" outlineLevel="0" collapsed="false">
      <c r="A3036" s="2" t="str">
        <f aca="false">HYPERLINK("https://www.fabsurplus.com/sdi_catalog/salesItemDetails.do?id=109471")</f>
        <v>https://www.fabsurplus.com/sdi_catalog/salesItemDetails.do?id=109471</v>
      </c>
      <c r="B3036" s="2" t="s">
        <v>8633</v>
      </c>
      <c r="C3036" s="2" t="s">
        <v>8558</v>
      </c>
      <c r="D3036" s="2" t="s">
        <v>8634</v>
      </c>
      <c r="E3036" s="2" t="s">
        <v>103</v>
      </c>
      <c r="F3036" s="2" t="s">
        <v>151</v>
      </c>
      <c r="G3036" s="2" t="s">
        <v>104</v>
      </c>
      <c r="H3036" s="2"/>
      <c r="I3036" s="2"/>
      <c r="J3036" s="2" t="s">
        <v>19</v>
      </c>
      <c r="K3036" s="2"/>
      <c r="L3036" s="2"/>
    </row>
    <row r="3037" customFormat="false" ht="15.65" hidden="false" customHeight="true" outlineLevel="0" collapsed="false">
      <c r="A3037" s="5" t="str">
        <f aca="false">HYPERLINK("https://www.fabsurplus.com/sdi_catalog/salesItemDetails.do?id=109472")</f>
        <v>https://www.fabsurplus.com/sdi_catalog/salesItemDetails.do?id=109472</v>
      </c>
      <c r="B3037" s="5" t="s">
        <v>8635</v>
      </c>
      <c r="C3037" s="5" t="s">
        <v>8558</v>
      </c>
      <c r="D3037" s="5" t="s">
        <v>8634</v>
      </c>
      <c r="E3037" s="5" t="s">
        <v>103</v>
      </c>
      <c r="F3037" s="5" t="s">
        <v>16</v>
      </c>
      <c r="G3037" s="5" t="s">
        <v>104</v>
      </c>
      <c r="H3037" s="5"/>
      <c r="I3037" s="5"/>
      <c r="J3037" s="5" t="s">
        <v>19</v>
      </c>
      <c r="K3037" s="5"/>
      <c r="L3037" s="5"/>
    </row>
    <row r="3038" customFormat="false" ht="15.65" hidden="false" customHeight="true" outlineLevel="0" collapsed="false">
      <c r="A3038" s="2" t="str">
        <f aca="false">HYPERLINK("https://www.fabsurplus.com/sdi_catalog/salesItemDetails.do?id=109473")</f>
        <v>https://www.fabsurplus.com/sdi_catalog/salesItemDetails.do?id=109473</v>
      </c>
      <c r="B3038" s="2" t="s">
        <v>8636</v>
      </c>
      <c r="C3038" s="2" t="s">
        <v>8558</v>
      </c>
      <c r="D3038" s="2" t="s">
        <v>8637</v>
      </c>
      <c r="E3038" s="2" t="s">
        <v>103</v>
      </c>
      <c r="F3038" s="2" t="s">
        <v>236</v>
      </c>
      <c r="G3038" s="2" t="s">
        <v>104</v>
      </c>
      <c r="H3038" s="2"/>
      <c r="I3038" s="2"/>
      <c r="J3038" s="2" t="s">
        <v>19</v>
      </c>
      <c r="K3038" s="2"/>
      <c r="L3038" s="2"/>
    </row>
    <row r="3039" customFormat="false" ht="15.65" hidden="false" customHeight="true" outlineLevel="0" collapsed="false">
      <c r="A3039" s="5" t="str">
        <f aca="false">HYPERLINK("https://www.fabsurplus.com/sdi_catalog/salesItemDetails.do?id=109474")</f>
        <v>https://www.fabsurplus.com/sdi_catalog/salesItemDetails.do?id=109474</v>
      </c>
      <c r="B3039" s="5" t="s">
        <v>8638</v>
      </c>
      <c r="C3039" s="5" t="s">
        <v>8558</v>
      </c>
      <c r="D3039" s="5" t="s">
        <v>8639</v>
      </c>
      <c r="E3039" s="5" t="s">
        <v>103</v>
      </c>
      <c r="F3039" s="5" t="s">
        <v>16</v>
      </c>
      <c r="G3039" s="5" t="s">
        <v>104</v>
      </c>
      <c r="H3039" s="5"/>
      <c r="I3039" s="5"/>
      <c r="J3039" s="5" t="s">
        <v>19</v>
      </c>
      <c r="K3039" s="5"/>
      <c r="L3039" s="5"/>
    </row>
    <row r="3040" customFormat="false" ht="15.65" hidden="false" customHeight="true" outlineLevel="0" collapsed="false">
      <c r="A3040" s="2" t="str">
        <f aca="false">HYPERLINK("https://www.fabsurplus.com/sdi_catalog/salesItemDetails.do?id=109475")</f>
        <v>https://www.fabsurplus.com/sdi_catalog/salesItemDetails.do?id=109475</v>
      </c>
      <c r="B3040" s="2" t="s">
        <v>8640</v>
      </c>
      <c r="C3040" s="2" t="s">
        <v>8558</v>
      </c>
      <c r="D3040" s="2" t="s">
        <v>8641</v>
      </c>
      <c r="E3040" s="2" t="s">
        <v>103</v>
      </c>
      <c r="F3040" s="2" t="s">
        <v>16</v>
      </c>
      <c r="G3040" s="2" t="s">
        <v>104</v>
      </c>
      <c r="H3040" s="2"/>
      <c r="I3040" s="2"/>
      <c r="J3040" s="2" t="s">
        <v>19</v>
      </c>
      <c r="K3040" s="2"/>
      <c r="L3040" s="2"/>
    </row>
    <row r="3041" customFormat="false" ht="15.65" hidden="false" customHeight="true" outlineLevel="0" collapsed="false">
      <c r="A3041" s="5" t="str">
        <f aca="false">HYPERLINK("https://www.fabsurplus.com/sdi_catalog/salesItemDetails.do?id=109476")</f>
        <v>https://www.fabsurplus.com/sdi_catalog/salesItemDetails.do?id=109476</v>
      </c>
      <c r="B3041" s="5" t="s">
        <v>8642</v>
      </c>
      <c r="C3041" s="5" t="s">
        <v>8558</v>
      </c>
      <c r="D3041" s="5" t="s">
        <v>8643</v>
      </c>
      <c r="E3041" s="5" t="s">
        <v>103</v>
      </c>
      <c r="F3041" s="5" t="s">
        <v>86</v>
      </c>
      <c r="G3041" s="5" t="s">
        <v>104</v>
      </c>
      <c r="H3041" s="5"/>
      <c r="I3041" s="5"/>
      <c r="J3041" s="5" t="s">
        <v>19</v>
      </c>
      <c r="K3041" s="5"/>
      <c r="L3041" s="5"/>
    </row>
    <row r="3042" customFormat="false" ht="15.65" hidden="false" customHeight="true" outlineLevel="0" collapsed="false">
      <c r="A3042" s="2" t="str">
        <f aca="false">HYPERLINK("https://www.fabsurplus.com/sdi_catalog/salesItemDetails.do?id=109477")</f>
        <v>https://www.fabsurplus.com/sdi_catalog/salesItemDetails.do?id=109477</v>
      </c>
      <c r="B3042" s="2" t="s">
        <v>8644</v>
      </c>
      <c r="C3042" s="2" t="s">
        <v>8558</v>
      </c>
      <c r="D3042" s="2" t="s">
        <v>8645</v>
      </c>
      <c r="E3042" s="2" t="s">
        <v>103</v>
      </c>
      <c r="F3042" s="2" t="s">
        <v>151</v>
      </c>
      <c r="G3042" s="2" t="s">
        <v>104</v>
      </c>
      <c r="H3042" s="2"/>
      <c r="I3042" s="2"/>
      <c r="J3042" s="2" t="s">
        <v>19</v>
      </c>
      <c r="K3042" s="2"/>
      <c r="L3042" s="2" t="s">
        <v>8646</v>
      </c>
    </row>
    <row r="3043" customFormat="false" ht="15.65" hidden="false" customHeight="true" outlineLevel="0" collapsed="false">
      <c r="A3043" s="5" t="str">
        <f aca="false">HYPERLINK("https://www.fabsurplus.com/sdi_catalog/salesItemDetails.do?id=109478")</f>
        <v>https://www.fabsurplus.com/sdi_catalog/salesItemDetails.do?id=109478</v>
      </c>
      <c r="B3043" s="5" t="s">
        <v>8647</v>
      </c>
      <c r="C3043" s="5" t="s">
        <v>8558</v>
      </c>
      <c r="D3043" s="5" t="s">
        <v>8648</v>
      </c>
      <c r="E3043" s="5" t="s">
        <v>103</v>
      </c>
      <c r="F3043" s="5" t="s">
        <v>151</v>
      </c>
      <c r="G3043" s="5" t="s">
        <v>104</v>
      </c>
      <c r="H3043" s="5"/>
      <c r="I3043" s="5"/>
      <c r="J3043" s="5" t="s">
        <v>19</v>
      </c>
      <c r="K3043" s="5"/>
      <c r="L3043" s="5" t="s">
        <v>8649</v>
      </c>
    </row>
    <row r="3044" customFormat="false" ht="15.65" hidden="false" customHeight="true" outlineLevel="0" collapsed="false">
      <c r="A3044" s="2" t="str">
        <f aca="false">HYPERLINK("https://www.fabsurplus.com/sdi_catalog/salesItemDetails.do?id=109479")</f>
        <v>https://www.fabsurplus.com/sdi_catalog/salesItemDetails.do?id=109479</v>
      </c>
      <c r="B3044" s="2" t="s">
        <v>8650</v>
      </c>
      <c r="C3044" s="2" t="s">
        <v>8558</v>
      </c>
      <c r="D3044" s="2" t="s">
        <v>8651</v>
      </c>
      <c r="E3044" s="2" t="s">
        <v>103</v>
      </c>
      <c r="F3044" s="2" t="s">
        <v>16</v>
      </c>
      <c r="G3044" s="2" t="s">
        <v>104</v>
      </c>
      <c r="H3044" s="2"/>
      <c r="I3044" s="2"/>
      <c r="J3044" s="2" t="s">
        <v>19</v>
      </c>
      <c r="K3044" s="2"/>
      <c r="L3044" s="2" t="s">
        <v>8652</v>
      </c>
    </row>
    <row r="3045" customFormat="false" ht="15.65" hidden="false" customHeight="true" outlineLevel="0" collapsed="false">
      <c r="A3045" s="5" t="str">
        <f aca="false">HYPERLINK("https://www.fabsurplus.com/sdi_catalog/salesItemDetails.do?id=109480")</f>
        <v>https://www.fabsurplus.com/sdi_catalog/salesItemDetails.do?id=109480</v>
      </c>
      <c r="B3045" s="5" t="s">
        <v>8653</v>
      </c>
      <c r="C3045" s="5" t="s">
        <v>8558</v>
      </c>
      <c r="D3045" s="5" t="s">
        <v>8654</v>
      </c>
      <c r="E3045" s="5" t="s">
        <v>103</v>
      </c>
      <c r="F3045" s="5" t="s">
        <v>16</v>
      </c>
      <c r="G3045" s="5" t="s">
        <v>104</v>
      </c>
      <c r="H3045" s="5"/>
      <c r="I3045" s="5"/>
      <c r="J3045" s="5" t="s">
        <v>19</v>
      </c>
      <c r="K3045" s="5"/>
      <c r="L3045" s="5" t="s">
        <v>8655</v>
      </c>
    </row>
    <row r="3046" customFormat="false" ht="15.65" hidden="false" customHeight="true" outlineLevel="0" collapsed="false">
      <c r="A3046" s="2" t="str">
        <f aca="false">HYPERLINK("https://www.fabsurplus.com/sdi_catalog/salesItemDetails.do?id=109481")</f>
        <v>https://www.fabsurplus.com/sdi_catalog/salesItemDetails.do?id=109481</v>
      </c>
      <c r="B3046" s="2" t="s">
        <v>8656</v>
      </c>
      <c r="C3046" s="2" t="s">
        <v>8558</v>
      </c>
      <c r="D3046" s="2" t="s">
        <v>8654</v>
      </c>
      <c r="E3046" s="2" t="s">
        <v>103</v>
      </c>
      <c r="F3046" s="2" t="s">
        <v>16</v>
      </c>
      <c r="G3046" s="2" t="s">
        <v>104</v>
      </c>
      <c r="H3046" s="2"/>
      <c r="I3046" s="2"/>
      <c r="J3046" s="2" t="s">
        <v>19</v>
      </c>
      <c r="K3046" s="2"/>
      <c r="L3046" s="2"/>
    </row>
    <row r="3047" customFormat="false" ht="15.65" hidden="false" customHeight="true" outlineLevel="0" collapsed="false">
      <c r="A3047" s="5" t="str">
        <f aca="false">HYPERLINK("https://www.fabsurplus.com/sdi_catalog/salesItemDetails.do?id=109482")</f>
        <v>https://www.fabsurplus.com/sdi_catalog/salesItemDetails.do?id=109482</v>
      </c>
      <c r="B3047" s="5" t="s">
        <v>8657</v>
      </c>
      <c r="C3047" s="5" t="s">
        <v>8558</v>
      </c>
      <c r="D3047" s="5" t="s">
        <v>8658</v>
      </c>
      <c r="E3047" s="5" t="s">
        <v>103</v>
      </c>
      <c r="F3047" s="5" t="s">
        <v>16</v>
      </c>
      <c r="G3047" s="5" t="s">
        <v>104</v>
      </c>
      <c r="H3047" s="5"/>
      <c r="I3047" s="5"/>
      <c r="J3047" s="5" t="s">
        <v>19</v>
      </c>
      <c r="K3047" s="5"/>
      <c r="L3047" s="5"/>
    </row>
    <row r="3048" customFormat="false" ht="15.65" hidden="false" customHeight="true" outlineLevel="0" collapsed="false">
      <c r="A3048" s="2" t="str">
        <f aca="false">HYPERLINK("https://www.fabsurplus.com/sdi_catalog/salesItemDetails.do?id=109483")</f>
        <v>https://www.fabsurplus.com/sdi_catalog/salesItemDetails.do?id=109483</v>
      </c>
      <c r="B3048" s="2" t="s">
        <v>8659</v>
      </c>
      <c r="C3048" s="2" t="s">
        <v>8558</v>
      </c>
      <c r="D3048" s="2" t="s">
        <v>8660</v>
      </c>
      <c r="E3048" s="2" t="s">
        <v>103</v>
      </c>
      <c r="F3048" s="2" t="s">
        <v>16</v>
      </c>
      <c r="G3048" s="2" t="s">
        <v>104</v>
      </c>
      <c r="H3048" s="2"/>
      <c r="I3048" s="2"/>
      <c r="J3048" s="2" t="s">
        <v>19</v>
      </c>
      <c r="K3048" s="2"/>
      <c r="L3048" s="2" t="s">
        <v>8661</v>
      </c>
    </row>
    <row r="3049" customFormat="false" ht="15.65" hidden="false" customHeight="true" outlineLevel="0" collapsed="false">
      <c r="A3049" s="5" t="str">
        <f aca="false">HYPERLINK("https://www.fabsurplus.com/sdi_catalog/salesItemDetails.do?id=109484")</f>
        <v>https://www.fabsurplus.com/sdi_catalog/salesItemDetails.do?id=109484</v>
      </c>
      <c r="B3049" s="5" t="s">
        <v>8662</v>
      </c>
      <c r="C3049" s="5" t="s">
        <v>8558</v>
      </c>
      <c r="D3049" s="5" t="s">
        <v>8660</v>
      </c>
      <c r="E3049" s="5" t="s">
        <v>103</v>
      </c>
      <c r="F3049" s="5" t="s">
        <v>16</v>
      </c>
      <c r="G3049" s="5" t="s">
        <v>104</v>
      </c>
      <c r="H3049" s="5"/>
      <c r="I3049" s="5"/>
      <c r="J3049" s="5" t="s">
        <v>19</v>
      </c>
      <c r="K3049" s="5"/>
      <c r="L3049" s="5" t="s">
        <v>8663</v>
      </c>
    </row>
    <row r="3050" customFormat="false" ht="15.65" hidden="false" customHeight="true" outlineLevel="0" collapsed="false">
      <c r="A3050" s="2" t="str">
        <f aca="false">HYPERLINK("https://www.fabsurplus.com/sdi_catalog/salesItemDetails.do?id=109485")</f>
        <v>https://www.fabsurplus.com/sdi_catalog/salesItemDetails.do?id=109485</v>
      </c>
      <c r="B3050" s="2" t="s">
        <v>8664</v>
      </c>
      <c r="C3050" s="2" t="s">
        <v>8558</v>
      </c>
      <c r="D3050" s="2" t="s">
        <v>5112</v>
      </c>
      <c r="E3050" s="2" t="s">
        <v>103</v>
      </c>
      <c r="F3050" s="2" t="s">
        <v>151</v>
      </c>
      <c r="G3050" s="2" t="s">
        <v>104</v>
      </c>
      <c r="H3050" s="2"/>
      <c r="I3050" s="2"/>
      <c r="J3050" s="2" t="s">
        <v>19</v>
      </c>
      <c r="K3050" s="2"/>
      <c r="L3050" s="2"/>
    </row>
    <row r="3051" customFormat="false" ht="15.65" hidden="false" customHeight="true" outlineLevel="0" collapsed="false">
      <c r="A3051" s="5" t="str">
        <f aca="false">HYPERLINK("https://www.fabsurplus.com/sdi_catalog/salesItemDetails.do?id=109486")</f>
        <v>https://www.fabsurplus.com/sdi_catalog/salesItemDetails.do?id=109486</v>
      </c>
      <c r="B3051" s="5" t="s">
        <v>8665</v>
      </c>
      <c r="C3051" s="5" t="s">
        <v>8558</v>
      </c>
      <c r="D3051" s="5" t="s">
        <v>5118</v>
      </c>
      <c r="E3051" s="5" t="s">
        <v>103</v>
      </c>
      <c r="F3051" s="5" t="s">
        <v>60</v>
      </c>
      <c r="G3051" s="5" t="s">
        <v>104</v>
      </c>
      <c r="H3051" s="5"/>
      <c r="I3051" s="5"/>
      <c r="J3051" s="5" t="s">
        <v>19</v>
      </c>
      <c r="K3051" s="5"/>
      <c r="L3051" s="5"/>
    </row>
    <row r="3052" customFormat="false" ht="15.65" hidden="false" customHeight="true" outlineLevel="0" collapsed="false">
      <c r="A3052" s="2" t="str">
        <f aca="false">HYPERLINK("https://www.fabsurplus.com/sdi_catalog/salesItemDetails.do?id=109487")</f>
        <v>https://www.fabsurplus.com/sdi_catalog/salesItemDetails.do?id=109487</v>
      </c>
      <c r="B3052" s="2" t="s">
        <v>8666</v>
      </c>
      <c r="C3052" s="2" t="s">
        <v>8558</v>
      </c>
      <c r="D3052" s="2" t="s">
        <v>8667</v>
      </c>
      <c r="E3052" s="2" t="s">
        <v>103</v>
      </c>
      <c r="F3052" s="2" t="s">
        <v>16</v>
      </c>
      <c r="G3052" s="2" t="s">
        <v>104</v>
      </c>
      <c r="H3052" s="2"/>
      <c r="I3052" s="2"/>
      <c r="J3052" s="2" t="s">
        <v>19</v>
      </c>
      <c r="K3052" s="2"/>
      <c r="L3052" s="2"/>
    </row>
    <row r="3053" customFormat="false" ht="15.65" hidden="false" customHeight="true" outlineLevel="0" collapsed="false">
      <c r="A3053" s="5" t="str">
        <f aca="false">HYPERLINK("https://www.fabsurplus.com/sdi_catalog/salesItemDetails.do?id=109488")</f>
        <v>https://www.fabsurplus.com/sdi_catalog/salesItemDetails.do?id=109488</v>
      </c>
      <c r="B3053" s="5" t="s">
        <v>8668</v>
      </c>
      <c r="C3053" s="5" t="s">
        <v>8558</v>
      </c>
      <c r="D3053" s="5" t="s">
        <v>8669</v>
      </c>
      <c r="E3053" s="5" t="s">
        <v>103</v>
      </c>
      <c r="F3053" s="5" t="s">
        <v>16</v>
      </c>
      <c r="G3053" s="5" t="s">
        <v>104</v>
      </c>
      <c r="H3053" s="5"/>
      <c r="I3053" s="5"/>
      <c r="J3053" s="5" t="s">
        <v>19</v>
      </c>
      <c r="K3053" s="5"/>
      <c r="L3053" s="5"/>
    </row>
    <row r="3054" customFormat="false" ht="15.65" hidden="false" customHeight="true" outlineLevel="0" collapsed="false">
      <c r="A3054" s="2" t="str">
        <f aca="false">HYPERLINK("https://www.fabsurplus.com/sdi_catalog/salesItemDetails.do?id=109489")</f>
        <v>https://www.fabsurplus.com/sdi_catalog/salesItemDetails.do?id=109489</v>
      </c>
      <c r="B3054" s="2" t="s">
        <v>8670</v>
      </c>
      <c r="C3054" s="2" t="s">
        <v>8558</v>
      </c>
      <c r="D3054" s="2" t="s">
        <v>8671</v>
      </c>
      <c r="E3054" s="2" t="s">
        <v>103</v>
      </c>
      <c r="F3054" s="2" t="s">
        <v>16</v>
      </c>
      <c r="G3054" s="2" t="s">
        <v>104</v>
      </c>
      <c r="H3054" s="2"/>
      <c r="I3054" s="2"/>
      <c r="J3054" s="2" t="s">
        <v>19</v>
      </c>
      <c r="K3054" s="2"/>
      <c r="L3054" s="2"/>
    </row>
    <row r="3055" customFormat="false" ht="15.65" hidden="false" customHeight="true" outlineLevel="0" collapsed="false">
      <c r="A3055" s="5" t="str">
        <f aca="false">HYPERLINK("https://www.fabsurplus.com/sdi_catalog/salesItemDetails.do?id=109490")</f>
        <v>https://www.fabsurplus.com/sdi_catalog/salesItemDetails.do?id=109490</v>
      </c>
      <c r="B3055" s="5" t="s">
        <v>8672</v>
      </c>
      <c r="C3055" s="5" t="s">
        <v>8558</v>
      </c>
      <c r="D3055" s="5" t="s">
        <v>8673</v>
      </c>
      <c r="E3055" s="5" t="s">
        <v>103</v>
      </c>
      <c r="F3055" s="5" t="s">
        <v>16</v>
      </c>
      <c r="G3055" s="5" t="s">
        <v>104</v>
      </c>
      <c r="H3055" s="5"/>
      <c r="I3055" s="5"/>
      <c r="J3055" s="5" t="s">
        <v>19</v>
      </c>
      <c r="K3055" s="5"/>
      <c r="L3055" s="5"/>
    </row>
    <row r="3056" customFormat="false" ht="15.65" hidden="false" customHeight="true" outlineLevel="0" collapsed="false">
      <c r="A3056" s="2" t="str">
        <f aca="false">HYPERLINK("https://www.fabsurplus.com/sdi_catalog/salesItemDetails.do?id=109491")</f>
        <v>https://www.fabsurplus.com/sdi_catalog/salesItemDetails.do?id=109491</v>
      </c>
      <c r="B3056" s="2" t="s">
        <v>8674</v>
      </c>
      <c r="C3056" s="2" t="s">
        <v>8558</v>
      </c>
      <c r="D3056" s="2" t="s">
        <v>8675</v>
      </c>
      <c r="E3056" s="2" t="s">
        <v>103</v>
      </c>
      <c r="F3056" s="2" t="s">
        <v>16</v>
      </c>
      <c r="G3056" s="2" t="s">
        <v>104</v>
      </c>
      <c r="H3056" s="2"/>
      <c r="I3056" s="2"/>
      <c r="J3056" s="2" t="s">
        <v>19</v>
      </c>
      <c r="K3056" s="2"/>
      <c r="L3056" s="2"/>
    </row>
    <row r="3057" customFormat="false" ht="15.65" hidden="false" customHeight="true" outlineLevel="0" collapsed="false">
      <c r="A3057" s="5" t="str">
        <f aca="false">HYPERLINK("https://www.fabsurplus.com/sdi_catalog/salesItemDetails.do?id=74164")</f>
        <v>https://www.fabsurplus.com/sdi_catalog/salesItemDetails.do?id=74164</v>
      </c>
      <c r="B3057" s="5" t="s">
        <v>8676</v>
      </c>
      <c r="C3057" s="5" t="s">
        <v>8558</v>
      </c>
      <c r="D3057" s="5" t="s">
        <v>8677</v>
      </c>
      <c r="E3057" s="5" t="s">
        <v>8678</v>
      </c>
      <c r="F3057" s="5" t="s">
        <v>16</v>
      </c>
      <c r="G3057" s="5" t="s">
        <v>97</v>
      </c>
      <c r="H3057" s="5" t="s">
        <v>1395</v>
      </c>
      <c r="I3057" s="6" t="n">
        <v>38717.9583333333</v>
      </c>
      <c r="J3057" s="5" t="s">
        <v>19</v>
      </c>
      <c r="K3057" s="5" t="s">
        <v>20</v>
      </c>
      <c r="L3057" s="7" t="s">
        <v>8679</v>
      </c>
    </row>
    <row r="3058" customFormat="false" ht="15.65" hidden="false" customHeight="true" outlineLevel="0" collapsed="false">
      <c r="A3058" s="2" t="str">
        <f aca="false">HYPERLINK("https://www.fabsurplus.com/sdi_catalog/salesItemDetails.do?id=109492")</f>
        <v>https://www.fabsurplus.com/sdi_catalog/salesItemDetails.do?id=109492</v>
      </c>
      <c r="B3058" s="2" t="s">
        <v>8680</v>
      </c>
      <c r="C3058" s="2" t="s">
        <v>8558</v>
      </c>
      <c r="D3058" s="2" t="s">
        <v>8681</v>
      </c>
      <c r="E3058" s="2" t="s">
        <v>103</v>
      </c>
      <c r="F3058" s="2" t="s">
        <v>151</v>
      </c>
      <c r="G3058" s="2" t="s">
        <v>104</v>
      </c>
      <c r="H3058" s="2"/>
      <c r="I3058" s="2"/>
      <c r="J3058" s="2" t="s">
        <v>19</v>
      </c>
      <c r="K3058" s="2"/>
      <c r="L3058" s="2"/>
    </row>
    <row r="3059" customFormat="false" ht="15.65" hidden="false" customHeight="true" outlineLevel="0" collapsed="false">
      <c r="A3059" s="5" t="str">
        <f aca="false">HYPERLINK("https://www.fabsurplus.com/sdi_catalog/salesItemDetails.do?id=109493")</f>
        <v>https://www.fabsurplus.com/sdi_catalog/salesItemDetails.do?id=109493</v>
      </c>
      <c r="B3059" s="5" t="s">
        <v>8682</v>
      </c>
      <c r="C3059" s="5" t="s">
        <v>8558</v>
      </c>
      <c r="D3059" s="5" t="s">
        <v>8683</v>
      </c>
      <c r="E3059" s="5" t="s">
        <v>103</v>
      </c>
      <c r="F3059" s="5" t="s">
        <v>86</v>
      </c>
      <c r="G3059" s="5" t="s">
        <v>104</v>
      </c>
      <c r="H3059" s="5"/>
      <c r="I3059" s="5"/>
      <c r="J3059" s="5" t="s">
        <v>19</v>
      </c>
      <c r="K3059" s="5"/>
      <c r="L3059" s="5"/>
    </row>
    <row r="3060" customFormat="false" ht="15.65" hidden="false" customHeight="true" outlineLevel="0" collapsed="false">
      <c r="A3060" s="2" t="str">
        <f aca="false">HYPERLINK("https://www.fabsurplus.com/sdi_catalog/salesItemDetails.do?id=109494")</f>
        <v>https://www.fabsurplus.com/sdi_catalog/salesItemDetails.do?id=109494</v>
      </c>
      <c r="B3060" s="2" t="s">
        <v>8684</v>
      </c>
      <c r="C3060" s="2" t="s">
        <v>8558</v>
      </c>
      <c r="D3060" s="2" t="s">
        <v>8685</v>
      </c>
      <c r="E3060" s="2" t="s">
        <v>103</v>
      </c>
      <c r="F3060" s="2" t="s">
        <v>16</v>
      </c>
      <c r="G3060" s="2" t="s">
        <v>104</v>
      </c>
      <c r="H3060" s="2"/>
      <c r="I3060" s="2"/>
      <c r="J3060" s="2" t="s">
        <v>19</v>
      </c>
      <c r="K3060" s="2"/>
      <c r="L3060" s="2"/>
    </row>
    <row r="3061" customFormat="false" ht="15.65" hidden="false" customHeight="true" outlineLevel="0" collapsed="false">
      <c r="A3061" s="5" t="str">
        <f aca="false">HYPERLINK("https://www.fabsurplus.com/sdi_catalog/salesItemDetails.do?id=69856")</f>
        <v>https://www.fabsurplus.com/sdi_catalog/salesItemDetails.do?id=69856</v>
      </c>
      <c r="B3061" s="5" t="s">
        <v>8686</v>
      </c>
      <c r="C3061" s="5" t="s">
        <v>8558</v>
      </c>
      <c r="D3061" s="5" t="s">
        <v>8687</v>
      </c>
      <c r="E3061" s="5" t="s">
        <v>8688</v>
      </c>
      <c r="F3061" s="5" t="s">
        <v>16</v>
      </c>
      <c r="G3061" s="5" t="s">
        <v>97</v>
      </c>
      <c r="H3061" s="5" t="s">
        <v>18</v>
      </c>
      <c r="I3061" s="5"/>
      <c r="J3061" s="5" t="s">
        <v>19</v>
      </c>
      <c r="K3061" s="5" t="s">
        <v>20</v>
      </c>
      <c r="L3061" s="5" t="s">
        <v>8689</v>
      </c>
    </row>
    <row r="3062" customFormat="false" ht="15.65" hidden="false" customHeight="true" outlineLevel="0" collapsed="false">
      <c r="A3062" s="2" t="str">
        <f aca="false">HYPERLINK("https://www.fabsurplus.com/sdi_catalog/salesItemDetails.do?id=106085")</f>
        <v>https://www.fabsurplus.com/sdi_catalog/salesItemDetails.do?id=106085</v>
      </c>
      <c r="B3062" s="2" t="s">
        <v>8690</v>
      </c>
      <c r="C3062" s="2" t="s">
        <v>8691</v>
      </c>
      <c r="D3062" s="2" t="s">
        <v>8692</v>
      </c>
      <c r="E3062" s="2" t="s">
        <v>8693</v>
      </c>
      <c r="F3062" s="2" t="s">
        <v>16</v>
      </c>
      <c r="G3062" s="2" t="s">
        <v>104</v>
      </c>
      <c r="H3062" s="2" t="s">
        <v>275</v>
      </c>
      <c r="I3062" s="2"/>
      <c r="J3062" s="2" t="s">
        <v>19</v>
      </c>
      <c r="K3062" s="2" t="s">
        <v>20</v>
      </c>
      <c r="L3062" s="4" t="s">
        <v>8694</v>
      </c>
    </row>
    <row r="3063" customFormat="false" ht="15.65" hidden="false" customHeight="true" outlineLevel="0" collapsed="false">
      <c r="A3063" s="5" t="str">
        <f aca="false">HYPERLINK("https://www.fabsurplus.com/sdi_catalog/salesItemDetails.do?id=101024")</f>
        <v>https://www.fabsurplus.com/sdi_catalog/salesItemDetails.do?id=101024</v>
      </c>
      <c r="B3063" s="5" t="s">
        <v>8695</v>
      </c>
      <c r="C3063" s="5" t="s">
        <v>8696</v>
      </c>
      <c r="D3063" s="5" t="s">
        <v>8697</v>
      </c>
      <c r="E3063" s="5" t="s">
        <v>8698</v>
      </c>
      <c r="F3063" s="5" t="s">
        <v>16</v>
      </c>
      <c r="G3063" s="5" t="s">
        <v>97</v>
      </c>
      <c r="H3063" s="5" t="s">
        <v>18</v>
      </c>
      <c r="I3063" s="5"/>
      <c r="J3063" s="5" t="s">
        <v>19</v>
      </c>
      <c r="K3063" s="5" t="s">
        <v>20</v>
      </c>
      <c r="L3063" s="7" t="s">
        <v>8699</v>
      </c>
    </row>
    <row r="3064" customFormat="false" ht="15.65" hidden="false" customHeight="true" outlineLevel="0" collapsed="false">
      <c r="A3064" s="2" t="str">
        <f aca="false">HYPERLINK("https://www.fabsurplus.com/sdi_catalog/salesItemDetails.do?id=84235")</f>
        <v>https://www.fabsurplus.com/sdi_catalog/salesItemDetails.do?id=84235</v>
      </c>
      <c r="B3064" s="2" t="s">
        <v>8700</v>
      </c>
      <c r="C3064" s="2" t="s">
        <v>8701</v>
      </c>
      <c r="D3064" s="2" t="s">
        <v>8702</v>
      </c>
      <c r="E3064" s="2" t="s">
        <v>8703</v>
      </c>
      <c r="F3064" s="2" t="s">
        <v>16</v>
      </c>
      <c r="G3064" s="2" t="s">
        <v>104</v>
      </c>
      <c r="H3064" s="2" t="s">
        <v>32</v>
      </c>
      <c r="I3064" s="2"/>
      <c r="J3064" s="2" t="s">
        <v>19</v>
      </c>
      <c r="K3064" s="2" t="s">
        <v>20</v>
      </c>
      <c r="L3064" s="2" t="s">
        <v>8704</v>
      </c>
    </row>
    <row r="3065" customFormat="false" ht="15.65" hidden="false" customHeight="true" outlineLevel="0" collapsed="false">
      <c r="A3065" s="5" t="str">
        <f aca="false">HYPERLINK("https://www.fabsurplus.com/sdi_catalog/salesItemDetails.do?id=18877")</f>
        <v>https://www.fabsurplus.com/sdi_catalog/salesItemDetails.do?id=18877</v>
      </c>
      <c r="B3065" s="5" t="s">
        <v>8705</v>
      </c>
      <c r="C3065" s="5" t="s">
        <v>8706</v>
      </c>
      <c r="D3065" s="5" t="s">
        <v>8707</v>
      </c>
      <c r="E3065" s="5" t="s">
        <v>8708</v>
      </c>
      <c r="F3065" s="5" t="s">
        <v>16</v>
      </c>
      <c r="G3065" s="5"/>
      <c r="H3065" s="5"/>
      <c r="I3065" s="5"/>
      <c r="J3065" s="5" t="s">
        <v>19</v>
      </c>
      <c r="K3065" s="5"/>
      <c r="L3065" s="5"/>
    </row>
    <row r="3066" customFormat="false" ht="15.65" hidden="false" customHeight="true" outlineLevel="0" collapsed="false">
      <c r="A3066" s="2" t="str">
        <f aca="false">HYPERLINK("https://www.fabsurplus.com/sdi_catalog/salesItemDetails.do?id=108767")</f>
        <v>https://www.fabsurplus.com/sdi_catalog/salesItemDetails.do?id=108767</v>
      </c>
      <c r="B3066" s="2" t="s">
        <v>8709</v>
      </c>
      <c r="C3066" s="2" t="s">
        <v>8706</v>
      </c>
      <c r="D3066" s="2" t="s">
        <v>8710</v>
      </c>
      <c r="E3066" s="2" t="s">
        <v>8711</v>
      </c>
      <c r="F3066" s="2" t="s">
        <v>16</v>
      </c>
      <c r="G3066" s="2" t="s">
        <v>392</v>
      </c>
      <c r="H3066" s="2" t="s">
        <v>18</v>
      </c>
      <c r="I3066" s="2"/>
      <c r="J3066" s="2" t="s">
        <v>19</v>
      </c>
      <c r="K3066" s="2" t="s">
        <v>20</v>
      </c>
      <c r="L3066" s="2"/>
    </row>
    <row r="3067" customFormat="false" ht="15.65" hidden="false" customHeight="true" outlineLevel="0" collapsed="false">
      <c r="A3067" s="5" t="str">
        <f aca="false">HYPERLINK("https://www.fabsurplus.com/sdi_catalog/salesItemDetails.do?id=108028")</f>
        <v>https://www.fabsurplus.com/sdi_catalog/salesItemDetails.do?id=108028</v>
      </c>
      <c r="B3067" s="5" t="s">
        <v>8712</v>
      </c>
      <c r="C3067" s="5" t="s">
        <v>8706</v>
      </c>
      <c r="D3067" s="5" t="s">
        <v>8713</v>
      </c>
      <c r="E3067" s="5" t="s">
        <v>482</v>
      </c>
      <c r="F3067" s="5" t="s">
        <v>16</v>
      </c>
      <c r="G3067" s="5" t="s">
        <v>392</v>
      </c>
      <c r="H3067" s="5" t="s">
        <v>32</v>
      </c>
      <c r="I3067" s="5"/>
      <c r="J3067" s="5" t="s">
        <v>19</v>
      </c>
      <c r="K3067" s="5" t="s">
        <v>20</v>
      </c>
      <c r="L3067" s="5" t="s">
        <v>142</v>
      </c>
    </row>
    <row r="3068" customFormat="false" ht="15.65" hidden="false" customHeight="true" outlineLevel="0" collapsed="false">
      <c r="A3068" s="2" t="str">
        <f aca="false">HYPERLINK("https://www.fabsurplus.com/sdi_catalog/salesItemDetails.do?id=108768")</f>
        <v>https://www.fabsurplus.com/sdi_catalog/salesItemDetails.do?id=108768</v>
      </c>
      <c r="B3068" s="2" t="s">
        <v>8714</v>
      </c>
      <c r="C3068" s="2" t="s">
        <v>8715</v>
      </c>
      <c r="D3068" s="2" t="s">
        <v>8716</v>
      </c>
      <c r="E3068" s="2" t="s">
        <v>2690</v>
      </c>
      <c r="F3068" s="2" t="s">
        <v>16</v>
      </c>
      <c r="G3068" s="2" t="s">
        <v>8717</v>
      </c>
      <c r="H3068" s="2" t="s">
        <v>453</v>
      </c>
      <c r="I3068" s="2"/>
      <c r="J3068" s="2" t="s">
        <v>19</v>
      </c>
      <c r="K3068" s="2" t="s">
        <v>20</v>
      </c>
      <c r="L3068" s="4" t="s">
        <v>8718</v>
      </c>
    </row>
    <row r="3069" customFormat="false" ht="15.65" hidden="false" customHeight="true" outlineLevel="0" collapsed="false">
      <c r="A3069" s="5" t="str">
        <f aca="false">HYPERLINK("https://www.fabsurplus.com/sdi_catalog/salesItemDetails.do?id=72156")</f>
        <v>https://www.fabsurplus.com/sdi_catalog/salesItemDetails.do?id=72156</v>
      </c>
      <c r="B3069" s="5" t="s">
        <v>8719</v>
      </c>
      <c r="C3069" s="5" t="s">
        <v>8720</v>
      </c>
      <c r="D3069" s="5" t="s">
        <v>8721</v>
      </c>
      <c r="E3069" s="5" t="s">
        <v>8722</v>
      </c>
      <c r="F3069" s="5" t="s">
        <v>16</v>
      </c>
      <c r="G3069" s="5" t="s">
        <v>104</v>
      </c>
      <c r="H3069" s="5" t="s">
        <v>98</v>
      </c>
      <c r="I3069" s="6" t="n">
        <v>39022</v>
      </c>
      <c r="J3069" s="5" t="s">
        <v>19</v>
      </c>
      <c r="K3069" s="5" t="s">
        <v>20</v>
      </c>
      <c r="L3069" s="7" t="s">
        <v>8723</v>
      </c>
    </row>
    <row r="3070" customFormat="false" ht="15.65" hidden="false" customHeight="true" outlineLevel="0" collapsed="false">
      <c r="A3070" s="2" t="str">
        <f aca="false">HYPERLINK("https://www.fabsurplus.com/sdi_catalog/salesItemDetails.do?id=109029")</f>
        <v>https://www.fabsurplus.com/sdi_catalog/salesItemDetails.do?id=109029</v>
      </c>
      <c r="B3070" s="2" t="s">
        <v>8724</v>
      </c>
      <c r="C3070" s="2" t="s">
        <v>8725</v>
      </c>
      <c r="D3070" s="2" t="s">
        <v>8726</v>
      </c>
      <c r="E3070" s="2" t="s">
        <v>8727</v>
      </c>
      <c r="F3070" s="2" t="s">
        <v>16</v>
      </c>
      <c r="G3070" s="2" t="s">
        <v>8453</v>
      </c>
      <c r="H3070" s="2" t="s">
        <v>32</v>
      </c>
      <c r="I3070" s="3" t="n">
        <v>36892</v>
      </c>
      <c r="J3070" s="2" t="s">
        <v>19</v>
      </c>
      <c r="K3070" s="2" t="s">
        <v>20</v>
      </c>
      <c r="L3070" s="4" t="s">
        <v>2388</v>
      </c>
    </row>
    <row r="3071" customFormat="false" ht="15.65" hidden="false" customHeight="true" outlineLevel="0" collapsed="false">
      <c r="A3071" s="5" t="str">
        <f aca="false">HYPERLINK("https://www.fabsurplus.com/sdi_catalog/salesItemDetails.do?id=84372")</f>
        <v>https://www.fabsurplus.com/sdi_catalog/salesItemDetails.do?id=84372</v>
      </c>
      <c r="B3071" s="5" t="s">
        <v>8728</v>
      </c>
      <c r="C3071" s="5" t="s">
        <v>8729</v>
      </c>
      <c r="D3071" s="5" t="s">
        <v>8730</v>
      </c>
      <c r="E3071" s="5" t="s">
        <v>8731</v>
      </c>
      <c r="F3071" s="5" t="s">
        <v>16</v>
      </c>
      <c r="G3071" s="5"/>
      <c r="H3071" s="5" t="s">
        <v>18</v>
      </c>
      <c r="I3071" s="6" t="n">
        <v>36192</v>
      </c>
      <c r="J3071" s="5" t="s">
        <v>19</v>
      </c>
      <c r="K3071" s="5" t="s">
        <v>20</v>
      </c>
      <c r="L3071" s="7" t="s">
        <v>8732</v>
      </c>
    </row>
    <row r="3072" customFormat="false" ht="15.65" hidden="false" customHeight="true" outlineLevel="0" collapsed="false">
      <c r="A3072" s="2" t="str">
        <f aca="false">HYPERLINK("https://www.fabsurplus.com/sdi_catalog/salesItemDetails.do?id=108029")</f>
        <v>https://www.fabsurplus.com/sdi_catalog/salesItemDetails.do?id=108029</v>
      </c>
      <c r="B3072" s="2" t="s">
        <v>8733</v>
      </c>
      <c r="C3072" s="2" t="s">
        <v>8734</v>
      </c>
      <c r="D3072" s="2" t="s">
        <v>8735</v>
      </c>
      <c r="E3072" s="2" t="s">
        <v>8736</v>
      </c>
      <c r="F3072" s="2" t="s">
        <v>16</v>
      </c>
      <c r="G3072" s="2" t="s">
        <v>61</v>
      </c>
      <c r="H3072" s="2"/>
      <c r="I3072" s="2"/>
      <c r="J3072" s="2" t="s">
        <v>19</v>
      </c>
      <c r="K3072" s="2"/>
      <c r="L3072" s="2" t="s">
        <v>142</v>
      </c>
    </row>
    <row r="3073" customFormat="false" ht="15.65" hidden="false" customHeight="true" outlineLevel="0" collapsed="false">
      <c r="A3073" s="5" t="str">
        <f aca="false">HYPERLINK("https://www.fabsurplus.com/sdi_catalog/salesItemDetails.do?id=106242")</f>
        <v>https://www.fabsurplus.com/sdi_catalog/salesItemDetails.do?id=106242</v>
      </c>
      <c r="B3073" s="5" t="s">
        <v>8737</v>
      </c>
      <c r="C3073" s="5" t="s">
        <v>8738</v>
      </c>
      <c r="D3073" s="5" t="s">
        <v>8739</v>
      </c>
      <c r="E3073" s="5" t="s">
        <v>8740</v>
      </c>
      <c r="F3073" s="5" t="s">
        <v>203</v>
      </c>
      <c r="G3073" s="5" t="s">
        <v>165</v>
      </c>
      <c r="H3073" s="5" t="s">
        <v>32</v>
      </c>
      <c r="I3073" s="6" t="n">
        <v>37288</v>
      </c>
      <c r="J3073" s="5" t="s">
        <v>19</v>
      </c>
      <c r="K3073" s="5" t="s">
        <v>20</v>
      </c>
      <c r="L3073" s="7" t="s">
        <v>8741</v>
      </c>
    </row>
    <row r="3074" customFormat="false" ht="15.65" hidden="false" customHeight="true" outlineLevel="0" collapsed="false">
      <c r="A3074" s="2" t="str">
        <f aca="false">HYPERLINK("https://www.fabsurplus.com/sdi_catalog/salesItemDetails.do?id=82230")</f>
        <v>https://www.fabsurplus.com/sdi_catalog/salesItemDetails.do?id=82230</v>
      </c>
      <c r="B3074" s="2" t="s">
        <v>8742</v>
      </c>
      <c r="C3074" s="2" t="s">
        <v>8738</v>
      </c>
      <c r="D3074" s="2" t="s">
        <v>877</v>
      </c>
      <c r="E3074" s="2" t="s">
        <v>8743</v>
      </c>
      <c r="F3074" s="2" t="s">
        <v>16</v>
      </c>
      <c r="G3074" s="2"/>
      <c r="H3074" s="2" t="s">
        <v>32</v>
      </c>
      <c r="I3074" s="3" t="n">
        <v>37226</v>
      </c>
      <c r="J3074" s="2" t="s">
        <v>19</v>
      </c>
      <c r="K3074" s="2" t="s">
        <v>20</v>
      </c>
      <c r="L3074" s="4" t="s">
        <v>8744</v>
      </c>
    </row>
    <row r="3075" customFormat="false" ht="15.65" hidden="false" customHeight="true" outlineLevel="0" collapsed="false">
      <c r="A3075" s="5" t="str">
        <f aca="false">HYPERLINK("https://www.fabsurplus.com/sdi_catalog/salesItemDetails.do?id=79968")</f>
        <v>https://www.fabsurplus.com/sdi_catalog/salesItemDetails.do?id=79968</v>
      </c>
      <c r="B3075" s="5" t="s">
        <v>8745</v>
      </c>
      <c r="C3075" s="5" t="s">
        <v>8738</v>
      </c>
      <c r="D3075" s="5" t="s">
        <v>8746</v>
      </c>
      <c r="E3075" s="5" t="s">
        <v>8747</v>
      </c>
      <c r="F3075" s="5" t="s">
        <v>151</v>
      </c>
      <c r="G3075" s="5"/>
      <c r="H3075" s="5" t="s">
        <v>32</v>
      </c>
      <c r="I3075" s="6" t="n">
        <v>37226</v>
      </c>
      <c r="J3075" s="5" t="s">
        <v>19</v>
      </c>
      <c r="K3075" s="5" t="s">
        <v>20</v>
      </c>
      <c r="L3075" s="7" t="s">
        <v>8748</v>
      </c>
    </row>
    <row r="3076" customFormat="false" ht="15.65" hidden="false" customHeight="true" outlineLevel="0" collapsed="false">
      <c r="A3076" s="2" t="str">
        <f aca="false">HYPERLINK("https://www.fabsurplus.com/sdi_catalog/salesItemDetails.do?id=77936")</f>
        <v>https://www.fabsurplus.com/sdi_catalog/salesItemDetails.do?id=77936</v>
      </c>
      <c r="B3076" s="2" t="s">
        <v>8749</v>
      </c>
      <c r="C3076" s="2" t="s">
        <v>8738</v>
      </c>
      <c r="D3076" s="2" t="s">
        <v>8739</v>
      </c>
      <c r="E3076" s="2" t="s">
        <v>8750</v>
      </c>
      <c r="F3076" s="2" t="s">
        <v>86</v>
      </c>
      <c r="G3076" s="2"/>
      <c r="H3076" s="2" t="s">
        <v>32</v>
      </c>
      <c r="I3076" s="2"/>
      <c r="J3076" s="2" t="s">
        <v>19</v>
      </c>
      <c r="K3076" s="2" t="s">
        <v>20</v>
      </c>
      <c r="L3076" s="4" t="s">
        <v>8751</v>
      </c>
    </row>
    <row r="3077" customFormat="false" ht="15.65" hidden="false" customHeight="true" outlineLevel="0" collapsed="false">
      <c r="A3077" s="5" t="str">
        <f aca="false">HYPERLINK("https://www.fabsurplus.com/sdi_catalog/salesItemDetails.do?id=106497")</f>
        <v>https://www.fabsurplus.com/sdi_catalog/salesItemDetails.do?id=106497</v>
      </c>
      <c r="B3077" s="5" t="s">
        <v>8752</v>
      </c>
      <c r="C3077" s="5" t="s">
        <v>8753</v>
      </c>
      <c r="D3077" s="5" t="s">
        <v>8754</v>
      </c>
      <c r="E3077" s="5" t="s">
        <v>8755</v>
      </c>
      <c r="F3077" s="5" t="s">
        <v>16</v>
      </c>
      <c r="G3077" s="5" t="s">
        <v>2327</v>
      </c>
      <c r="H3077" s="5" t="s">
        <v>18</v>
      </c>
      <c r="I3077" s="6" t="n">
        <v>38869</v>
      </c>
      <c r="J3077" s="5" t="s">
        <v>19</v>
      </c>
      <c r="K3077" s="5" t="s">
        <v>20</v>
      </c>
      <c r="L3077" s="5" t="s">
        <v>8175</v>
      </c>
    </row>
    <row r="3078" customFormat="false" ht="15.65" hidden="false" customHeight="true" outlineLevel="0" collapsed="false">
      <c r="A3078" s="2" t="str">
        <f aca="false">HYPERLINK("https://www.fabsurplus.com/sdi_catalog/salesItemDetails.do?id=106498")</f>
        <v>https://www.fabsurplus.com/sdi_catalog/salesItemDetails.do?id=106498</v>
      </c>
      <c r="B3078" s="2" t="s">
        <v>8756</v>
      </c>
      <c r="C3078" s="2" t="s">
        <v>8753</v>
      </c>
      <c r="D3078" s="2" t="s">
        <v>8754</v>
      </c>
      <c r="E3078" s="2" t="s">
        <v>8757</v>
      </c>
      <c r="F3078" s="2" t="s">
        <v>16</v>
      </c>
      <c r="G3078" s="2" t="s">
        <v>2858</v>
      </c>
      <c r="H3078" s="2"/>
      <c r="I3078" s="2"/>
      <c r="J3078" s="2" t="s">
        <v>19</v>
      </c>
      <c r="K3078" s="2"/>
      <c r="L3078" s="2" t="s">
        <v>8175</v>
      </c>
    </row>
    <row r="3079" customFormat="false" ht="15.65" hidden="false" customHeight="true" outlineLevel="0" collapsed="false">
      <c r="A3079" s="5" t="str">
        <f aca="false">HYPERLINK("https://www.fabsurplus.com/sdi_catalog/salesItemDetails.do?id=108290")</f>
        <v>https://www.fabsurplus.com/sdi_catalog/salesItemDetails.do?id=108290</v>
      </c>
      <c r="B3079" s="5" t="s">
        <v>8758</v>
      </c>
      <c r="C3079" s="5" t="s">
        <v>8759</v>
      </c>
      <c r="D3079" s="5" t="s">
        <v>8760</v>
      </c>
      <c r="E3079" s="5" t="s">
        <v>8761</v>
      </c>
      <c r="F3079" s="5" t="s">
        <v>16</v>
      </c>
      <c r="G3079" s="5" t="s">
        <v>392</v>
      </c>
      <c r="H3079" s="5"/>
      <c r="I3079" s="6" t="n">
        <v>41061</v>
      </c>
      <c r="J3079" s="5" t="s">
        <v>19</v>
      </c>
      <c r="K3079" s="5"/>
      <c r="L3079" s="7" t="s">
        <v>8762</v>
      </c>
    </row>
    <row r="3080" customFormat="false" ht="15.65" hidden="false" customHeight="true" outlineLevel="0" collapsed="false">
      <c r="A3080" s="2" t="str">
        <f aca="false">HYPERLINK("https://www.fabsurplus.com/sdi_catalog/salesItemDetails.do?id=108964")</f>
        <v>https://www.fabsurplus.com/sdi_catalog/salesItemDetails.do?id=108964</v>
      </c>
      <c r="B3080" s="2" t="s">
        <v>8763</v>
      </c>
      <c r="C3080" s="2" t="s">
        <v>8764</v>
      </c>
      <c r="D3080" s="2" t="s">
        <v>8760</v>
      </c>
      <c r="E3080" s="2" t="s">
        <v>8765</v>
      </c>
      <c r="F3080" s="2" t="s">
        <v>16</v>
      </c>
      <c r="G3080" s="2" t="s">
        <v>392</v>
      </c>
      <c r="H3080" s="2" t="s">
        <v>18</v>
      </c>
      <c r="I3080" s="3" t="n">
        <v>43252</v>
      </c>
      <c r="J3080" s="2" t="s">
        <v>19</v>
      </c>
      <c r="K3080" s="2" t="s">
        <v>20</v>
      </c>
      <c r="L3080" s="4" t="s">
        <v>8766</v>
      </c>
    </row>
    <row r="3081" customFormat="false" ht="15.65" hidden="false" customHeight="true" outlineLevel="0" collapsed="false">
      <c r="A3081" s="5" t="str">
        <f aca="false">HYPERLINK("https://www.fabsurplus.com/sdi_catalog/salesItemDetails.do?id=108084")</f>
        <v>https://www.fabsurplus.com/sdi_catalog/salesItemDetails.do?id=108084</v>
      </c>
      <c r="B3081" s="5" t="s">
        <v>8767</v>
      </c>
      <c r="C3081" s="5" t="s">
        <v>8768</v>
      </c>
      <c r="D3081" s="5" t="s">
        <v>8769</v>
      </c>
      <c r="E3081" s="5" t="s">
        <v>8770</v>
      </c>
      <c r="F3081" s="5" t="s">
        <v>16</v>
      </c>
      <c r="G3081" s="5" t="s">
        <v>1491</v>
      </c>
      <c r="H3081" s="5"/>
      <c r="I3081" s="5"/>
      <c r="J3081" s="5" t="s">
        <v>19</v>
      </c>
      <c r="K3081" s="5"/>
      <c r="L3081" s="5" t="s">
        <v>8771</v>
      </c>
    </row>
    <row r="3082" customFormat="false" ht="15.65" hidden="false" customHeight="true" outlineLevel="0" collapsed="false">
      <c r="A3082" s="2" t="str">
        <f aca="false">HYPERLINK("https://www.fabsurplus.com/sdi_catalog/salesItemDetails.do?id=108085")</f>
        <v>https://www.fabsurplus.com/sdi_catalog/salesItemDetails.do?id=108085</v>
      </c>
      <c r="B3082" s="2" t="s">
        <v>8772</v>
      </c>
      <c r="C3082" s="2" t="s">
        <v>8768</v>
      </c>
      <c r="D3082" s="2" t="s">
        <v>8773</v>
      </c>
      <c r="E3082" s="2" t="s">
        <v>8770</v>
      </c>
      <c r="F3082" s="2" t="s">
        <v>16</v>
      </c>
      <c r="G3082" s="2" t="s">
        <v>1491</v>
      </c>
      <c r="H3082" s="2"/>
      <c r="I3082" s="2"/>
      <c r="J3082" s="2" t="s">
        <v>19</v>
      </c>
      <c r="K3082" s="2"/>
      <c r="L3082" s="2" t="s">
        <v>8774</v>
      </c>
    </row>
    <row r="3083" customFormat="false" ht="15.65" hidden="false" customHeight="true" outlineLevel="0" collapsed="false">
      <c r="A3083" s="5" t="str">
        <f aca="false">HYPERLINK("https://www.fabsurplus.com/sdi_catalog/salesItemDetails.do?id=108086")</f>
        <v>https://www.fabsurplus.com/sdi_catalog/salesItemDetails.do?id=108086</v>
      </c>
      <c r="B3083" s="5" t="s">
        <v>8775</v>
      </c>
      <c r="C3083" s="5" t="s">
        <v>8768</v>
      </c>
      <c r="D3083" s="5" t="s">
        <v>8776</v>
      </c>
      <c r="E3083" s="5" t="s">
        <v>8770</v>
      </c>
      <c r="F3083" s="5" t="s">
        <v>151</v>
      </c>
      <c r="G3083" s="5" t="s">
        <v>1491</v>
      </c>
      <c r="H3083" s="5"/>
      <c r="I3083" s="5"/>
      <c r="J3083" s="5" t="s">
        <v>19</v>
      </c>
      <c r="K3083" s="5"/>
      <c r="L3083" s="5" t="s">
        <v>8774</v>
      </c>
    </row>
    <row r="3084" customFormat="false" ht="15.65" hidden="false" customHeight="true" outlineLevel="0" collapsed="false">
      <c r="A3084" s="2" t="str">
        <f aca="false">HYPERLINK("https://www.fabsurplus.com/sdi_catalog/salesItemDetails.do?id=106703")</f>
        <v>https://www.fabsurplus.com/sdi_catalog/salesItemDetails.do?id=106703</v>
      </c>
      <c r="B3084" s="2" t="s">
        <v>8777</v>
      </c>
      <c r="C3084" s="2" t="s">
        <v>8778</v>
      </c>
      <c r="D3084" s="2" t="s">
        <v>8779</v>
      </c>
      <c r="E3084" s="2" t="s">
        <v>7334</v>
      </c>
      <c r="F3084" s="2" t="s">
        <v>16</v>
      </c>
      <c r="G3084" s="2"/>
      <c r="H3084" s="2"/>
      <c r="I3084" s="2"/>
      <c r="J3084" s="2" t="s">
        <v>19</v>
      </c>
      <c r="K3084" s="2"/>
      <c r="L3084" s="2" t="s">
        <v>518</v>
      </c>
    </row>
    <row r="3085" customFormat="false" ht="15.65" hidden="false" customHeight="true" outlineLevel="0" collapsed="false">
      <c r="A3085" s="5" t="str">
        <f aca="false">HYPERLINK("https://www.fabsurplus.com/sdi_catalog/salesItemDetails.do?id=106704")</f>
        <v>https://www.fabsurplus.com/sdi_catalog/salesItemDetails.do?id=106704</v>
      </c>
      <c r="B3085" s="5" t="s">
        <v>8780</v>
      </c>
      <c r="C3085" s="5" t="s">
        <v>8781</v>
      </c>
      <c r="D3085" s="5" t="s">
        <v>8782</v>
      </c>
      <c r="E3085" s="5" t="s">
        <v>7334</v>
      </c>
      <c r="F3085" s="5" t="s">
        <v>16</v>
      </c>
      <c r="G3085" s="5"/>
      <c r="H3085" s="5"/>
      <c r="I3085" s="5"/>
      <c r="J3085" s="5" t="s">
        <v>19</v>
      </c>
      <c r="K3085" s="5"/>
      <c r="L3085" s="5" t="s">
        <v>518</v>
      </c>
    </row>
    <row r="3086" customFormat="false" ht="15.65" hidden="false" customHeight="true" outlineLevel="0" collapsed="false">
      <c r="A3086" s="2" t="str">
        <f aca="false">HYPERLINK("https://www.fabsurplus.com/sdi_catalog/salesItemDetails.do?id=106705")</f>
        <v>https://www.fabsurplus.com/sdi_catalog/salesItemDetails.do?id=106705</v>
      </c>
      <c r="B3086" s="2" t="s">
        <v>8783</v>
      </c>
      <c r="C3086" s="2" t="s">
        <v>8784</v>
      </c>
      <c r="D3086" s="2" t="s">
        <v>8785</v>
      </c>
      <c r="E3086" s="2" t="s">
        <v>8786</v>
      </c>
      <c r="F3086" s="2" t="s">
        <v>16</v>
      </c>
      <c r="G3086" s="2" t="s">
        <v>38</v>
      </c>
      <c r="H3086" s="2"/>
      <c r="I3086" s="2"/>
      <c r="J3086" s="2" t="s">
        <v>19</v>
      </c>
      <c r="K3086" s="2"/>
      <c r="L3086" s="2" t="s">
        <v>518</v>
      </c>
    </row>
    <row r="3087" customFormat="false" ht="15.65" hidden="false" customHeight="true" outlineLevel="0" collapsed="false">
      <c r="A3087" s="5" t="str">
        <f aca="false">HYPERLINK("https://www.fabsurplus.com/sdi_catalog/salesItemDetails.do?id=108292")</f>
        <v>https://www.fabsurplus.com/sdi_catalog/salesItemDetails.do?id=108292</v>
      </c>
      <c r="B3087" s="5" t="s">
        <v>8787</v>
      </c>
      <c r="C3087" s="5" t="s">
        <v>8788</v>
      </c>
      <c r="D3087" s="5" t="s">
        <v>8789</v>
      </c>
      <c r="E3087" s="5" t="s">
        <v>8790</v>
      </c>
      <c r="F3087" s="5" t="s">
        <v>16</v>
      </c>
      <c r="G3087" s="5" t="s">
        <v>2327</v>
      </c>
      <c r="H3087" s="5"/>
      <c r="I3087" s="6" t="n">
        <v>41791</v>
      </c>
      <c r="J3087" s="5" t="s">
        <v>19</v>
      </c>
      <c r="K3087" s="5"/>
      <c r="L3087" s="5"/>
    </row>
    <row r="3088" customFormat="false" ht="15.65" hidden="false" customHeight="true" outlineLevel="0" collapsed="false">
      <c r="A3088" s="2" t="str">
        <f aca="false">HYPERLINK("https://www.fabsurplus.com/sdi_catalog/salesItemDetails.do?id=107027")</f>
        <v>https://www.fabsurplus.com/sdi_catalog/salesItemDetails.do?id=107027</v>
      </c>
      <c r="B3088" s="2" t="s">
        <v>8791</v>
      </c>
      <c r="C3088" s="2" t="s">
        <v>8792</v>
      </c>
      <c r="D3088" s="2" t="s">
        <v>8793</v>
      </c>
      <c r="E3088" s="2" t="s">
        <v>7022</v>
      </c>
      <c r="F3088" s="2" t="s">
        <v>16</v>
      </c>
      <c r="G3088" s="2" t="s">
        <v>61</v>
      </c>
      <c r="H3088" s="2" t="s">
        <v>18</v>
      </c>
      <c r="I3088" s="3" t="n">
        <v>40391</v>
      </c>
      <c r="J3088" s="2" t="s">
        <v>42</v>
      </c>
      <c r="K3088" s="2" t="s">
        <v>20</v>
      </c>
      <c r="L3088" s="4" t="s">
        <v>8794</v>
      </c>
    </row>
    <row r="3089" customFormat="false" ht="15.65" hidden="false" customHeight="true" outlineLevel="0" collapsed="false">
      <c r="A3089" s="5" t="str">
        <f aca="false">HYPERLINK("https://www.fabsurplus.com/sdi_catalog/salesItemDetails.do?id=109113")</f>
        <v>https://www.fabsurplus.com/sdi_catalog/salesItemDetails.do?id=109113</v>
      </c>
      <c r="B3089" s="5" t="s">
        <v>8795</v>
      </c>
      <c r="C3089" s="5" t="s">
        <v>8796</v>
      </c>
      <c r="D3089" s="5" t="s">
        <v>8797</v>
      </c>
      <c r="E3089" s="5" t="s">
        <v>8798</v>
      </c>
      <c r="F3089" s="5" t="s">
        <v>16</v>
      </c>
      <c r="G3089" s="5" t="s">
        <v>61</v>
      </c>
      <c r="H3089" s="5" t="s">
        <v>18</v>
      </c>
      <c r="I3089" s="6" t="n">
        <v>39692</v>
      </c>
      <c r="J3089" s="5" t="s">
        <v>19</v>
      </c>
      <c r="K3089" s="5" t="s">
        <v>20</v>
      </c>
      <c r="L3089" s="7" t="s">
        <v>8799</v>
      </c>
    </row>
    <row r="3090" customFormat="false" ht="15.65" hidden="false" customHeight="true" outlineLevel="0" collapsed="false">
      <c r="A3090" s="2" t="str">
        <f aca="false">HYPERLINK("https://www.fabsurplus.com/sdi_catalog/salesItemDetails.do?id=106823")</f>
        <v>https://www.fabsurplus.com/sdi_catalog/salesItemDetails.do?id=106823</v>
      </c>
      <c r="B3090" s="2" t="s">
        <v>8800</v>
      </c>
      <c r="C3090" s="2" t="s">
        <v>8796</v>
      </c>
      <c r="D3090" s="2" t="s">
        <v>8801</v>
      </c>
      <c r="E3090" s="2" t="s">
        <v>8802</v>
      </c>
      <c r="F3090" s="2" t="s">
        <v>16</v>
      </c>
      <c r="G3090" s="2" t="s">
        <v>1803</v>
      </c>
      <c r="H3090" s="2" t="s">
        <v>32</v>
      </c>
      <c r="I3090" s="2"/>
      <c r="J3090" s="2" t="s">
        <v>19</v>
      </c>
      <c r="K3090" s="2" t="s">
        <v>20</v>
      </c>
      <c r="L3090" s="2" t="s">
        <v>142</v>
      </c>
    </row>
    <row r="3091" customFormat="false" ht="15.65" hidden="false" customHeight="true" outlineLevel="0" collapsed="false">
      <c r="A3091" s="5" t="str">
        <f aca="false">HYPERLINK("https://www.fabsurplus.com/sdi_catalog/salesItemDetails.do?id=103544")</f>
        <v>https://www.fabsurplus.com/sdi_catalog/salesItemDetails.do?id=103544</v>
      </c>
      <c r="B3091" s="5" t="s">
        <v>8803</v>
      </c>
      <c r="C3091" s="5" t="s">
        <v>8792</v>
      </c>
      <c r="D3091" s="5" t="s">
        <v>8804</v>
      </c>
      <c r="E3091" s="5" t="s">
        <v>2931</v>
      </c>
      <c r="F3091" s="5" t="s">
        <v>16</v>
      </c>
      <c r="G3091" s="5" t="s">
        <v>61</v>
      </c>
      <c r="H3091" s="5"/>
      <c r="I3091" s="6" t="n">
        <v>38138.9166666667</v>
      </c>
      <c r="J3091" s="5" t="s">
        <v>19</v>
      </c>
      <c r="K3091" s="5"/>
      <c r="L3091" s="7" t="s">
        <v>1682</v>
      </c>
    </row>
    <row r="3092" customFormat="false" ht="15.65" hidden="false" customHeight="true" outlineLevel="0" collapsed="false">
      <c r="A3092" s="2" t="str">
        <f aca="false">HYPERLINK("https://www.fabsurplus.com/sdi_catalog/salesItemDetails.do?id=91526")</f>
        <v>https://www.fabsurplus.com/sdi_catalog/salesItemDetails.do?id=91526</v>
      </c>
      <c r="B3092" s="2" t="s">
        <v>8805</v>
      </c>
      <c r="C3092" s="2" t="s">
        <v>8792</v>
      </c>
      <c r="D3092" s="2" t="s">
        <v>8793</v>
      </c>
      <c r="E3092" s="2" t="s">
        <v>2931</v>
      </c>
      <c r="F3092" s="2" t="s">
        <v>16</v>
      </c>
      <c r="G3092" s="2" t="s">
        <v>61</v>
      </c>
      <c r="H3092" s="2" t="s">
        <v>32</v>
      </c>
      <c r="I3092" s="3" t="n">
        <v>37772.9166666667</v>
      </c>
      <c r="J3092" s="2" t="s">
        <v>19</v>
      </c>
      <c r="K3092" s="2" t="s">
        <v>20</v>
      </c>
      <c r="L3092" s="4" t="s">
        <v>8806</v>
      </c>
    </row>
    <row r="3093" customFormat="false" ht="15.65" hidden="false" customHeight="true" outlineLevel="0" collapsed="false">
      <c r="A3093" s="5" t="str">
        <f aca="false">HYPERLINK("https://www.fabsurplus.com/sdi_catalog/salesItemDetails.do?id=91529")</f>
        <v>https://www.fabsurplus.com/sdi_catalog/salesItemDetails.do?id=91529</v>
      </c>
      <c r="B3093" s="5" t="s">
        <v>8807</v>
      </c>
      <c r="C3093" s="5" t="s">
        <v>8792</v>
      </c>
      <c r="D3093" s="5" t="s">
        <v>8793</v>
      </c>
      <c r="E3093" s="5" t="s">
        <v>2931</v>
      </c>
      <c r="F3093" s="5" t="s">
        <v>16</v>
      </c>
      <c r="G3093" s="5" t="s">
        <v>61</v>
      </c>
      <c r="H3093" s="5" t="s">
        <v>32</v>
      </c>
      <c r="I3093" s="6" t="n">
        <v>40237.9583333333</v>
      </c>
      <c r="J3093" s="5" t="s">
        <v>19</v>
      </c>
      <c r="K3093" s="5" t="s">
        <v>20</v>
      </c>
      <c r="L3093" s="7" t="s">
        <v>8806</v>
      </c>
    </row>
    <row r="3094" customFormat="false" ht="15.65" hidden="false" customHeight="true" outlineLevel="0" collapsed="false">
      <c r="A3094" s="2" t="str">
        <f aca="false">HYPERLINK("https://www.fabsurplus.com/sdi_catalog/salesItemDetails.do?id=91530")</f>
        <v>https://www.fabsurplus.com/sdi_catalog/salesItemDetails.do?id=91530</v>
      </c>
      <c r="B3094" s="2" t="s">
        <v>8808</v>
      </c>
      <c r="C3094" s="2" t="s">
        <v>8792</v>
      </c>
      <c r="D3094" s="2" t="s">
        <v>8809</v>
      </c>
      <c r="E3094" s="2" t="s">
        <v>8810</v>
      </c>
      <c r="F3094" s="2" t="s">
        <v>16</v>
      </c>
      <c r="G3094" s="2" t="s">
        <v>38</v>
      </c>
      <c r="H3094" s="2"/>
      <c r="I3094" s="2"/>
      <c r="J3094" s="2" t="s">
        <v>19</v>
      </c>
      <c r="K3094" s="2"/>
      <c r="L3094" s="2" t="s">
        <v>142</v>
      </c>
    </row>
    <row r="3095" customFormat="false" ht="15.65" hidden="false" customHeight="true" outlineLevel="0" collapsed="false">
      <c r="A3095" s="5" t="str">
        <f aca="false">HYPERLINK("https://www.fabsurplus.com/sdi_catalog/salesItemDetails.do?id=108186")</f>
        <v>https://www.fabsurplus.com/sdi_catalog/salesItemDetails.do?id=108186</v>
      </c>
      <c r="B3095" s="5" t="s">
        <v>8811</v>
      </c>
      <c r="C3095" s="5" t="s">
        <v>8792</v>
      </c>
      <c r="D3095" s="5" t="s">
        <v>8812</v>
      </c>
      <c r="E3095" s="5" t="s">
        <v>2931</v>
      </c>
      <c r="F3095" s="5" t="s">
        <v>16</v>
      </c>
      <c r="G3095" s="5" t="s">
        <v>61</v>
      </c>
      <c r="H3095" s="5"/>
      <c r="I3095" s="6" t="n">
        <v>37043</v>
      </c>
      <c r="J3095" s="5" t="s">
        <v>19</v>
      </c>
      <c r="K3095" s="5"/>
      <c r="L3095" s="5" t="s">
        <v>1480</v>
      </c>
    </row>
    <row r="3096" customFormat="false" ht="15.65" hidden="false" customHeight="true" outlineLevel="0" collapsed="false">
      <c r="A3096" s="2" t="str">
        <f aca="false">HYPERLINK("https://www.fabsurplus.com/sdi_catalog/salesItemDetails.do?id=98480")</f>
        <v>https://www.fabsurplus.com/sdi_catalog/salesItemDetails.do?id=98480</v>
      </c>
      <c r="B3096" s="2" t="s">
        <v>8813</v>
      </c>
      <c r="C3096" s="2" t="s">
        <v>8796</v>
      </c>
      <c r="D3096" s="2" t="s">
        <v>8814</v>
      </c>
      <c r="E3096" s="2" t="s">
        <v>8815</v>
      </c>
      <c r="F3096" s="2" t="s">
        <v>151</v>
      </c>
      <c r="G3096" s="2" t="s">
        <v>2031</v>
      </c>
      <c r="H3096" s="2" t="s">
        <v>32</v>
      </c>
      <c r="I3096" s="2"/>
      <c r="J3096" s="2" t="s">
        <v>19</v>
      </c>
      <c r="K3096" s="2" t="s">
        <v>20</v>
      </c>
      <c r="L3096" s="2" t="s">
        <v>518</v>
      </c>
    </row>
    <row r="3097" customFormat="false" ht="15.65" hidden="false" customHeight="true" outlineLevel="0" collapsed="false">
      <c r="A3097" s="5" t="str">
        <f aca="false">HYPERLINK("https://www.fabsurplus.com/sdi_catalog/salesItemDetails.do?id=98481")</f>
        <v>https://www.fabsurplus.com/sdi_catalog/salesItemDetails.do?id=98481</v>
      </c>
      <c r="B3097" s="5" t="s">
        <v>8816</v>
      </c>
      <c r="C3097" s="5" t="s">
        <v>8796</v>
      </c>
      <c r="D3097" s="5" t="s">
        <v>8817</v>
      </c>
      <c r="E3097" s="5" t="s">
        <v>8815</v>
      </c>
      <c r="F3097" s="5" t="s">
        <v>151</v>
      </c>
      <c r="G3097" s="5" t="s">
        <v>1803</v>
      </c>
      <c r="H3097" s="5"/>
      <c r="I3097" s="5"/>
      <c r="J3097" s="5" t="s">
        <v>19</v>
      </c>
      <c r="K3097" s="5"/>
      <c r="L3097" s="5" t="s">
        <v>518</v>
      </c>
    </row>
    <row r="3098" customFormat="false" ht="15.65" hidden="false" customHeight="true" outlineLevel="0" collapsed="false">
      <c r="A3098" s="2" t="str">
        <f aca="false">HYPERLINK("https://www.fabsurplus.com/sdi_catalog/salesItemDetails.do?id=98482")</f>
        <v>https://www.fabsurplus.com/sdi_catalog/salesItemDetails.do?id=98482</v>
      </c>
      <c r="B3098" s="2" t="s">
        <v>8818</v>
      </c>
      <c r="C3098" s="2" t="s">
        <v>8796</v>
      </c>
      <c r="D3098" s="2" t="s">
        <v>8819</v>
      </c>
      <c r="E3098" s="2" t="s">
        <v>8820</v>
      </c>
      <c r="F3098" s="2" t="s">
        <v>16</v>
      </c>
      <c r="G3098" s="2" t="s">
        <v>61</v>
      </c>
      <c r="H3098" s="2" t="s">
        <v>18</v>
      </c>
      <c r="I3098" s="2"/>
      <c r="J3098" s="2" t="s">
        <v>19</v>
      </c>
      <c r="K3098" s="2" t="s">
        <v>20</v>
      </c>
      <c r="L3098" s="4" t="s">
        <v>8821</v>
      </c>
    </row>
    <row r="3099" customFormat="false" ht="15.65" hidden="false" customHeight="true" outlineLevel="0" collapsed="false">
      <c r="A3099" s="5" t="str">
        <f aca="false">HYPERLINK("https://www.fabsurplus.com/sdi_catalog/salesItemDetails.do?id=98483")</f>
        <v>https://www.fabsurplus.com/sdi_catalog/salesItemDetails.do?id=98483</v>
      </c>
      <c r="B3099" s="5" t="s">
        <v>8822</v>
      </c>
      <c r="C3099" s="5" t="s">
        <v>8796</v>
      </c>
      <c r="D3099" s="5" t="s">
        <v>8823</v>
      </c>
      <c r="E3099" s="5" t="s">
        <v>8824</v>
      </c>
      <c r="F3099" s="5" t="s">
        <v>16</v>
      </c>
      <c r="G3099" s="5" t="s">
        <v>61</v>
      </c>
      <c r="H3099" s="5" t="s">
        <v>18</v>
      </c>
      <c r="I3099" s="5"/>
      <c r="J3099" s="5" t="s">
        <v>19</v>
      </c>
      <c r="K3099" s="5" t="s">
        <v>20</v>
      </c>
      <c r="L3099" s="7" t="s">
        <v>8825</v>
      </c>
    </row>
    <row r="3100" customFormat="false" ht="15.65" hidden="false" customHeight="true" outlineLevel="0" collapsed="false">
      <c r="A3100" s="2" t="str">
        <f aca="false">HYPERLINK("https://www.fabsurplus.com/sdi_catalog/salesItemDetails.do?id=108467")</f>
        <v>https://www.fabsurplus.com/sdi_catalog/salesItemDetails.do?id=108467</v>
      </c>
      <c r="B3100" s="2" t="s">
        <v>8826</v>
      </c>
      <c r="C3100" s="2" t="s">
        <v>8796</v>
      </c>
      <c r="D3100" s="2" t="s">
        <v>8827</v>
      </c>
      <c r="E3100" s="2" t="s">
        <v>7067</v>
      </c>
      <c r="F3100" s="2" t="s">
        <v>16</v>
      </c>
      <c r="G3100" s="2" t="s">
        <v>61</v>
      </c>
      <c r="H3100" s="2"/>
      <c r="I3100" s="2"/>
      <c r="J3100" s="2" t="s">
        <v>19</v>
      </c>
      <c r="K3100" s="2"/>
      <c r="L3100" s="2"/>
    </row>
    <row r="3101" customFormat="false" ht="15.65" hidden="false" customHeight="true" outlineLevel="0" collapsed="false">
      <c r="A3101" s="5" t="str">
        <f aca="false">HYPERLINK("https://www.fabsurplus.com/sdi_catalog/salesItemDetails.do?id=106179")</f>
        <v>https://www.fabsurplus.com/sdi_catalog/salesItemDetails.do?id=106179</v>
      </c>
      <c r="B3101" s="5" t="s">
        <v>8828</v>
      </c>
      <c r="C3101" s="5" t="s">
        <v>8796</v>
      </c>
      <c r="D3101" s="5" t="s">
        <v>6025</v>
      </c>
      <c r="E3101" s="5" t="s">
        <v>8829</v>
      </c>
      <c r="F3101" s="5" t="s">
        <v>16</v>
      </c>
      <c r="G3101" s="5" t="s">
        <v>38</v>
      </c>
      <c r="H3101" s="5" t="s">
        <v>275</v>
      </c>
      <c r="I3101" s="6" t="n">
        <v>38504</v>
      </c>
      <c r="J3101" s="5" t="s">
        <v>286</v>
      </c>
      <c r="K3101" s="5" t="s">
        <v>20</v>
      </c>
      <c r="L3101" s="7" t="s">
        <v>8830</v>
      </c>
    </row>
    <row r="3102" customFormat="false" ht="15.65" hidden="false" customHeight="true" outlineLevel="0" collapsed="false">
      <c r="A3102" s="2" t="str">
        <f aca="false">HYPERLINK("https://www.fabsurplus.com/sdi_catalog/salesItemDetails.do?id=106959")</f>
        <v>https://www.fabsurplus.com/sdi_catalog/salesItemDetails.do?id=106959</v>
      </c>
      <c r="B3102" s="2" t="s">
        <v>8831</v>
      </c>
      <c r="C3102" s="2" t="s">
        <v>8796</v>
      </c>
      <c r="D3102" s="2" t="s">
        <v>8832</v>
      </c>
      <c r="E3102" s="2" t="s">
        <v>8833</v>
      </c>
      <c r="F3102" s="2" t="s">
        <v>16</v>
      </c>
      <c r="G3102" s="2" t="s">
        <v>104</v>
      </c>
      <c r="H3102" s="2" t="s">
        <v>32</v>
      </c>
      <c r="I3102" s="3" t="n">
        <v>38504</v>
      </c>
      <c r="J3102" s="2" t="s">
        <v>19</v>
      </c>
      <c r="K3102" s="2" t="s">
        <v>20</v>
      </c>
      <c r="L3102" s="4" t="s">
        <v>8834</v>
      </c>
    </row>
    <row r="3103" customFormat="false" ht="15.65" hidden="false" customHeight="true" outlineLevel="0" collapsed="false">
      <c r="A3103" s="5" t="str">
        <f aca="false">HYPERLINK("https://www.fabsurplus.com/sdi_catalog/salesItemDetails.do?id=106960")</f>
        <v>https://www.fabsurplus.com/sdi_catalog/salesItemDetails.do?id=106960</v>
      </c>
      <c r="B3103" s="5" t="s">
        <v>8835</v>
      </c>
      <c r="C3103" s="5" t="s">
        <v>8796</v>
      </c>
      <c r="D3103" s="5" t="s">
        <v>8832</v>
      </c>
      <c r="E3103" s="5" t="s">
        <v>8836</v>
      </c>
      <c r="F3103" s="5" t="s">
        <v>16</v>
      </c>
      <c r="G3103" s="5" t="s">
        <v>104</v>
      </c>
      <c r="H3103" s="5" t="s">
        <v>32</v>
      </c>
      <c r="I3103" s="6" t="n">
        <v>38504</v>
      </c>
      <c r="J3103" s="5" t="s">
        <v>19</v>
      </c>
      <c r="K3103" s="5" t="s">
        <v>20</v>
      </c>
      <c r="L3103" s="7" t="s">
        <v>8837</v>
      </c>
    </row>
    <row r="3104" customFormat="false" ht="15.65" hidden="false" customHeight="true" outlineLevel="0" collapsed="false">
      <c r="A3104" s="2" t="str">
        <f aca="false">HYPERLINK("https://www.fabsurplus.com/sdi_catalog/salesItemDetails.do?id=101585")</f>
        <v>https://www.fabsurplus.com/sdi_catalog/salesItemDetails.do?id=101585</v>
      </c>
      <c r="B3104" s="2" t="s">
        <v>8838</v>
      </c>
      <c r="C3104" s="2" t="s">
        <v>8792</v>
      </c>
      <c r="D3104" s="2" t="s">
        <v>8839</v>
      </c>
      <c r="E3104" s="2" t="s">
        <v>8840</v>
      </c>
      <c r="F3104" s="2" t="s">
        <v>16</v>
      </c>
      <c r="G3104" s="2" t="s">
        <v>61</v>
      </c>
      <c r="H3104" s="2"/>
      <c r="I3104" s="3" t="n">
        <v>38898.9166666667</v>
      </c>
      <c r="J3104" s="2" t="s">
        <v>19</v>
      </c>
      <c r="K3104" s="2"/>
      <c r="L3104" s="4" t="s">
        <v>6615</v>
      </c>
    </row>
    <row r="3105" customFormat="false" ht="15.65" hidden="false" customHeight="true" outlineLevel="0" collapsed="false">
      <c r="A3105" s="5" t="str">
        <f aca="false">HYPERLINK("https://www.fabsurplus.com/sdi_catalog/salesItemDetails.do?id=106706")</f>
        <v>https://www.fabsurplus.com/sdi_catalog/salesItemDetails.do?id=106706</v>
      </c>
      <c r="B3105" s="5" t="s">
        <v>8841</v>
      </c>
      <c r="C3105" s="5" t="s">
        <v>8792</v>
      </c>
      <c r="D3105" s="5" t="s">
        <v>8842</v>
      </c>
      <c r="E3105" s="5" t="s">
        <v>8810</v>
      </c>
      <c r="F3105" s="5" t="s">
        <v>16</v>
      </c>
      <c r="G3105" s="5" t="s">
        <v>61</v>
      </c>
      <c r="H3105" s="5"/>
      <c r="I3105" s="6" t="n">
        <v>38869</v>
      </c>
      <c r="J3105" s="5" t="s">
        <v>19</v>
      </c>
      <c r="K3105" s="5"/>
      <c r="L3105" s="5" t="s">
        <v>518</v>
      </c>
    </row>
    <row r="3106" customFormat="false" ht="15.65" hidden="false" customHeight="true" outlineLevel="0" collapsed="false">
      <c r="A3106" s="2" t="str">
        <f aca="false">HYPERLINK("https://www.fabsurplus.com/sdi_catalog/salesItemDetails.do?id=98289")</f>
        <v>https://www.fabsurplus.com/sdi_catalog/salesItemDetails.do?id=98289</v>
      </c>
      <c r="B3106" s="2" t="s">
        <v>8843</v>
      </c>
      <c r="C3106" s="2" t="s">
        <v>8792</v>
      </c>
      <c r="D3106" s="2" t="s">
        <v>8844</v>
      </c>
      <c r="E3106" s="2" t="s">
        <v>8810</v>
      </c>
      <c r="F3106" s="2" t="s">
        <v>16</v>
      </c>
      <c r="G3106" s="2" t="s">
        <v>61</v>
      </c>
      <c r="H3106" s="2"/>
      <c r="I3106" s="3" t="n">
        <v>38503.9166666667</v>
      </c>
      <c r="J3106" s="2" t="s">
        <v>19</v>
      </c>
      <c r="K3106" s="2"/>
      <c r="L3106" s="2"/>
    </row>
    <row r="3107" customFormat="false" ht="15.65" hidden="false" customHeight="true" outlineLevel="0" collapsed="false">
      <c r="A3107" s="5" t="str">
        <f aca="false">HYPERLINK("https://www.fabsurplus.com/sdi_catalog/salesItemDetails.do?id=98290")</f>
        <v>https://www.fabsurplus.com/sdi_catalog/salesItemDetails.do?id=98290</v>
      </c>
      <c r="B3107" s="5" t="s">
        <v>8845</v>
      </c>
      <c r="C3107" s="5" t="s">
        <v>8792</v>
      </c>
      <c r="D3107" s="5" t="s">
        <v>8844</v>
      </c>
      <c r="E3107" s="5" t="s">
        <v>8810</v>
      </c>
      <c r="F3107" s="5" t="s">
        <v>16</v>
      </c>
      <c r="G3107" s="5" t="s">
        <v>61</v>
      </c>
      <c r="H3107" s="5"/>
      <c r="I3107" s="6" t="n">
        <v>38503.9166666667</v>
      </c>
      <c r="J3107" s="5" t="s">
        <v>19</v>
      </c>
      <c r="K3107" s="5"/>
      <c r="L3107" s="5"/>
    </row>
    <row r="3108" customFormat="false" ht="15.65" hidden="false" customHeight="true" outlineLevel="0" collapsed="false">
      <c r="A3108" s="2" t="str">
        <f aca="false">HYPERLINK("https://www.fabsurplus.com/sdi_catalog/salesItemDetails.do?id=98291")</f>
        <v>https://www.fabsurplus.com/sdi_catalog/salesItemDetails.do?id=98291</v>
      </c>
      <c r="B3108" s="2" t="s">
        <v>8846</v>
      </c>
      <c r="C3108" s="2" t="s">
        <v>8792</v>
      </c>
      <c r="D3108" s="2" t="s">
        <v>8844</v>
      </c>
      <c r="E3108" s="2" t="s">
        <v>8810</v>
      </c>
      <c r="F3108" s="2" t="s">
        <v>16</v>
      </c>
      <c r="G3108" s="2" t="s">
        <v>61</v>
      </c>
      <c r="H3108" s="2" t="s">
        <v>32</v>
      </c>
      <c r="I3108" s="3" t="n">
        <v>38898.9166666667</v>
      </c>
      <c r="J3108" s="2" t="s">
        <v>19</v>
      </c>
      <c r="K3108" s="2" t="s">
        <v>20</v>
      </c>
      <c r="L3108" s="4" t="s">
        <v>8847</v>
      </c>
    </row>
    <row r="3109" customFormat="false" ht="15.65" hidden="false" customHeight="true" outlineLevel="0" collapsed="false">
      <c r="A3109" s="5" t="str">
        <f aca="false">HYPERLINK("https://www.fabsurplus.com/sdi_catalog/salesItemDetails.do?id=77197")</f>
        <v>https://www.fabsurplus.com/sdi_catalog/salesItemDetails.do?id=77197</v>
      </c>
      <c r="B3109" s="5" t="s">
        <v>8848</v>
      </c>
      <c r="C3109" s="5" t="s">
        <v>8849</v>
      </c>
      <c r="D3109" s="5" t="s">
        <v>8850</v>
      </c>
      <c r="E3109" s="5" t="s">
        <v>8851</v>
      </c>
      <c r="F3109" s="5" t="s">
        <v>236</v>
      </c>
      <c r="G3109" s="5" t="s">
        <v>1803</v>
      </c>
      <c r="H3109" s="5" t="s">
        <v>18</v>
      </c>
      <c r="I3109" s="5"/>
      <c r="J3109" s="5" t="s">
        <v>19</v>
      </c>
      <c r="K3109" s="5" t="s">
        <v>20</v>
      </c>
      <c r="L3109" s="7" t="s">
        <v>8852</v>
      </c>
    </row>
    <row r="3110" customFormat="false" ht="15.65" hidden="false" customHeight="true" outlineLevel="0" collapsed="false">
      <c r="A3110" s="2" t="str">
        <f aca="false">HYPERLINK("https://www.fabsurplus.com/sdi_catalog/salesItemDetails.do?id=69868")</f>
        <v>https://www.fabsurplus.com/sdi_catalog/salesItemDetails.do?id=69868</v>
      </c>
      <c r="B3110" s="2" t="s">
        <v>8853</v>
      </c>
      <c r="C3110" s="2" t="s">
        <v>8854</v>
      </c>
      <c r="D3110" s="2" t="s">
        <v>8855</v>
      </c>
      <c r="E3110" s="2" t="s">
        <v>8856</v>
      </c>
      <c r="F3110" s="2" t="s">
        <v>203</v>
      </c>
      <c r="G3110" s="2" t="s">
        <v>392</v>
      </c>
      <c r="H3110" s="2" t="s">
        <v>32</v>
      </c>
      <c r="I3110" s="3" t="n">
        <v>35946.9166666667</v>
      </c>
      <c r="J3110" s="2" t="s">
        <v>19</v>
      </c>
      <c r="K3110" s="2" t="s">
        <v>20</v>
      </c>
      <c r="L3110" s="4" t="s">
        <v>8857</v>
      </c>
    </row>
    <row r="3111" customFormat="false" ht="15.65" hidden="false" customHeight="true" outlineLevel="0" collapsed="false">
      <c r="A3111" s="5" t="str">
        <f aca="false">HYPERLINK("https://www.fabsurplus.com/sdi_catalog/salesItemDetails.do?id=84369")</f>
        <v>https://www.fabsurplus.com/sdi_catalog/salesItemDetails.do?id=84369</v>
      </c>
      <c r="B3111" s="5" t="s">
        <v>8858</v>
      </c>
      <c r="C3111" s="5" t="s">
        <v>8859</v>
      </c>
      <c r="D3111" s="5" t="s">
        <v>8860</v>
      </c>
      <c r="E3111" s="5" t="s">
        <v>8861</v>
      </c>
      <c r="F3111" s="5" t="s">
        <v>16</v>
      </c>
      <c r="G3111" s="5"/>
      <c r="H3111" s="5" t="s">
        <v>18</v>
      </c>
      <c r="I3111" s="6" t="n">
        <v>32933</v>
      </c>
      <c r="J3111" s="5" t="s">
        <v>19</v>
      </c>
      <c r="K3111" s="5" t="s">
        <v>20</v>
      </c>
      <c r="L3111" s="7" t="s">
        <v>8862</v>
      </c>
    </row>
    <row r="3112" customFormat="false" ht="15.65" hidden="false" customHeight="true" outlineLevel="0" collapsed="false">
      <c r="A3112" s="2" t="str">
        <f aca="false">HYPERLINK("https://www.fabsurplus.com/sdi_catalog/salesItemDetails.do?id=91143")</f>
        <v>https://www.fabsurplus.com/sdi_catalog/salesItemDetails.do?id=91143</v>
      </c>
      <c r="B3112" s="2" t="s">
        <v>8863</v>
      </c>
      <c r="C3112" s="2" t="s">
        <v>8864</v>
      </c>
      <c r="D3112" s="2" t="s">
        <v>8865</v>
      </c>
      <c r="E3112" s="2" t="s">
        <v>8866</v>
      </c>
      <c r="F3112" s="2" t="s">
        <v>16</v>
      </c>
      <c r="G3112" s="2"/>
      <c r="H3112" s="2" t="s">
        <v>32</v>
      </c>
      <c r="I3112" s="2"/>
      <c r="J3112" s="2" t="s">
        <v>19</v>
      </c>
      <c r="K3112" s="2" t="s">
        <v>20</v>
      </c>
      <c r="L3112" s="2" t="s">
        <v>142</v>
      </c>
    </row>
    <row r="3113" customFormat="false" ht="15.65" hidden="false" customHeight="true" outlineLevel="0" collapsed="false">
      <c r="A3113" s="5" t="str">
        <f aca="false">HYPERLINK("https://www.fabsurplus.com/sdi_catalog/salesItemDetails.do?id=83887")</f>
        <v>https://www.fabsurplus.com/sdi_catalog/salesItemDetails.do?id=83887</v>
      </c>
      <c r="B3113" s="5" t="s">
        <v>8867</v>
      </c>
      <c r="C3113" s="5" t="s">
        <v>8864</v>
      </c>
      <c r="D3113" s="5" t="s">
        <v>8868</v>
      </c>
      <c r="E3113" s="5" t="s">
        <v>8869</v>
      </c>
      <c r="F3113" s="5" t="s">
        <v>16</v>
      </c>
      <c r="G3113" s="5"/>
      <c r="H3113" s="5" t="s">
        <v>98</v>
      </c>
      <c r="I3113" s="6" t="n">
        <v>38139</v>
      </c>
      <c r="J3113" s="5" t="s">
        <v>19</v>
      </c>
      <c r="K3113" s="5" t="s">
        <v>20</v>
      </c>
      <c r="L3113" s="7" t="s">
        <v>8870</v>
      </c>
    </row>
    <row r="3114" customFormat="false" ht="15.65" hidden="false" customHeight="true" outlineLevel="0" collapsed="false">
      <c r="A3114" s="2" t="str">
        <f aca="false">HYPERLINK("https://www.fabsurplus.com/sdi_catalog/salesItemDetails.do?id=83888")</f>
        <v>https://www.fabsurplus.com/sdi_catalog/salesItemDetails.do?id=83888</v>
      </c>
      <c r="B3114" s="2" t="s">
        <v>8871</v>
      </c>
      <c r="C3114" s="2" t="s">
        <v>8864</v>
      </c>
      <c r="D3114" s="2" t="s">
        <v>8872</v>
      </c>
      <c r="E3114" s="2" t="s">
        <v>8873</v>
      </c>
      <c r="F3114" s="2" t="s">
        <v>16</v>
      </c>
      <c r="G3114" s="2"/>
      <c r="H3114" s="2" t="s">
        <v>98</v>
      </c>
      <c r="I3114" s="2"/>
      <c r="J3114" s="2" t="s">
        <v>19</v>
      </c>
      <c r="K3114" s="2" t="s">
        <v>20</v>
      </c>
      <c r="L3114" s="4" t="s">
        <v>8874</v>
      </c>
    </row>
    <row r="3115" customFormat="false" ht="15.65" hidden="false" customHeight="true" outlineLevel="0" collapsed="false">
      <c r="A3115" s="5" t="str">
        <f aca="false">HYPERLINK("https://www.fabsurplus.com/sdi_catalog/salesItemDetails.do?id=83889")</f>
        <v>https://www.fabsurplus.com/sdi_catalog/salesItemDetails.do?id=83889</v>
      </c>
      <c r="B3115" s="5" t="s">
        <v>8875</v>
      </c>
      <c r="C3115" s="5" t="s">
        <v>8864</v>
      </c>
      <c r="D3115" s="5" t="s">
        <v>8876</v>
      </c>
      <c r="E3115" s="5" t="s">
        <v>8877</v>
      </c>
      <c r="F3115" s="5" t="s">
        <v>16</v>
      </c>
      <c r="G3115" s="5" t="s">
        <v>8876</v>
      </c>
      <c r="H3115" s="5" t="s">
        <v>98</v>
      </c>
      <c r="I3115" s="5"/>
      <c r="J3115" s="5" t="s">
        <v>19</v>
      </c>
      <c r="K3115" s="5" t="s">
        <v>20</v>
      </c>
      <c r="L3115" s="7" t="s">
        <v>8878</v>
      </c>
    </row>
    <row r="3116" customFormat="false" ht="15.65" hidden="false" customHeight="true" outlineLevel="0" collapsed="false">
      <c r="A3116" s="2" t="str">
        <f aca="false">HYPERLINK("https://www.fabsurplus.com/sdi_catalog/salesItemDetails.do?id=83545")</f>
        <v>https://www.fabsurplus.com/sdi_catalog/salesItemDetails.do?id=83545</v>
      </c>
      <c r="B3116" s="2" t="s">
        <v>8879</v>
      </c>
      <c r="C3116" s="2" t="s">
        <v>8880</v>
      </c>
      <c r="D3116" s="2" t="s">
        <v>8881</v>
      </c>
      <c r="E3116" s="2" t="s">
        <v>8882</v>
      </c>
      <c r="F3116" s="2" t="s">
        <v>16</v>
      </c>
      <c r="G3116" s="2" t="s">
        <v>104</v>
      </c>
      <c r="H3116" s="2" t="s">
        <v>32</v>
      </c>
      <c r="I3116" s="2"/>
      <c r="J3116" s="2" t="s">
        <v>19</v>
      </c>
      <c r="K3116" s="2" t="s">
        <v>20</v>
      </c>
      <c r="L3116" s="4" t="s">
        <v>8883</v>
      </c>
    </row>
    <row r="3117" customFormat="false" ht="15.65" hidden="false" customHeight="true" outlineLevel="0" collapsed="false">
      <c r="A3117" s="5" t="str">
        <f aca="false">HYPERLINK("https://www.fabsurplus.com/sdi_catalog/salesItemDetails.do?id=83546")</f>
        <v>https://www.fabsurplus.com/sdi_catalog/salesItemDetails.do?id=83546</v>
      </c>
      <c r="B3117" s="5" t="s">
        <v>8884</v>
      </c>
      <c r="C3117" s="5" t="s">
        <v>8880</v>
      </c>
      <c r="D3117" s="5" t="s">
        <v>8885</v>
      </c>
      <c r="E3117" s="5" t="s">
        <v>8886</v>
      </c>
      <c r="F3117" s="5" t="s">
        <v>16</v>
      </c>
      <c r="G3117" s="5" t="s">
        <v>104</v>
      </c>
      <c r="H3117" s="5" t="s">
        <v>32</v>
      </c>
      <c r="I3117" s="5"/>
      <c r="J3117" s="5" t="s">
        <v>19</v>
      </c>
      <c r="K3117" s="5" t="s">
        <v>20</v>
      </c>
      <c r="L3117" s="7" t="s">
        <v>8887</v>
      </c>
    </row>
    <row r="3118" customFormat="false" ht="15.65" hidden="false" customHeight="true" outlineLevel="0" collapsed="false">
      <c r="A3118" s="2" t="str">
        <f aca="false">HYPERLINK("https://www.fabsurplus.com/sdi_catalog/salesItemDetails.do?id=107009")</f>
        <v>https://www.fabsurplus.com/sdi_catalog/salesItemDetails.do?id=107009</v>
      </c>
      <c r="B3118" s="2" t="s">
        <v>8888</v>
      </c>
      <c r="C3118" s="2" t="s">
        <v>8889</v>
      </c>
      <c r="D3118" s="2" t="s">
        <v>8890</v>
      </c>
      <c r="E3118" s="2" t="s">
        <v>8891</v>
      </c>
      <c r="F3118" s="2" t="s">
        <v>16</v>
      </c>
      <c r="G3118" s="2" t="s">
        <v>2803</v>
      </c>
      <c r="H3118" s="2" t="s">
        <v>32</v>
      </c>
      <c r="I3118" s="3" t="n">
        <v>34851</v>
      </c>
      <c r="J3118" s="2" t="s">
        <v>19</v>
      </c>
      <c r="K3118" s="2" t="s">
        <v>20</v>
      </c>
      <c r="L3118" s="4" t="s">
        <v>8892</v>
      </c>
    </row>
    <row r="3119" customFormat="false" ht="15.65" hidden="false" customHeight="true" outlineLevel="0" collapsed="false">
      <c r="A3119" s="5" t="str">
        <f aca="false">HYPERLINK("https://www.fabsurplus.com/sdi_catalog/salesItemDetails.do?id=108850")</f>
        <v>https://www.fabsurplus.com/sdi_catalog/salesItemDetails.do?id=108850</v>
      </c>
      <c r="B3119" s="5" t="s">
        <v>8893</v>
      </c>
      <c r="C3119" s="5" t="s">
        <v>8889</v>
      </c>
      <c r="D3119" s="5" t="s">
        <v>8894</v>
      </c>
      <c r="E3119" s="5" t="s">
        <v>8895</v>
      </c>
      <c r="F3119" s="5" t="s">
        <v>16</v>
      </c>
      <c r="G3119" s="5" t="s">
        <v>8896</v>
      </c>
      <c r="H3119" s="5"/>
      <c r="I3119" s="5"/>
      <c r="J3119" s="5" t="s">
        <v>42</v>
      </c>
      <c r="K3119" s="5"/>
      <c r="L3119" s="5" t="s">
        <v>131</v>
      </c>
    </row>
    <row r="3120" customFormat="false" ht="15.65" hidden="false" customHeight="true" outlineLevel="0" collapsed="false">
      <c r="A3120" s="2" t="str">
        <f aca="false">HYPERLINK("https://www.fabsurplus.com/sdi_catalog/salesItemDetails.do?id=108851")</f>
        <v>https://www.fabsurplus.com/sdi_catalog/salesItemDetails.do?id=108851</v>
      </c>
      <c r="B3120" s="2" t="s">
        <v>8897</v>
      </c>
      <c r="C3120" s="2" t="s">
        <v>8889</v>
      </c>
      <c r="D3120" s="2" t="s">
        <v>8898</v>
      </c>
      <c r="E3120" s="2" t="s">
        <v>8899</v>
      </c>
      <c r="F3120" s="2" t="s">
        <v>16</v>
      </c>
      <c r="G3120" s="2" t="s">
        <v>8896</v>
      </c>
      <c r="H3120" s="2"/>
      <c r="I3120" s="2"/>
      <c r="J3120" s="2" t="s">
        <v>42</v>
      </c>
      <c r="K3120" s="2"/>
      <c r="L3120" s="2" t="s">
        <v>131</v>
      </c>
    </row>
    <row r="3121" customFormat="false" ht="15.65" hidden="false" customHeight="true" outlineLevel="0" collapsed="false">
      <c r="A3121" s="5" t="str">
        <f aca="false">HYPERLINK("https://www.fabsurplus.com/sdi_catalog/salesItemDetails.do?id=94594")</f>
        <v>https://www.fabsurplus.com/sdi_catalog/salesItemDetails.do?id=94594</v>
      </c>
      <c r="B3121" s="5" t="s">
        <v>8900</v>
      </c>
      <c r="C3121" s="5" t="s">
        <v>8901</v>
      </c>
      <c r="D3121" s="5" t="s">
        <v>8902</v>
      </c>
      <c r="E3121" s="5" t="s">
        <v>6396</v>
      </c>
      <c r="F3121" s="5" t="s">
        <v>16</v>
      </c>
      <c r="G3121" s="5" t="s">
        <v>8896</v>
      </c>
      <c r="H3121" s="5"/>
      <c r="I3121" s="5"/>
      <c r="J3121" s="5" t="s">
        <v>19</v>
      </c>
      <c r="K3121" s="5"/>
      <c r="L3121" s="5"/>
    </row>
    <row r="3122" customFormat="false" ht="15.65" hidden="false" customHeight="true" outlineLevel="0" collapsed="false">
      <c r="A3122" s="2" t="str">
        <f aca="false">HYPERLINK("https://www.fabsurplus.com/sdi_catalog/salesItemDetails.do?id=74168")</f>
        <v>https://www.fabsurplus.com/sdi_catalog/salesItemDetails.do?id=74168</v>
      </c>
      <c r="B3122" s="2" t="s">
        <v>8903</v>
      </c>
      <c r="C3122" s="2" t="s">
        <v>8901</v>
      </c>
      <c r="D3122" s="2" t="s">
        <v>8904</v>
      </c>
      <c r="E3122" s="2" t="s">
        <v>6395</v>
      </c>
      <c r="F3122" s="2" t="s">
        <v>16</v>
      </c>
      <c r="G3122" s="2"/>
      <c r="H3122" s="2" t="s">
        <v>18</v>
      </c>
      <c r="I3122" s="2"/>
      <c r="J3122" s="2" t="s">
        <v>19</v>
      </c>
      <c r="K3122" s="2" t="s">
        <v>20</v>
      </c>
      <c r="L3122" s="2" t="s">
        <v>8905</v>
      </c>
    </row>
    <row r="3123" customFormat="false" ht="15.65" hidden="false" customHeight="true" outlineLevel="0" collapsed="false">
      <c r="A3123" s="5" t="str">
        <f aca="false">HYPERLINK("https://www.fabsurplus.com/sdi_catalog/salesItemDetails.do?id=108769")</f>
        <v>https://www.fabsurplus.com/sdi_catalog/salesItemDetails.do?id=108769</v>
      </c>
      <c r="B3123" s="5" t="s">
        <v>8906</v>
      </c>
      <c r="C3123" s="5" t="s">
        <v>8889</v>
      </c>
      <c r="D3123" s="5" t="s">
        <v>8907</v>
      </c>
      <c r="E3123" s="5" t="s">
        <v>8908</v>
      </c>
      <c r="F3123" s="5" t="s">
        <v>16</v>
      </c>
      <c r="G3123" s="5"/>
      <c r="H3123" s="5"/>
      <c r="I3123" s="5"/>
      <c r="J3123" s="5" t="s">
        <v>19</v>
      </c>
      <c r="K3123" s="5"/>
      <c r="L3123" s="5"/>
    </row>
    <row r="3124" customFormat="false" ht="15.65" hidden="false" customHeight="true" outlineLevel="0" collapsed="false">
      <c r="A3124" s="2" t="str">
        <f aca="false">HYPERLINK("https://www.fabsurplus.com/sdi_catalog/salesItemDetails.do?id=108770")</f>
        <v>https://www.fabsurplus.com/sdi_catalog/salesItemDetails.do?id=108770</v>
      </c>
      <c r="B3124" s="2" t="s">
        <v>8909</v>
      </c>
      <c r="C3124" s="2" t="s">
        <v>8889</v>
      </c>
      <c r="D3124" s="2" t="s">
        <v>8910</v>
      </c>
      <c r="E3124" s="2" t="s">
        <v>8911</v>
      </c>
      <c r="F3124" s="2" t="s">
        <v>16</v>
      </c>
      <c r="G3124" s="2"/>
      <c r="H3124" s="2"/>
      <c r="I3124" s="2"/>
      <c r="J3124" s="2" t="s">
        <v>19</v>
      </c>
      <c r="K3124" s="2"/>
      <c r="L3124" s="2" t="s">
        <v>8911</v>
      </c>
    </row>
    <row r="3125" customFormat="false" ht="15.65" hidden="false" customHeight="true" outlineLevel="0" collapsed="false">
      <c r="A3125" s="5" t="str">
        <f aca="false">HYPERLINK("https://www.fabsurplus.com/sdi_catalog/salesItemDetails.do?id=108852")</f>
        <v>https://www.fabsurplus.com/sdi_catalog/salesItemDetails.do?id=108852</v>
      </c>
      <c r="B3125" s="5" t="s">
        <v>8912</v>
      </c>
      <c r="C3125" s="5" t="s">
        <v>8913</v>
      </c>
      <c r="D3125" s="5" t="s">
        <v>8914</v>
      </c>
      <c r="E3125" s="5" t="s">
        <v>8915</v>
      </c>
      <c r="F3125" s="5" t="s">
        <v>16</v>
      </c>
      <c r="G3125" s="5"/>
      <c r="H3125" s="5"/>
      <c r="I3125" s="5"/>
      <c r="J3125" s="5" t="s">
        <v>42</v>
      </c>
      <c r="K3125" s="5"/>
      <c r="L3125" s="5" t="s">
        <v>131</v>
      </c>
    </row>
    <row r="3126" customFormat="false" ht="15.65" hidden="false" customHeight="true" outlineLevel="0" collapsed="false">
      <c r="A3126" s="2" t="str">
        <f aca="false">HYPERLINK("https://www.fabsurplus.com/sdi_catalog/salesItemDetails.do?id=108031")</f>
        <v>https://www.fabsurplus.com/sdi_catalog/salesItemDetails.do?id=108031</v>
      </c>
      <c r="B3126" s="2" t="s">
        <v>8916</v>
      </c>
      <c r="C3126" s="2" t="s">
        <v>8917</v>
      </c>
      <c r="D3126" s="2" t="s">
        <v>8918</v>
      </c>
      <c r="E3126" s="2" t="s">
        <v>482</v>
      </c>
      <c r="F3126" s="2" t="s">
        <v>16</v>
      </c>
      <c r="G3126" s="2" t="s">
        <v>392</v>
      </c>
      <c r="H3126" s="2"/>
      <c r="I3126" s="3" t="n">
        <v>40848</v>
      </c>
      <c r="J3126" s="2" t="s">
        <v>19</v>
      </c>
      <c r="K3126" s="2"/>
      <c r="L3126" s="2" t="s">
        <v>142</v>
      </c>
    </row>
    <row r="3127" customFormat="false" ht="15.65" hidden="false" customHeight="true" outlineLevel="0" collapsed="false">
      <c r="A3127" s="5" t="str">
        <f aca="false">HYPERLINK("https://www.fabsurplus.com/sdi_catalog/salesItemDetails.do?id=99381")</f>
        <v>https://www.fabsurplus.com/sdi_catalog/salesItemDetails.do?id=99381</v>
      </c>
      <c r="B3127" s="5" t="s">
        <v>8919</v>
      </c>
      <c r="C3127" s="5" t="s">
        <v>8920</v>
      </c>
      <c r="D3127" s="5" t="s">
        <v>8921</v>
      </c>
      <c r="E3127" s="5" t="s">
        <v>428</v>
      </c>
      <c r="F3127" s="5" t="s">
        <v>16</v>
      </c>
      <c r="G3127" s="5" t="s">
        <v>392</v>
      </c>
      <c r="H3127" s="5" t="s">
        <v>18</v>
      </c>
      <c r="I3127" s="6" t="n">
        <v>41640</v>
      </c>
      <c r="J3127" s="5" t="s">
        <v>19</v>
      </c>
      <c r="K3127" s="5" t="s">
        <v>20</v>
      </c>
      <c r="L3127" s="7" t="s">
        <v>8922</v>
      </c>
    </row>
    <row r="3128" customFormat="false" ht="15.65" hidden="false" customHeight="true" outlineLevel="0" collapsed="false">
      <c r="A3128" s="2" t="str">
        <f aca="false">HYPERLINK("https://www.fabsurplus.com/sdi_catalog/salesItemDetails.do?id=99382")</f>
        <v>https://www.fabsurplus.com/sdi_catalog/salesItemDetails.do?id=99382</v>
      </c>
      <c r="B3128" s="2" t="s">
        <v>8923</v>
      </c>
      <c r="C3128" s="2" t="s">
        <v>8920</v>
      </c>
      <c r="D3128" s="2" t="s">
        <v>8924</v>
      </c>
      <c r="E3128" s="2" t="s">
        <v>428</v>
      </c>
      <c r="F3128" s="2" t="s">
        <v>16</v>
      </c>
      <c r="G3128" s="2" t="s">
        <v>392</v>
      </c>
      <c r="H3128" s="2" t="s">
        <v>18</v>
      </c>
      <c r="I3128" s="2"/>
      <c r="J3128" s="2" t="s">
        <v>19</v>
      </c>
      <c r="K3128" s="2" t="s">
        <v>20</v>
      </c>
      <c r="L3128" s="4" t="s">
        <v>8925</v>
      </c>
    </row>
    <row r="3129" customFormat="false" ht="15.65" hidden="false" customHeight="true" outlineLevel="0" collapsed="false">
      <c r="A3129" s="5" t="str">
        <f aca="false">HYPERLINK("https://www.fabsurplus.com/sdi_catalog/salesItemDetails.do?id=99383")</f>
        <v>https://www.fabsurplus.com/sdi_catalog/salesItemDetails.do?id=99383</v>
      </c>
      <c r="B3129" s="5" t="s">
        <v>8926</v>
      </c>
      <c r="C3129" s="5" t="s">
        <v>8920</v>
      </c>
      <c r="D3129" s="5" t="s">
        <v>8924</v>
      </c>
      <c r="E3129" s="5" t="s">
        <v>428</v>
      </c>
      <c r="F3129" s="5" t="s">
        <v>16</v>
      </c>
      <c r="G3129" s="5" t="s">
        <v>392</v>
      </c>
      <c r="H3129" s="5" t="s">
        <v>18</v>
      </c>
      <c r="I3129" s="5"/>
      <c r="J3129" s="5" t="s">
        <v>19</v>
      </c>
      <c r="K3129" s="5" t="s">
        <v>20</v>
      </c>
      <c r="L3129" s="7" t="s">
        <v>8927</v>
      </c>
    </row>
    <row r="3130" customFormat="false" ht="15.65" hidden="false" customHeight="true" outlineLevel="0" collapsed="false">
      <c r="A3130" s="2" t="str">
        <f aca="false">HYPERLINK("https://www.fabsurplus.com/sdi_catalog/salesItemDetails.do?id=109045")</f>
        <v>https://www.fabsurplus.com/sdi_catalog/salesItemDetails.do?id=109045</v>
      </c>
      <c r="B3130" s="2" t="s">
        <v>8928</v>
      </c>
      <c r="C3130" s="2" t="s">
        <v>8920</v>
      </c>
      <c r="D3130" s="2" t="s">
        <v>8929</v>
      </c>
      <c r="E3130" s="2" t="s">
        <v>8930</v>
      </c>
      <c r="F3130" s="2" t="s">
        <v>16</v>
      </c>
      <c r="G3130" s="2" t="s">
        <v>392</v>
      </c>
      <c r="H3130" s="2" t="s">
        <v>18</v>
      </c>
      <c r="I3130" s="3" t="n">
        <v>37742</v>
      </c>
      <c r="J3130" s="2" t="s">
        <v>19</v>
      </c>
      <c r="K3130" s="2" t="s">
        <v>20</v>
      </c>
      <c r="L3130" s="4" t="s">
        <v>8931</v>
      </c>
    </row>
    <row r="3131" customFormat="false" ht="15.65" hidden="false" customHeight="true" outlineLevel="0" collapsed="false">
      <c r="A3131" s="5" t="str">
        <f aca="false">HYPERLINK("https://www.fabsurplus.com/sdi_catalog/salesItemDetails.do?id=109046")</f>
        <v>https://www.fabsurplus.com/sdi_catalog/salesItemDetails.do?id=109046</v>
      </c>
      <c r="B3131" s="5" t="s">
        <v>8932</v>
      </c>
      <c r="C3131" s="5" t="s">
        <v>8920</v>
      </c>
      <c r="D3131" s="5" t="s">
        <v>8929</v>
      </c>
      <c r="E3131" s="5" t="s">
        <v>8930</v>
      </c>
      <c r="F3131" s="5" t="s">
        <v>16</v>
      </c>
      <c r="G3131" s="5" t="s">
        <v>392</v>
      </c>
      <c r="H3131" s="5" t="s">
        <v>18</v>
      </c>
      <c r="I3131" s="6" t="n">
        <v>38108</v>
      </c>
      <c r="J3131" s="5" t="s">
        <v>19</v>
      </c>
      <c r="K3131" s="5" t="s">
        <v>20</v>
      </c>
      <c r="L3131" s="5" t="s">
        <v>8933</v>
      </c>
    </row>
    <row r="3132" customFormat="false" ht="15.65" hidden="false" customHeight="true" outlineLevel="0" collapsed="false">
      <c r="A3132" s="2" t="str">
        <f aca="false">HYPERLINK("https://www.fabsurplus.com/sdi_catalog/salesItemDetails.do?id=108032")</f>
        <v>https://www.fabsurplus.com/sdi_catalog/salesItemDetails.do?id=108032</v>
      </c>
      <c r="B3132" s="2" t="s">
        <v>8934</v>
      </c>
      <c r="C3132" s="2" t="s">
        <v>8935</v>
      </c>
      <c r="D3132" s="2" t="s">
        <v>8936</v>
      </c>
      <c r="E3132" s="2" t="s">
        <v>482</v>
      </c>
      <c r="F3132" s="2" t="s">
        <v>16</v>
      </c>
      <c r="G3132" s="2" t="s">
        <v>392</v>
      </c>
      <c r="H3132" s="2" t="s">
        <v>32</v>
      </c>
      <c r="I3132" s="3" t="n">
        <v>40269</v>
      </c>
      <c r="J3132" s="2" t="s">
        <v>19</v>
      </c>
      <c r="K3132" s="2" t="s">
        <v>20</v>
      </c>
      <c r="L3132" s="4" t="s">
        <v>8937</v>
      </c>
    </row>
    <row r="3133" customFormat="false" ht="15.65" hidden="false" customHeight="true" outlineLevel="0" collapsed="false">
      <c r="A3133" s="5" t="str">
        <f aca="false">HYPERLINK("https://www.fabsurplus.com/sdi_catalog/salesItemDetails.do?id=108030")</f>
        <v>https://www.fabsurplus.com/sdi_catalog/salesItemDetails.do?id=108030</v>
      </c>
      <c r="B3133" s="5" t="s">
        <v>8938</v>
      </c>
      <c r="C3133" s="5" t="s">
        <v>8935</v>
      </c>
      <c r="D3133" s="5" t="s">
        <v>8939</v>
      </c>
      <c r="E3133" s="5" t="s">
        <v>482</v>
      </c>
      <c r="F3133" s="5" t="s">
        <v>16</v>
      </c>
      <c r="G3133" s="5" t="s">
        <v>392</v>
      </c>
      <c r="H3133" s="5" t="s">
        <v>18</v>
      </c>
      <c r="I3133" s="6" t="n">
        <v>40299</v>
      </c>
      <c r="J3133" s="5" t="s">
        <v>19</v>
      </c>
      <c r="K3133" s="5" t="s">
        <v>20</v>
      </c>
      <c r="L3133" s="7" t="s">
        <v>8940</v>
      </c>
    </row>
    <row r="3134" customFormat="false" ht="15.65" hidden="false" customHeight="true" outlineLevel="0" collapsed="false">
      <c r="A3134" s="2" t="str">
        <f aca="false">HYPERLINK("https://www.fabsurplus.com/sdi_catalog/salesItemDetails.do?id=93103")</f>
        <v>https://www.fabsurplus.com/sdi_catalog/salesItemDetails.do?id=93103</v>
      </c>
      <c r="B3134" s="2" t="s">
        <v>8941</v>
      </c>
      <c r="C3134" s="2" t="s">
        <v>8942</v>
      </c>
      <c r="D3134" s="2" t="s">
        <v>8943</v>
      </c>
      <c r="E3134" s="2" t="s">
        <v>8944</v>
      </c>
      <c r="F3134" s="2" t="s">
        <v>16</v>
      </c>
      <c r="G3134" s="2" t="s">
        <v>1287</v>
      </c>
      <c r="H3134" s="2"/>
      <c r="I3134" s="2"/>
      <c r="J3134" s="2" t="s">
        <v>19</v>
      </c>
      <c r="K3134" s="2"/>
      <c r="L3134" s="2" t="s">
        <v>142</v>
      </c>
    </row>
    <row r="3135" customFormat="false" ht="15.65" hidden="false" customHeight="true" outlineLevel="0" collapsed="false">
      <c r="A3135" s="5" t="str">
        <f aca="false">HYPERLINK("https://www.fabsurplus.com/sdi_catalog/salesItemDetails.do?id=108853")</f>
        <v>https://www.fabsurplus.com/sdi_catalog/salesItemDetails.do?id=108853</v>
      </c>
      <c r="B3135" s="5" t="s">
        <v>8945</v>
      </c>
      <c r="C3135" s="5" t="s">
        <v>8946</v>
      </c>
      <c r="D3135" s="5" t="s">
        <v>8947</v>
      </c>
      <c r="E3135" s="5" t="s">
        <v>2820</v>
      </c>
      <c r="F3135" s="5" t="s">
        <v>16</v>
      </c>
      <c r="G3135" s="5"/>
      <c r="H3135" s="5"/>
      <c r="I3135" s="5"/>
      <c r="J3135" s="5" t="s">
        <v>42</v>
      </c>
      <c r="K3135" s="5"/>
      <c r="L3135" s="5" t="s">
        <v>131</v>
      </c>
    </row>
    <row r="3136" customFormat="false" ht="15.65" hidden="false" customHeight="true" outlineLevel="0" collapsed="false">
      <c r="A3136" s="2" t="str">
        <f aca="false">HYPERLINK("https://www.fabsurplus.com/sdi_catalog/salesItemDetails.do?id=108187")</f>
        <v>https://www.fabsurplus.com/sdi_catalog/salesItemDetails.do?id=108187</v>
      </c>
      <c r="B3136" s="2" t="s">
        <v>8948</v>
      </c>
      <c r="C3136" s="2" t="s">
        <v>8946</v>
      </c>
      <c r="D3136" s="2" t="s">
        <v>8949</v>
      </c>
      <c r="E3136" s="2" t="s">
        <v>8950</v>
      </c>
      <c r="F3136" s="2" t="s">
        <v>16</v>
      </c>
      <c r="G3136" s="2" t="s">
        <v>3031</v>
      </c>
      <c r="H3136" s="2"/>
      <c r="I3136" s="3" t="n">
        <v>35217</v>
      </c>
      <c r="J3136" s="2" t="s">
        <v>19</v>
      </c>
      <c r="K3136" s="2"/>
      <c r="L3136" s="2" t="s">
        <v>1480</v>
      </c>
    </row>
    <row r="3137" customFormat="false" ht="15.65" hidden="false" customHeight="true" outlineLevel="0" collapsed="false">
      <c r="A3137" s="5" t="str">
        <f aca="false">HYPERLINK("https://www.fabsurplus.com/sdi_catalog/salesItemDetails.do?id=108188")</f>
        <v>https://www.fabsurplus.com/sdi_catalog/salesItemDetails.do?id=108188</v>
      </c>
      <c r="B3137" s="5" t="s">
        <v>8951</v>
      </c>
      <c r="C3137" s="5" t="s">
        <v>8946</v>
      </c>
      <c r="D3137" s="5" t="s">
        <v>8952</v>
      </c>
      <c r="E3137" s="5" t="s">
        <v>8950</v>
      </c>
      <c r="F3137" s="5" t="s">
        <v>16</v>
      </c>
      <c r="G3137" s="5" t="s">
        <v>3031</v>
      </c>
      <c r="H3137" s="5"/>
      <c r="I3137" s="6" t="n">
        <v>35947</v>
      </c>
      <c r="J3137" s="5" t="s">
        <v>19</v>
      </c>
      <c r="K3137" s="5"/>
      <c r="L3137" s="5" t="s">
        <v>1480</v>
      </c>
    </row>
    <row r="3138" customFormat="false" ht="15.65" hidden="false" customHeight="true" outlineLevel="0" collapsed="false">
      <c r="A3138" s="2" t="str">
        <f aca="false">HYPERLINK("https://www.fabsurplus.com/sdi_catalog/salesItemDetails.do?id=108771")</f>
        <v>https://www.fabsurplus.com/sdi_catalog/salesItemDetails.do?id=108771</v>
      </c>
      <c r="B3138" s="2" t="s">
        <v>8953</v>
      </c>
      <c r="C3138" s="2" t="s">
        <v>8946</v>
      </c>
      <c r="D3138" s="2" t="s">
        <v>8954</v>
      </c>
      <c r="E3138" s="2" t="s">
        <v>8955</v>
      </c>
      <c r="F3138" s="2" t="s">
        <v>16</v>
      </c>
      <c r="G3138" s="2" t="s">
        <v>3031</v>
      </c>
      <c r="H3138" s="2" t="s">
        <v>275</v>
      </c>
      <c r="I3138" s="3" t="n">
        <v>34090</v>
      </c>
      <c r="J3138" s="2" t="s">
        <v>286</v>
      </c>
      <c r="K3138" s="2" t="s">
        <v>20</v>
      </c>
      <c r="L3138" s="4" t="s">
        <v>8956</v>
      </c>
    </row>
    <row r="3139" customFormat="false" ht="15.65" hidden="false" customHeight="true" outlineLevel="0" collapsed="false">
      <c r="A3139" s="5" t="str">
        <f aca="false">HYPERLINK("https://www.fabsurplus.com/sdi_catalog/salesItemDetails.do?id=108189")</f>
        <v>https://www.fabsurplus.com/sdi_catalog/salesItemDetails.do?id=108189</v>
      </c>
      <c r="B3139" s="5" t="s">
        <v>8957</v>
      </c>
      <c r="C3139" s="5" t="s">
        <v>8958</v>
      </c>
      <c r="D3139" s="5" t="s">
        <v>8959</v>
      </c>
      <c r="E3139" s="5" t="s">
        <v>8960</v>
      </c>
      <c r="F3139" s="5" t="s">
        <v>16</v>
      </c>
      <c r="G3139" s="5"/>
      <c r="H3139" s="5"/>
      <c r="I3139" s="5"/>
      <c r="J3139" s="5" t="s">
        <v>19</v>
      </c>
      <c r="K3139" s="5"/>
      <c r="L3139" s="5" t="s">
        <v>1480</v>
      </c>
    </row>
    <row r="3140" customFormat="false" ht="15.65" hidden="false" customHeight="true" outlineLevel="0" collapsed="false">
      <c r="A3140" s="2" t="str">
        <f aca="false">HYPERLINK("https://www.fabsurplus.com/sdi_catalog/salesItemDetails.do?id=108190")</f>
        <v>https://www.fabsurplus.com/sdi_catalog/salesItemDetails.do?id=108190</v>
      </c>
      <c r="B3140" s="2" t="s">
        <v>8961</v>
      </c>
      <c r="C3140" s="2" t="s">
        <v>8958</v>
      </c>
      <c r="D3140" s="2" t="s">
        <v>8962</v>
      </c>
      <c r="E3140" s="2" t="s">
        <v>8960</v>
      </c>
      <c r="F3140" s="2" t="s">
        <v>16</v>
      </c>
      <c r="G3140" s="2"/>
      <c r="H3140" s="2"/>
      <c r="I3140" s="2"/>
      <c r="J3140" s="2" t="s">
        <v>19</v>
      </c>
      <c r="K3140" s="2"/>
      <c r="L3140" s="2" t="s">
        <v>1480</v>
      </c>
    </row>
    <row r="3141" customFormat="false" ht="15.65" hidden="false" customHeight="true" outlineLevel="0" collapsed="false">
      <c r="A3141" s="5" t="str">
        <f aca="false">HYPERLINK("https://www.fabsurplus.com/sdi_catalog/salesItemDetails.do?id=109057")</f>
        <v>https://www.fabsurplus.com/sdi_catalog/salesItemDetails.do?id=109057</v>
      </c>
      <c r="B3141" s="5" t="s">
        <v>8963</v>
      </c>
      <c r="C3141" s="5" t="s">
        <v>8964</v>
      </c>
      <c r="D3141" s="5" t="s">
        <v>8965</v>
      </c>
      <c r="E3141" s="5" t="s">
        <v>2438</v>
      </c>
      <c r="F3141" s="5" t="s">
        <v>16</v>
      </c>
      <c r="G3141" s="5" t="s">
        <v>61</v>
      </c>
      <c r="H3141" s="5" t="s">
        <v>32</v>
      </c>
      <c r="I3141" s="5"/>
      <c r="J3141" s="5" t="s">
        <v>19</v>
      </c>
      <c r="K3141" s="5" t="s">
        <v>20</v>
      </c>
      <c r="L3141" s="5" t="s">
        <v>395</v>
      </c>
    </row>
    <row r="3142" customFormat="false" ht="15.65" hidden="false" customHeight="true" outlineLevel="0" collapsed="false">
      <c r="A3142" s="2" t="str">
        <f aca="false">HYPERLINK("https://www.fabsurplus.com/sdi_catalog/salesItemDetails.do?id=106503")</f>
        <v>https://www.fabsurplus.com/sdi_catalog/salesItemDetails.do?id=106503</v>
      </c>
      <c r="B3142" s="2" t="s">
        <v>8966</v>
      </c>
      <c r="C3142" s="2" t="s">
        <v>8964</v>
      </c>
      <c r="D3142" s="2" t="s">
        <v>8967</v>
      </c>
      <c r="E3142" s="2" t="s">
        <v>8968</v>
      </c>
      <c r="F3142" s="2" t="s">
        <v>16</v>
      </c>
      <c r="G3142" s="2" t="s">
        <v>2858</v>
      </c>
      <c r="H3142" s="2" t="s">
        <v>18</v>
      </c>
      <c r="I3142" s="2"/>
      <c r="J3142" s="2" t="s">
        <v>19</v>
      </c>
      <c r="K3142" s="2" t="s">
        <v>20</v>
      </c>
      <c r="L3142" s="2" t="s">
        <v>2863</v>
      </c>
    </row>
    <row r="3143" customFormat="false" ht="15.65" hidden="false" customHeight="true" outlineLevel="0" collapsed="false">
      <c r="A3143" s="5" t="str">
        <f aca="false">HYPERLINK("https://www.fabsurplus.com/sdi_catalog/salesItemDetails.do?id=109072")</f>
        <v>https://www.fabsurplus.com/sdi_catalog/salesItemDetails.do?id=109072</v>
      </c>
      <c r="B3143" s="5" t="s">
        <v>8969</v>
      </c>
      <c r="C3143" s="5" t="s">
        <v>8964</v>
      </c>
      <c r="D3143" s="5" t="s">
        <v>8970</v>
      </c>
      <c r="E3143" s="5" t="s">
        <v>3250</v>
      </c>
      <c r="F3143" s="5" t="s">
        <v>16</v>
      </c>
      <c r="G3143" s="5" t="s">
        <v>61</v>
      </c>
      <c r="H3143" s="5" t="s">
        <v>18</v>
      </c>
      <c r="I3143" s="6" t="n">
        <v>40330</v>
      </c>
      <c r="J3143" s="5" t="s">
        <v>19</v>
      </c>
      <c r="K3143" s="5" t="s">
        <v>20</v>
      </c>
      <c r="L3143" s="7" t="s">
        <v>8971</v>
      </c>
    </row>
    <row r="3144" customFormat="false" ht="15.65" hidden="false" customHeight="true" outlineLevel="0" collapsed="false">
      <c r="A3144" s="2" t="str">
        <f aca="false">HYPERLINK("https://www.fabsurplus.com/sdi_catalog/salesItemDetails.do?id=110610")</f>
        <v>https://www.fabsurplus.com/sdi_catalog/salesItemDetails.do?id=110610</v>
      </c>
      <c r="B3144" s="2" t="s">
        <v>8972</v>
      </c>
      <c r="C3144" s="2" t="s">
        <v>8973</v>
      </c>
      <c r="D3144" s="2" t="s">
        <v>8974</v>
      </c>
      <c r="E3144" s="2" t="s">
        <v>8197</v>
      </c>
      <c r="F3144" s="2" t="s">
        <v>16</v>
      </c>
      <c r="G3144" s="2" t="s">
        <v>70</v>
      </c>
      <c r="H3144" s="2" t="s">
        <v>32</v>
      </c>
      <c r="I3144" s="2"/>
      <c r="J3144" s="2" t="s">
        <v>19</v>
      </c>
      <c r="K3144" s="2" t="s">
        <v>20</v>
      </c>
      <c r="L3144" s="4" t="s">
        <v>8975</v>
      </c>
    </row>
    <row r="3145" customFormat="false" ht="15.65" hidden="false" customHeight="true" outlineLevel="0" collapsed="false">
      <c r="A3145" s="5" t="str">
        <f aca="false">HYPERLINK("https://www.fabsurplus.com/sdi_catalog/salesItemDetails.do?id=110618")</f>
        <v>https://www.fabsurplus.com/sdi_catalog/salesItemDetails.do?id=110618</v>
      </c>
      <c r="B3145" s="5" t="s">
        <v>8976</v>
      </c>
      <c r="C3145" s="5" t="s">
        <v>8973</v>
      </c>
      <c r="D3145" s="5" t="s">
        <v>8977</v>
      </c>
      <c r="E3145" s="5" t="s">
        <v>8197</v>
      </c>
      <c r="F3145" s="5" t="s">
        <v>16</v>
      </c>
      <c r="G3145" s="5"/>
      <c r="H3145" s="5" t="s">
        <v>1772</v>
      </c>
      <c r="I3145" s="6" t="n">
        <v>34516</v>
      </c>
      <c r="J3145" s="5" t="s">
        <v>19</v>
      </c>
      <c r="K3145" s="5" t="s">
        <v>20</v>
      </c>
      <c r="L3145" s="5"/>
    </row>
    <row r="3146" customFormat="false" ht="15.65" hidden="false" customHeight="true" outlineLevel="0" collapsed="false">
      <c r="A3146" s="2" t="str">
        <f aca="false">HYPERLINK("https://www.fabsurplus.com/sdi_catalog/salesItemDetails.do?id=103456")</f>
        <v>https://www.fabsurplus.com/sdi_catalog/salesItemDetails.do?id=103456</v>
      </c>
      <c r="B3146" s="2" t="s">
        <v>8978</v>
      </c>
      <c r="C3146" s="2" t="s">
        <v>8964</v>
      </c>
      <c r="D3146" s="2" t="s">
        <v>8979</v>
      </c>
      <c r="E3146" s="2" t="s">
        <v>8980</v>
      </c>
      <c r="F3146" s="2" t="s">
        <v>16</v>
      </c>
      <c r="G3146" s="2" t="s">
        <v>6759</v>
      </c>
      <c r="H3146" s="2"/>
      <c r="I3146" s="2"/>
      <c r="J3146" s="2" t="s">
        <v>19</v>
      </c>
      <c r="K3146" s="2"/>
      <c r="L3146" s="4" t="s">
        <v>8981</v>
      </c>
    </row>
    <row r="3147" customFormat="false" ht="15.65" hidden="false" customHeight="true" outlineLevel="0" collapsed="false">
      <c r="A3147" s="5" t="str">
        <f aca="false">HYPERLINK("https://www.fabsurplus.com/sdi_catalog/salesItemDetails.do?id=108854")</f>
        <v>https://www.fabsurplus.com/sdi_catalog/salesItemDetails.do?id=108854</v>
      </c>
      <c r="B3147" s="5" t="s">
        <v>8982</v>
      </c>
      <c r="C3147" s="5" t="s">
        <v>8973</v>
      </c>
      <c r="D3147" s="5" t="s">
        <v>8983</v>
      </c>
      <c r="E3147" s="5" t="s">
        <v>8984</v>
      </c>
      <c r="F3147" s="5" t="s">
        <v>16</v>
      </c>
      <c r="G3147" s="5"/>
      <c r="H3147" s="5"/>
      <c r="I3147" s="5"/>
      <c r="J3147" s="5" t="s">
        <v>42</v>
      </c>
      <c r="K3147" s="5"/>
      <c r="L3147" s="5" t="s">
        <v>131</v>
      </c>
    </row>
    <row r="3148" customFormat="false" ht="15.65" hidden="false" customHeight="true" outlineLevel="0" collapsed="false">
      <c r="A3148" s="2" t="str">
        <f aca="false">HYPERLINK("https://www.fabsurplus.com/sdi_catalog/salesItemDetails.do?id=108087")</f>
        <v>https://www.fabsurplus.com/sdi_catalog/salesItemDetails.do?id=108087</v>
      </c>
      <c r="B3148" s="2" t="s">
        <v>8985</v>
      </c>
      <c r="C3148" s="2" t="s">
        <v>8964</v>
      </c>
      <c r="D3148" s="2" t="s">
        <v>8986</v>
      </c>
      <c r="E3148" s="2" t="s">
        <v>8987</v>
      </c>
      <c r="F3148" s="2" t="s">
        <v>16</v>
      </c>
      <c r="G3148" s="2" t="s">
        <v>97</v>
      </c>
      <c r="H3148" s="2"/>
      <c r="I3148" s="2"/>
      <c r="J3148" s="2" t="s">
        <v>19</v>
      </c>
      <c r="K3148" s="2"/>
      <c r="L3148" s="2" t="s">
        <v>8988</v>
      </c>
    </row>
    <row r="3149" customFormat="false" ht="15.65" hidden="false" customHeight="true" outlineLevel="0" collapsed="false">
      <c r="A3149" s="5" t="str">
        <f aca="false">HYPERLINK("https://www.fabsurplus.com/sdi_catalog/salesItemDetails.do?id=108855")</f>
        <v>https://www.fabsurplus.com/sdi_catalog/salesItemDetails.do?id=108855</v>
      </c>
      <c r="B3149" s="5" t="s">
        <v>8989</v>
      </c>
      <c r="C3149" s="5" t="s">
        <v>8973</v>
      </c>
      <c r="D3149" s="5" t="s">
        <v>8990</v>
      </c>
      <c r="E3149" s="5" t="s">
        <v>8991</v>
      </c>
      <c r="F3149" s="5" t="s">
        <v>16</v>
      </c>
      <c r="G3149" s="5"/>
      <c r="H3149" s="5"/>
      <c r="I3149" s="5"/>
      <c r="J3149" s="5" t="s">
        <v>42</v>
      </c>
      <c r="K3149" s="5"/>
      <c r="L3149" s="5" t="s">
        <v>131</v>
      </c>
    </row>
    <row r="3150" customFormat="false" ht="15.65" hidden="false" customHeight="true" outlineLevel="0" collapsed="false">
      <c r="A3150" s="2" t="str">
        <f aca="false">HYPERLINK("https://www.fabsurplus.com/sdi_catalog/salesItemDetails.do?id=108088")</f>
        <v>https://www.fabsurplus.com/sdi_catalog/salesItemDetails.do?id=108088</v>
      </c>
      <c r="B3150" s="2" t="s">
        <v>8992</v>
      </c>
      <c r="C3150" s="2" t="s">
        <v>8964</v>
      </c>
      <c r="D3150" s="2" t="s">
        <v>8993</v>
      </c>
      <c r="E3150" s="2" t="s">
        <v>8994</v>
      </c>
      <c r="F3150" s="2" t="s">
        <v>16</v>
      </c>
      <c r="G3150" s="2" t="s">
        <v>97</v>
      </c>
      <c r="H3150" s="2"/>
      <c r="I3150" s="2"/>
      <c r="J3150" s="2" t="s">
        <v>19</v>
      </c>
      <c r="K3150" s="2"/>
      <c r="L3150" s="2" t="s">
        <v>8995</v>
      </c>
    </row>
    <row r="3151" customFormat="false" ht="15.65" hidden="false" customHeight="true" outlineLevel="0" collapsed="false">
      <c r="A3151" s="5" t="str">
        <f aca="false">HYPERLINK("https://www.fabsurplus.com/sdi_catalog/salesItemDetails.do?id=108089")</f>
        <v>https://www.fabsurplus.com/sdi_catalog/salesItemDetails.do?id=108089</v>
      </c>
      <c r="B3151" s="5" t="s">
        <v>8996</v>
      </c>
      <c r="C3151" s="5" t="s">
        <v>8964</v>
      </c>
      <c r="D3151" s="5" t="s">
        <v>8997</v>
      </c>
      <c r="E3151" s="5" t="s">
        <v>8998</v>
      </c>
      <c r="F3151" s="5" t="s">
        <v>16</v>
      </c>
      <c r="G3151" s="5" t="s">
        <v>97</v>
      </c>
      <c r="H3151" s="5"/>
      <c r="I3151" s="5"/>
      <c r="J3151" s="5" t="s">
        <v>19</v>
      </c>
      <c r="K3151" s="5"/>
      <c r="L3151" s="5" t="s">
        <v>8995</v>
      </c>
    </row>
    <row r="3152" customFormat="false" ht="15.65" hidden="false" customHeight="true" outlineLevel="0" collapsed="false">
      <c r="A3152" s="2" t="str">
        <f aca="false">HYPERLINK("https://www.fabsurplus.com/sdi_catalog/salesItemDetails.do?id=108090")</f>
        <v>https://www.fabsurplus.com/sdi_catalog/salesItemDetails.do?id=108090</v>
      </c>
      <c r="B3152" s="2" t="s">
        <v>8999</v>
      </c>
      <c r="C3152" s="2" t="s">
        <v>8964</v>
      </c>
      <c r="D3152" s="2" t="s">
        <v>8997</v>
      </c>
      <c r="E3152" s="2" t="s">
        <v>9000</v>
      </c>
      <c r="F3152" s="2" t="s">
        <v>16</v>
      </c>
      <c r="G3152" s="2" t="s">
        <v>97</v>
      </c>
      <c r="H3152" s="2" t="s">
        <v>18</v>
      </c>
      <c r="I3152" s="2"/>
      <c r="J3152" s="2" t="s">
        <v>19</v>
      </c>
      <c r="K3152" s="2" t="s">
        <v>20</v>
      </c>
      <c r="L3152" s="4" t="s">
        <v>9001</v>
      </c>
    </row>
    <row r="3153" customFormat="false" ht="15.65" hidden="false" customHeight="true" outlineLevel="0" collapsed="false">
      <c r="A3153" s="5" t="str">
        <f aca="false">HYPERLINK("https://www.fabsurplus.com/sdi_catalog/salesItemDetails.do?id=108092")</f>
        <v>https://www.fabsurplus.com/sdi_catalog/salesItemDetails.do?id=108092</v>
      </c>
      <c r="B3153" s="5" t="s">
        <v>9002</v>
      </c>
      <c r="C3153" s="5" t="s">
        <v>8964</v>
      </c>
      <c r="D3153" s="5" t="s">
        <v>9003</v>
      </c>
      <c r="E3153" s="5" t="s">
        <v>9004</v>
      </c>
      <c r="F3153" s="5" t="s">
        <v>86</v>
      </c>
      <c r="G3153" s="5" t="s">
        <v>38</v>
      </c>
      <c r="H3153" s="5"/>
      <c r="I3153" s="5"/>
      <c r="J3153" s="5" t="s">
        <v>19</v>
      </c>
      <c r="K3153" s="5"/>
      <c r="L3153" s="5"/>
    </row>
    <row r="3154" customFormat="false" ht="15.65" hidden="false" customHeight="true" outlineLevel="0" collapsed="false">
      <c r="A3154" s="2" t="str">
        <f aca="false">HYPERLINK("https://www.fabsurplus.com/sdi_catalog/salesItemDetails.do?id=108093")</f>
        <v>https://www.fabsurplus.com/sdi_catalog/salesItemDetails.do?id=108093</v>
      </c>
      <c r="B3154" s="2" t="s">
        <v>9005</v>
      </c>
      <c r="C3154" s="2" t="s">
        <v>8964</v>
      </c>
      <c r="D3154" s="2" t="s">
        <v>9006</v>
      </c>
      <c r="E3154" s="2" t="s">
        <v>9004</v>
      </c>
      <c r="F3154" s="2" t="s">
        <v>16</v>
      </c>
      <c r="G3154" s="2" t="s">
        <v>61</v>
      </c>
      <c r="H3154" s="2"/>
      <c r="I3154" s="2"/>
      <c r="J3154" s="2" t="s">
        <v>19</v>
      </c>
      <c r="K3154" s="2"/>
      <c r="L3154" s="2"/>
    </row>
    <row r="3155" customFormat="false" ht="15.65" hidden="false" customHeight="true" outlineLevel="0" collapsed="false">
      <c r="A3155" s="5" t="str">
        <f aca="false">HYPERLINK("https://www.fabsurplus.com/sdi_catalog/salesItemDetails.do?id=108094")</f>
        <v>https://www.fabsurplus.com/sdi_catalog/salesItemDetails.do?id=108094</v>
      </c>
      <c r="B3155" s="5" t="s">
        <v>9007</v>
      </c>
      <c r="C3155" s="5" t="s">
        <v>8964</v>
      </c>
      <c r="D3155" s="5" t="s">
        <v>9008</v>
      </c>
      <c r="E3155" s="5" t="s">
        <v>9004</v>
      </c>
      <c r="F3155" s="5" t="s">
        <v>16</v>
      </c>
      <c r="G3155" s="5" t="s">
        <v>38</v>
      </c>
      <c r="H3155" s="5"/>
      <c r="I3155" s="5"/>
      <c r="J3155" s="5" t="s">
        <v>19</v>
      </c>
      <c r="K3155" s="5"/>
      <c r="L3155" s="5"/>
    </row>
    <row r="3156" customFormat="false" ht="15.65" hidden="false" customHeight="true" outlineLevel="0" collapsed="false">
      <c r="A3156" s="2" t="str">
        <f aca="false">HYPERLINK("https://www.fabsurplus.com/sdi_catalog/salesItemDetails.do?id=108095")</f>
        <v>https://www.fabsurplus.com/sdi_catalog/salesItemDetails.do?id=108095</v>
      </c>
      <c r="B3156" s="2" t="s">
        <v>9009</v>
      </c>
      <c r="C3156" s="2" t="s">
        <v>8964</v>
      </c>
      <c r="D3156" s="2" t="s">
        <v>9010</v>
      </c>
      <c r="E3156" s="2" t="s">
        <v>9011</v>
      </c>
      <c r="F3156" s="2" t="s">
        <v>151</v>
      </c>
      <c r="G3156" s="2" t="s">
        <v>97</v>
      </c>
      <c r="H3156" s="2" t="s">
        <v>18</v>
      </c>
      <c r="I3156" s="2"/>
      <c r="J3156" s="2" t="s">
        <v>19</v>
      </c>
      <c r="K3156" s="2" t="s">
        <v>20</v>
      </c>
      <c r="L3156" s="4" t="s">
        <v>9012</v>
      </c>
    </row>
    <row r="3157" customFormat="false" ht="15.65" hidden="false" customHeight="true" outlineLevel="0" collapsed="false">
      <c r="A3157" s="5" t="str">
        <f aca="false">HYPERLINK("https://www.fabsurplus.com/sdi_catalog/salesItemDetails.do?id=108096")</f>
        <v>https://www.fabsurplus.com/sdi_catalog/salesItemDetails.do?id=108096</v>
      </c>
      <c r="B3157" s="5" t="s">
        <v>9013</v>
      </c>
      <c r="C3157" s="5" t="s">
        <v>8964</v>
      </c>
      <c r="D3157" s="5" t="s">
        <v>9014</v>
      </c>
      <c r="E3157" s="5" t="s">
        <v>9011</v>
      </c>
      <c r="F3157" s="5" t="s">
        <v>151</v>
      </c>
      <c r="G3157" s="5" t="s">
        <v>97</v>
      </c>
      <c r="H3157" s="5"/>
      <c r="I3157" s="5"/>
      <c r="J3157" s="5" t="s">
        <v>19</v>
      </c>
      <c r="K3157" s="5"/>
      <c r="L3157" s="5"/>
    </row>
    <row r="3158" customFormat="false" ht="15.65" hidden="false" customHeight="true" outlineLevel="0" collapsed="false">
      <c r="A3158" s="2" t="str">
        <f aca="false">HYPERLINK("https://www.fabsurplus.com/sdi_catalog/salesItemDetails.do?id=108097")</f>
        <v>https://www.fabsurplus.com/sdi_catalog/salesItemDetails.do?id=108097</v>
      </c>
      <c r="B3158" s="2" t="s">
        <v>9015</v>
      </c>
      <c r="C3158" s="2" t="s">
        <v>8964</v>
      </c>
      <c r="D3158" s="2" t="s">
        <v>9016</v>
      </c>
      <c r="E3158" s="2" t="s">
        <v>9011</v>
      </c>
      <c r="F3158" s="2" t="s">
        <v>108</v>
      </c>
      <c r="G3158" s="2" t="s">
        <v>97</v>
      </c>
      <c r="H3158" s="2"/>
      <c r="I3158" s="2"/>
      <c r="J3158" s="2" t="s">
        <v>19</v>
      </c>
      <c r="K3158" s="2"/>
      <c r="L3158" s="2"/>
    </row>
    <row r="3159" customFormat="false" ht="15.65" hidden="false" customHeight="true" outlineLevel="0" collapsed="false">
      <c r="A3159" s="5" t="str">
        <f aca="false">HYPERLINK("https://www.fabsurplus.com/sdi_catalog/salesItemDetails.do?id=108098")</f>
        <v>https://www.fabsurplus.com/sdi_catalog/salesItemDetails.do?id=108098</v>
      </c>
      <c r="B3159" s="5" t="s">
        <v>9017</v>
      </c>
      <c r="C3159" s="5" t="s">
        <v>8964</v>
      </c>
      <c r="D3159" s="5" t="s">
        <v>9018</v>
      </c>
      <c r="E3159" s="5" t="s">
        <v>9019</v>
      </c>
      <c r="F3159" s="5" t="s">
        <v>151</v>
      </c>
      <c r="G3159" s="5" t="s">
        <v>97</v>
      </c>
      <c r="H3159" s="5"/>
      <c r="I3159" s="5"/>
      <c r="J3159" s="5" t="s">
        <v>19</v>
      </c>
      <c r="K3159" s="5"/>
      <c r="L3159" s="5" t="s">
        <v>8995</v>
      </c>
    </row>
    <row r="3160" customFormat="false" ht="15.65" hidden="false" customHeight="true" outlineLevel="0" collapsed="false">
      <c r="A3160" s="2" t="str">
        <f aca="false">HYPERLINK("https://www.fabsurplus.com/sdi_catalog/salesItemDetails.do?id=99396")</f>
        <v>https://www.fabsurplus.com/sdi_catalog/salesItemDetails.do?id=99396</v>
      </c>
      <c r="B3160" s="2" t="s">
        <v>9020</v>
      </c>
      <c r="C3160" s="2" t="s">
        <v>8964</v>
      </c>
      <c r="D3160" s="2" t="s">
        <v>9021</v>
      </c>
      <c r="E3160" s="2" t="s">
        <v>9022</v>
      </c>
      <c r="F3160" s="2" t="s">
        <v>16</v>
      </c>
      <c r="G3160" s="2" t="s">
        <v>70</v>
      </c>
      <c r="H3160" s="2" t="s">
        <v>32</v>
      </c>
      <c r="I3160" s="2"/>
      <c r="J3160" s="2" t="s">
        <v>19</v>
      </c>
      <c r="K3160" s="2" t="s">
        <v>20</v>
      </c>
      <c r="L3160" s="4" t="s">
        <v>9023</v>
      </c>
    </row>
    <row r="3161" customFormat="false" ht="15.65" hidden="false" customHeight="true" outlineLevel="0" collapsed="false">
      <c r="A3161" s="5" t="str">
        <f aca="false">HYPERLINK("https://www.fabsurplus.com/sdi_catalog/salesItemDetails.do?id=103238")</f>
        <v>https://www.fabsurplus.com/sdi_catalog/salesItemDetails.do?id=103238</v>
      </c>
      <c r="B3161" s="5" t="s">
        <v>9024</v>
      </c>
      <c r="C3161" s="5" t="s">
        <v>8973</v>
      </c>
      <c r="D3161" s="5" t="s">
        <v>9025</v>
      </c>
      <c r="E3161" s="5" t="s">
        <v>9026</v>
      </c>
      <c r="F3161" s="5" t="s">
        <v>16</v>
      </c>
      <c r="G3161" s="5" t="s">
        <v>61</v>
      </c>
      <c r="H3161" s="5" t="s">
        <v>32</v>
      </c>
      <c r="I3161" s="5"/>
      <c r="J3161" s="5" t="s">
        <v>19</v>
      </c>
      <c r="K3161" s="5" t="s">
        <v>20</v>
      </c>
      <c r="L3161" s="7" t="s">
        <v>9027</v>
      </c>
    </row>
    <row r="3162" customFormat="false" ht="15.65" hidden="false" customHeight="true" outlineLevel="0" collapsed="false">
      <c r="A3162" s="2" t="str">
        <f aca="false">HYPERLINK("https://www.fabsurplus.com/sdi_catalog/salesItemDetails.do?id=110663")</f>
        <v>https://www.fabsurplus.com/sdi_catalog/salesItemDetails.do?id=110663</v>
      </c>
      <c r="B3162" s="2" t="s">
        <v>9028</v>
      </c>
      <c r="C3162" s="2" t="s">
        <v>8964</v>
      </c>
      <c r="D3162" s="2" t="s">
        <v>9029</v>
      </c>
      <c r="E3162" s="2" t="s">
        <v>9030</v>
      </c>
      <c r="F3162" s="2" t="s">
        <v>16</v>
      </c>
      <c r="G3162" s="2" t="s">
        <v>61</v>
      </c>
      <c r="H3162" s="2" t="s">
        <v>32</v>
      </c>
      <c r="I3162" s="2"/>
      <c r="J3162" s="2" t="s">
        <v>19</v>
      </c>
      <c r="K3162" s="2" t="s">
        <v>20</v>
      </c>
      <c r="L3162" s="2" t="s">
        <v>395</v>
      </c>
    </row>
    <row r="3163" customFormat="false" ht="15.65" hidden="false" customHeight="true" outlineLevel="0" collapsed="false">
      <c r="A3163" s="5" t="str">
        <f aca="false">HYPERLINK("https://www.fabsurplus.com/sdi_catalog/salesItemDetails.do?id=110664")</f>
        <v>https://www.fabsurplus.com/sdi_catalog/salesItemDetails.do?id=110664</v>
      </c>
      <c r="B3163" s="5" t="s">
        <v>9031</v>
      </c>
      <c r="C3163" s="5" t="s">
        <v>8964</v>
      </c>
      <c r="D3163" s="5" t="s">
        <v>9032</v>
      </c>
      <c r="E3163" s="5" t="s">
        <v>3250</v>
      </c>
      <c r="F3163" s="5" t="s">
        <v>16</v>
      </c>
      <c r="G3163" s="5" t="s">
        <v>38</v>
      </c>
      <c r="H3163" s="5" t="s">
        <v>32</v>
      </c>
      <c r="I3163" s="5"/>
      <c r="J3163" s="5" t="s">
        <v>19</v>
      </c>
      <c r="K3163" s="5" t="s">
        <v>20</v>
      </c>
      <c r="L3163" s="5" t="s">
        <v>395</v>
      </c>
    </row>
    <row r="3164" customFormat="false" ht="15.65" hidden="false" customHeight="true" outlineLevel="0" collapsed="false">
      <c r="A3164" s="2" t="str">
        <f aca="false">HYPERLINK("https://www.fabsurplus.com/sdi_catalog/salesItemDetails.do?id=108643")</f>
        <v>https://www.fabsurplus.com/sdi_catalog/salesItemDetails.do?id=108643</v>
      </c>
      <c r="B3164" s="2" t="s">
        <v>9033</v>
      </c>
      <c r="C3164" s="2" t="s">
        <v>8964</v>
      </c>
      <c r="D3164" s="2" t="s">
        <v>9034</v>
      </c>
      <c r="E3164" s="2" t="s">
        <v>8197</v>
      </c>
      <c r="F3164" s="2" t="s">
        <v>16</v>
      </c>
      <c r="G3164" s="2" t="s">
        <v>2858</v>
      </c>
      <c r="H3164" s="2" t="s">
        <v>32</v>
      </c>
      <c r="I3164" s="3" t="n">
        <v>38869</v>
      </c>
      <c r="J3164" s="2" t="s">
        <v>19</v>
      </c>
      <c r="K3164" s="2" t="s">
        <v>20</v>
      </c>
      <c r="L3164" s="4" t="s">
        <v>9035</v>
      </c>
    </row>
    <row r="3165" customFormat="false" ht="15.65" hidden="false" customHeight="true" outlineLevel="0" collapsed="false">
      <c r="A3165" s="5" t="str">
        <f aca="false">HYPERLINK("https://www.fabsurplus.com/sdi_catalog/salesItemDetails.do?id=108904")</f>
        <v>https://www.fabsurplus.com/sdi_catalog/salesItemDetails.do?id=108904</v>
      </c>
      <c r="B3165" s="5" t="s">
        <v>9036</v>
      </c>
      <c r="C3165" s="5" t="s">
        <v>8964</v>
      </c>
      <c r="D3165" s="5" t="s">
        <v>9037</v>
      </c>
      <c r="E3165" s="5" t="s">
        <v>9038</v>
      </c>
      <c r="F3165" s="5" t="s">
        <v>16</v>
      </c>
      <c r="G3165" s="5" t="s">
        <v>61</v>
      </c>
      <c r="H3165" s="5" t="s">
        <v>32</v>
      </c>
      <c r="I3165" s="6" t="n">
        <v>38473</v>
      </c>
      <c r="J3165" s="5" t="s">
        <v>19</v>
      </c>
      <c r="K3165" s="5" t="s">
        <v>20</v>
      </c>
      <c r="L3165" s="7" t="s">
        <v>9039</v>
      </c>
    </row>
    <row r="3166" customFormat="false" ht="15.65" hidden="false" customHeight="true" outlineLevel="0" collapsed="false">
      <c r="A3166" s="2" t="str">
        <f aca="false">HYPERLINK("https://www.fabsurplus.com/sdi_catalog/salesItemDetails.do?id=108923")</f>
        <v>https://www.fabsurplus.com/sdi_catalog/salesItemDetails.do?id=108923</v>
      </c>
      <c r="B3166" s="2" t="s">
        <v>9040</v>
      </c>
      <c r="C3166" s="2" t="s">
        <v>8964</v>
      </c>
      <c r="D3166" s="2" t="s">
        <v>9041</v>
      </c>
      <c r="E3166" s="2" t="s">
        <v>9042</v>
      </c>
      <c r="F3166" s="2" t="s">
        <v>16</v>
      </c>
      <c r="G3166" s="2" t="s">
        <v>6309</v>
      </c>
      <c r="H3166" s="2" t="s">
        <v>18</v>
      </c>
      <c r="I3166" s="3" t="n">
        <v>40664</v>
      </c>
      <c r="J3166" s="2" t="s">
        <v>19</v>
      </c>
      <c r="K3166" s="2" t="s">
        <v>20</v>
      </c>
      <c r="L3166" s="4" t="s">
        <v>7841</v>
      </c>
    </row>
    <row r="3167" customFormat="false" ht="15.65" hidden="false" customHeight="true" outlineLevel="0" collapsed="false">
      <c r="A3167" s="5" t="str">
        <f aca="false">HYPERLINK("https://www.fabsurplus.com/sdi_catalog/salesItemDetails.do?id=109215")</f>
        <v>https://www.fabsurplus.com/sdi_catalog/salesItemDetails.do?id=109215</v>
      </c>
      <c r="B3167" s="5" t="s">
        <v>9043</v>
      </c>
      <c r="C3167" s="5" t="s">
        <v>8964</v>
      </c>
      <c r="D3167" s="5" t="s">
        <v>9044</v>
      </c>
      <c r="E3167" s="5" t="s">
        <v>9045</v>
      </c>
      <c r="F3167" s="5" t="s">
        <v>16</v>
      </c>
      <c r="G3167" s="5" t="s">
        <v>84</v>
      </c>
      <c r="H3167" s="5"/>
      <c r="I3167" s="5"/>
      <c r="J3167" s="5" t="s">
        <v>19</v>
      </c>
      <c r="K3167" s="5"/>
      <c r="L3167" s="5"/>
    </row>
    <row r="3168" customFormat="false" ht="15.65" hidden="false" customHeight="true" outlineLevel="0" collapsed="false">
      <c r="A3168" s="2" t="str">
        <f aca="false">HYPERLINK("https://www.fabsurplus.com/sdi_catalog/salesItemDetails.do?id=108965")</f>
        <v>https://www.fabsurplus.com/sdi_catalog/salesItemDetails.do?id=108965</v>
      </c>
      <c r="B3168" s="2" t="s">
        <v>9046</v>
      </c>
      <c r="C3168" s="2" t="s">
        <v>8964</v>
      </c>
      <c r="D3168" s="2" t="s">
        <v>9047</v>
      </c>
      <c r="E3168" s="2" t="s">
        <v>9048</v>
      </c>
      <c r="F3168" s="2" t="s">
        <v>16</v>
      </c>
      <c r="G3168" s="2" t="s">
        <v>3031</v>
      </c>
      <c r="H3168" s="2" t="s">
        <v>18</v>
      </c>
      <c r="I3168" s="2"/>
      <c r="J3168" s="2" t="s">
        <v>19</v>
      </c>
      <c r="K3168" s="2" t="s">
        <v>20</v>
      </c>
      <c r="L3168" s="4" t="s">
        <v>9049</v>
      </c>
    </row>
    <row r="3169" customFormat="false" ht="15.65" hidden="false" customHeight="true" outlineLevel="0" collapsed="false">
      <c r="A3169" s="5" t="str">
        <f aca="false">HYPERLINK("https://www.fabsurplus.com/sdi_catalog/salesItemDetails.do?id=18867")</f>
        <v>https://www.fabsurplus.com/sdi_catalog/salesItemDetails.do?id=18867</v>
      </c>
      <c r="B3169" s="5" t="s">
        <v>9050</v>
      </c>
      <c r="C3169" s="5" t="s">
        <v>8973</v>
      </c>
      <c r="D3169" s="5" t="s">
        <v>9051</v>
      </c>
      <c r="E3169" s="5" t="s">
        <v>9052</v>
      </c>
      <c r="F3169" s="5" t="s">
        <v>16</v>
      </c>
      <c r="G3169" s="5"/>
      <c r="H3169" s="5" t="s">
        <v>32</v>
      </c>
      <c r="I3169" s="5"/>
      <c r="J3169" s="5" t="s">
        <v>19</v>
      </c>
      <c r="K3169" s="5" t="s">
        <v>20</v>
      </c>
      <c r="L3169" s="7" t="s">
        <v>9053</v>
      </c>
    </row>
    <row r="3170" customFormat="false" ht="15.65" hidden="false" customHeight="true" outlineLevel="0" collapsed="false">
      <c r="A3170" s="2" t="str">
        <f aca="false">HYPERLINK("https://www.fabsurplus.com/sdi_catalog/salesItemDetails.do?id=98484")</f>
        <v>https://www.fabsurplus.com/sdi_catalog/salesItemDetails.do?id=98484</v>
      </c>
      <c r="B3170" s="2" t="s">
        <v>9054</v>
      </c>
      <c r="C3170" s="2" t="s">
        <v>8964</v>
      </c>
      <c r="D3170" s="2" t="s">
        <v>9055</v>
      </c>
      <c r="E3170" s="2" t="s">
        <v>8192</v>
      </c>
      <c r="F3170" s="2" t="s">
        <v>16</v>
      </c>
      <c r="G3170" s="2" t="s">
        <v>9056</v>
      </c>
      <c r="H3170" s="2" t="s">
        <v>32</v>
      </c>
      <c r="I3170" s="2"/>
      <c r="J3170" s="2" t="s">
        <v>19</v>
      </c>
      <c r="K3170" s="2" t="s">
        <v>20</v>
      </c>
      <c r="L3170" s="2" t="s">
        <v>518</v>
      </c>
    </row>
    <row r="3171" customFormat="false" ht="15.65" hidden="false" customHeight="true" outlineLevel="0" collapsed="false">
      <c r="A3171" s="5" t="str">
        <f aca="false">HYPERLINK("https://www.fabsurplus.com/sdi_catalog/salesItemDetails.do?id=98485")</f>
        <v>https://www.fabsurplus.com/sdi_catalog/salesItemDetails.do?id=98485</v>
      </c>
      <c r="B3171" s="5" t="s">
        <v>9057</v>
      </c>
      <c r="C3171" s="5" t="s">
        <v>8964</v>
      </c>
      <c r="D3171" s="5" t="s">
        <v>9058</v>
      </c>
      <c r="E3171" s="5" t="s">
        <v>9059</v>
      </c>
      <c r="F3171" s="5" t="s">
        <v>86</v>
      </c>
      <c r="G3171" s="5" t="s">
        <v>9056</v>
      </c>
      <c r="H3171" s="5" t="s">
        <v>32</v>
      </c>
      <c r="I3171" s="5"/>
      <c r="J3171" s="5" t="s">
        <v>19</v>
      </c>
      <c r="K3171" s="5" t="s">
        <v>20</v>
      </c>
      <c r="L3171" s="7" t="s">
        <v>9060</v>
      </c>
    </row>
    <row r="3172" customFormat="false" ht="15.65" hidden="false" customHeight="true" outlineLevel="0" collapsed="false">
      <c r="A3172" s="2" t="str">
        <f aca="false">HYPERLINK("https://www.fabsurplus.com/sdi_catalog/salesItemDetails.do?id=106956")</f>
        <v>https://www.fabsurplus.com/sdi_catalog/salesItemDetails.do?id=106956</v>
      </c>
      <c r="B3172" s="2" t="s">
        <v>9061</v>
      </c>
      <c r="C3172" s="2" t="s">
        <v>8964</v>
      </c>
      <c r="D3172" s="2" t="s">
        <v>9062</v>
      </c>
      <c r="E3172" s="2" t="s">
        <v>9063</v>
      </c>
      <c r="F3172" s="2" t="s">
        <v>16</v>
      </c>
      <c r="G3172" s="2" t="s">
        <v>165</v>
      </c>
      <c r="H3172" s="2" t="s">
        <v>32</v>
      </c>
      <c r="I3172" s="2"/>
      <c r="J3172" s="2" t="s">
        <v>19</v>
      </c>
      <c r="K3172" s="2" t="s">
        <v>20</v>
      </c>
      <c r="L3172" s="2"/>
    </row>
    <row r="3173" customFormat="false" ht="15.65" hidden="false" customHeight="true" outlineLevel="0" collapsed="false">
      <c r="A3173" s="5" t="str">
        <f aca="false">HYPERLINK("https://www.fabsurplus.com/sdi_catalog/salesItemDetails.do?id=32206")</f>
        <v>https://www.fabsurplus.com/sdi_catalog/salesItemDetails.do?id=32206</v>
      </c>
      <c r="B3173" s="5" t="s">
        <v>9064</v>
      </c>
      <c r="C3173" s="5" t="s">
        <v>8973</v>
      </c>
      <c r="D3173" s="5" t="s">
        <v>9065</v>
      </c>
      <c r="E3173" s="5" t="s">
        <v>9066</v>
      </c>
      <c r="F3173" s="5" t="s">
        <v>151</v>
      </c>
      <c r="G3173" s="5" t="s">
        <v>9067</v>
      </c>
      <c r="H3173" s="5" t="s">
        <v>18</v>
      </c>
      <c r="I3173" s="5"/>
      <c r="J3173" s="5" t="s">
        <v>19</v>
      </c>
      <c r="K3173" s="5" t="s">
        <v>20</v>
      </c>
      <c r="L3173" s="5" t="s">
        <v>9068</v>
      </c>
    </row>
    <row r="3174" customFormat="false" ht="15.65" hidden="false" customHeight="true" outlineLevel="0" collapsed="false">
      <c r="A3174" s="2" t="str">
        <f aca="false">HYPERLINK("https://www.fabsurplus.com/sdi_catalog/salesItemDetails.do?id=106707")</f>
        <v>https://www.fabsurplus.com/sdi_catalog/salesItemDetails.do?id=106707</v>
      </c>
      <c r="B3174" s="2" t="s">
        <v>9069</v>
      </c>
      <c r="C3174" s="2" t="s">
        <v>8973</v>
      </c>
      <c r="D3174" s="2" t="s">
        <v>9070</v>
      </c>
      <c r="E3174" s="2" t="s">
        <v>7334</v>
      </c>
      <c r="F3174" s="2" t="s">
        <v>16</v>
      </c>
      <c r="G3174" s="2" t="s">
        <v>61</v>
      </c>
      <c r="H3174" s="2"/>
      <c r="I3174" s="2"/>
      <c r="J3174" s="2" t="s">
        <v>19</v>
      </c>
      <c r="K3174" s="2"/>
      <c r="L3174" s="2" t="s">
        <v>518</v>
      </c>
    </row>
    <row r="3175" customFormat="false" ht="15.65" hidden="false" customHeight="true" outlineLevel="0" collapsed="false">
      <c r="A3175" s="5" t="str">
        <f aca="false">HYPERLINK("https://www.fabsurplus.com/sdi_catalog/salesItemDetails.do?id=106708")</f>
        <v>https://www.fabsurplus.com/sdi_catalog/salesItemDetails.do?id=106708</v>
      </c>
      <c r="B3175" s="5" t="s">
        <v>9071</v>
      </c>
      <c r="C3175" s="5" t="s">
        <v>8973</v>
      </c>
      <c r="D3175" s="5" t="s">
        <v>9070</v>
      </c>
      <c r="E3175" s="5" t="s">
        <v>7334</v>
      </c>
      <c r="F3175" s="5" t="s">
        <v>16</v>
      </c>
      <c r="G3175" s="5" t="s">
        <v>61</v>
      </c>
      <c r="H3175" s="5"/>
      <c r="I3175" s="5"/>
      <c r="J3175" s="5" t="s">
        <v>19</v>
      </c>
      <c r="K3175" s="5"/>
      <c r="L3175" s="5" t="s">
        <v>518</v>
      </c>
    </row>
    <row r="3176" customFormat="false" ht="15.65" hidden="false" customHeight="true" outlineLevel="0" collapsed="false">
      <c r="A3176" s="2" t="str">
        <f aca="false">HYPERLINK("https://www.fabsurplus.com/sdi_catalog/salesItemDetails.do?id=106709")</f>
        <v>https://www.fabsurplus.com/sdi_catalog/salesItemDetails.do?id=106709</v>
      </c>
      <c r="B3176" s="2" t="s">
        <v>9072</v>
      </c>
      <c r="C3176" s="2" t="s">
        <v>8973</v>
      </c>
      <c r="D3176" s="2" t="s">
        <v>9073</v>
      </c>
      <c r="E3176" s="2" t="s">
        <v>7334</v>
      </c>
      <c r="F3176" s="2" t="s">
        <v>16</v>
      </c>
      <c r="G3176" s="2" t="s">
        <v>61</v>
      </c>
      <c r="H3176" s="2"/>
      <c r="I3176" s="2"/>
      <c r="J3176" s="2" t="s">
        <v>19</v>
      </c>
      <c r="K3176" s="2"/>
      <c r="L3176" s="2" t="s">
        <v>518</v>
      </c>
    </row>
    <row r="3177" customFormat="false" ht="15.65" hidden="false" customHeight="true" outlineLevel="0" collapsed="false">
      <c r="A3177" s="5" t="str">
        <f aca="false">HYPERLINK("https://www.fabsurplus.com/sdi_catalog/salesItemDetails.do?id=109278")</f>
        <v>https://www.fabsurplus.com/sdi_catalog/salesItemDetails.do?id=109278</v>
      </c>
      <c r="B3177" s="5" t="s">
        <v>9074</v>
      </c>
      <c r="C3177" s="5" t="s">
        <v>8964</v>
      </c>
      <c r="D3177" s="5" t="s">
        <v>9075</v>
      </c>
      <c r="E3177" s="5" t="s">
        <v>3161</v>
      </c>
      <c r="F3177" s="5" t="s">
        <v>16</v>
      </c>
      <c r="G3177" s="5" t="s">
        <v>38</v>
      </c>
      <c r="H3177" s="5" t="s">
        <v>32</v>
      </c>
      <c r="I3177" s="6" t="n">
        <v>36647</v>
      </c>
      <c r="J3177" s="5" t="s">
        <v>19</v>
      </c>
      <c r="K3177" s="5" t="s">
        <v>20</v>
      </c>
      <c r="L3177" s="5" t="s">
        <v>9076</v>
      </c>
    </row>
    <row r="3178" customFormat="false" ht="15.65" hidden="false" customHeight="true" outlineLevel="0" collapsed="false">
      <c r="A3178" s="2" t="str">
        <f aca="false">HYPERLINK("https://www.fabsurplus.com/sdi_catalog/salesItemDetails.do?id=109536")</f>
        <v>https://www.fabsurplus.com/sdi_catalog/salesItemDetails.do?id=109536</v>
      </c>
      <c r="B3178" s="2" t="s">
        <v>9077</v>
      </c>
      <c r="C3178" s="2" t="s">
        <v>8964</v>
      </c>
      <c r="D3178" s="2" t="s">
        <v>9078</v>
      </c>
      <c r="E3178" s="2" t="s">
        <v>9079</v>
      </c>
      <c r="F3178" s="2" t="s">
        <v>16</v>
      </c>
      <c r="G3178" s="2" t="s">
        <v>38</v>
      </c>
      <c r="H3178" s="2" t="s">
        <v>275</v>
      </c>
      <c r="I3178" s="3" t="n">
        <v>37773</v>
      </c>
      <c r="J3178" s="2" t="s">
        <v>286</v>
      </c>
      <c r="K3178" s="2" t="s">
        <v>20</v>
      </c>
      <c r="L3178" s="4" t="s">
        <v>9080</v>
      </c>
    </row>
    <row r="3179" customFormat="false" ht="15.65" hidden="false" customHeight="true" outlineLevel="0" collapsed="false">
      <c r="A3179" s="5" t="str">
        <f aca="false">HYPERLINK("https://www.fabsurplus.com/sdi_catalog/salesItemDetails.do?id=108772")</f>
        <v>https://www.fabsurplus.com/sdi_catalog/salesItemDetails.do?id=108772</v>
      </c>
      <c r="B3179" s="5" t="s">
        <v>9081</v>
      </c>
      <c r="C3179" s="5" t="s">
        <v>8964</v>
      </c>
      <c r="D3179" s="5" t="s">
        <v>8977</v>
      </c>
      <c r="E3179" s="5" t="s">
        <v>7334</v>
      </c>
      <c r="F3179" s="5" t="s">
        <v>16</v>
      </c>
      <c r="G3179" s="5" t="s">
        <v>1298</v>
      </c>
      <c r="H3179" s="5" t="s">
        <v>18</v>
      </c>
      <c r="I3179" s="6" t="n">
        <v>34455</v>
      </c>
      <c r="J3179" s="5" t="s">
        <v>19</v>
      </c>
      <c r="K3179" s="5" t="s">
        <v>20</v>
      </c>
      <c r="L3179" s="5" t="s">
        <v>9082</v>
      </c>
    </row>
    <row r="3180" customFormat="false" ht="15.65" hidden="false" customHeight="true" outlineLevel="0" collapsed="false">
      <c r="A3180" s="2" t="str">
        <f aca="false">HYPERLINK("https://www.fabsurplus.com/sdi_catalog/salesItemDetails.do?id=91376")</f>
        <v>https://www.fabsurplus.com/sdi_catalog/salesItemDetails.do?id=91376</v>
      </c>
      <c r="B3180" s="2" t="s">
        <v>9083</v>
      </c>
      <c r="C3180" s="2" t="s">
        <v>8973</v>
      </c>
      <c r="D3180" s="2" t="s">
        <v>9084</v>
      </c>
      <c r="E3180" s="2" t="s">
        <v>9085</v>
      </c>
      <c r="F3180" s="2" t="s">
        <v>16</v>
      </c>
      <c r="G3180" s="2" t="s">
        <v>38</v>
      </c>
      <c r="H3180" s="2"/>
      <c r="I3180" s="2"/>
      <c r="J3180" s="2" t="s">
        <v>19</v>
      </c>
      <c r="K3180" s="2"/>
      <c r="L3180" s="2" t="s">
        <v>142</v>
      </c>
    </row>
    <row r="3181" customFormat="false" ht="15.65" hidden="false" customHeight="true" outlineLevel="0" collapsed="false">
      <c r="A3181" s="5" t="str">
        <f aca="false">HYPERLINK("https://www.fabsurplus.com/sdi_catalog/salesItemDetails.do?id=108784")</f>
        <v>https://www.fabsurplus.com/sdi_catalog/salesItemDetails.do?id=108784</v>
      </c>
      <c r="B3181" s="5" t="s">
        <v>9086</v>
      </c>
      <c r="C3181" s="5" t="s">
        <v>8964</v>
      </c>
      <c r="D3181" s="5" t="s">
        <v>9087</v>
      </c>
      <c r="E3181" s="5" t="s">
        <v>9088</v>
      </c>
      <c r="F3181" s="5" t="s">
        <v>16</v>
      </c>
      <c r="G3181" s="5" t="s">
        <v>38</v>
      </c>
      <c r="H3181" s="5" t="s">
        <v>18</v>
      </c>
      <c r="I3181" s="6" t="n">
        <v>35551</v>
      </c>
      <c r="J3181" s="5" t="s">
        <v>19</v>
      </c>
      <c r="K3181" s="5" t="s">
        <v>20</v>
      </c>
      <c r="L3181" s="7" t="s">
        <v>9089</v>
      </c>
    </row>
    <row r="3182" customFormat="false" ht="15.65" hidden="false" customHeight="true" outlineLevel="0" collapsed="false">
      <c r="A3182" s="2" t="str">
        <f aca="false">HYPERLINK("https://www.fabsurplus.com/sdi_catalog/salesItemDetails.do?id=91377")</f>
        <v>https://www.fabsurplus.com/sdi_catalog/salesItemDetails.do?id=91377</v>
      </c>
      <c r="B3182" s="2" t="s">
        <v>9090</v>
      </c>
      <c r="C3182" s="2" t="s">
        <v>8973</v>
      </c>
      <c r="D3182" s="2" t="s">
        <v>9084</v>
      </c>
      <c r="E3182" s="2" t="s">
        <v>3250</v>
      </c>
      <c r="F3182" s="2" t="s">
        <v>16</v>
      </c>
      <c r="G3182" s="2" t="s">
        <v>38</v>
      </c>
      <c r="H3182" s="2" t="s">
        <v>32</v>
      </c>
      <c r="I3182" s="3" t="n">
        <v>36678</v>
      </c>
      <c r="J3182" s="2" t="s">
        <v>19</v>
      </c>
      <c r="K3182" s="2" t="s">
        <v>20</v>
      </c>
      <c r="L3182" s="4" t="s">
        <v>9091</v>
      </c>
    </row>
    <row r="3183" customFormat="false" ht="15.65" hidden="false" customHeight="true" outlineLevel="0" collapsed="false">
      <c r="A3183" s="5" t="str">
        <f aca="false">HYPERLINK("https://www.fabsurplus.com/sdi_catalog/salesItemDetails.do?id=108785")</f>
        <v>https://www.fabsurplus.com/sdi_catalog/salesItemDetails.do?id=108785</v>
      </c>
      <c r="B3183" s="5" t="s">
        <v>9092</v>
      </c>
      <c r="C3183" s="5" t="s">
        <v>8973</v>
      </c>
      <c r="D3183" s="5" t="s">
        <v>9093</v>
      </c>
      <c r="E3183" s="5" t="s">
        <v>9094</v>
      </c>
      <c r="F3183" s="5" t="s">
        <v>16</v>
      </c>
      <c r="G3183" s="5" t="s">
        <v>70</v>
      </c>
      <c r="H3183" s="5" t="s">
        <v>453</v>
      </c>
      <c r="I3183" s="5"/>
      <c r="J3183" s="5" t="s">
        <v>19</v>
      </c>
      <c r="K3183" s="5" t="s">
        <v>20</v>
      </c>
      <c r="L3183" s="7" t="s">
        <v>9095</v>
      </c>
    </row>
    <row r="3184" customFormat="false" ht="15.65" hidden="false" customHeight="true" outlineLevel="0" collapsed="false">
      <c r="A3184" s="2" t="str">
        <f aca="false">HYPERLINK("https://www.fabsurplus.com/sdi_catalog/salesItemDetails.do?id=108789")</f>
        <v>https://www.fabsurplus.com/sdi_catalog/salesItemDetails.do?id=108789</v>
      </c>
      <c r="B3184" s="2" t="s">
        <v>9096</v>
      </c>
      <c r="C3184" s="2" t="s">
        <v>8964</v>
      </c>
      <c r="D3184" s="2" t="s">
        <v>8990</v>
      </c>
      <c r="E3184" s="2" t="s">
        <v>8197</v>
      </c>
      <c r="F3184" s="2" t="s">
        <v>16</v>
      </c>
      <c r="G3184" s="2" t="s">
        <v>70</v>
      </c>
      <c r="H3184" s="2" t="s">
        <v>18</v>
      </c>
      <c r="I3184" s="2"/>
      <c r="J3184" s="2" t="s">
        <v>286</v>
      </c>
      <c r="K3184" s="2" t="s">
        <v>20</v>
      </c>
      <c r="L3184" s="4" t="s">
        <v>9097</v>
      </c>
    </row>
    <row r="3185" customFormat="false" ht="15.65" hidden="false" customHeight="true" outlineLevel="0" collapsed="false">
      <c r="A3185" s="5" t="str">
        <f aca="false">HYPERLINK("https://www.fabsurplus.com/sdi_catalog/salesItemDetails.do?id=108790")</f>
        <v>https://www.fabsurplus.com/sdi_catalog/salesItemDetails.do?id=108790</v>
      </c>
      <c r="B3185" s="5" t="s">
        <v>9098</v>
      </c>
      <c r="C3185" s="5" t="s">
        <v>8973</v>
      </c>
      <c r="D3185" s="5" t="s">
        <v>9099</v>
      </c>
      <c r="E3185" s="5" t="s">
        <v>8197</v>
      </c>
      <c r="F3185" s="5" t="s">
        <v>16</v>
      </c>
      <c r="G3185" s="5" t="s">
        <v>70</v>
      </c>
      <c r="H3185" s="5" t="s">
        <v>18</v>
      </c>
      <c r="I3185" s="5"/>
      <c r="J3185" s="5" t="s">
        <v>19</v>
      </c>
      <c r="K3185" s="5" t="s">
        <v>20</v>
      </c>
      <c r="L3185" s="7" t="s">
        <v>9100</v>
      </c>
    </row>
    <row r="3186" customFormat="false" ht="15.65" hidden="false" customHeight="true" outlineLevel="0" collapsed="false">
      <c r="A3186" s="2" t="str">
        <f aca="false">HYPERLINK("https://www.fabsurplus.com/sdi_catalog/salesItemDetails.do?id=109049")</f>
        <v>https://www.fabsurplus.com/sdi_catalog/salesItemDetails.do?id=109049</v>
      </c>
      <c r="B3186" s="2" t="s">
        <v>9101</v>
      </c>
      <c r="C3186" s="2" t="s">
        <v>8964</v>
      </c>
      <c r="D3186" s="2" t="s">
        <v>9032</v>
      </c>
      <c r="E3186" s="2" t="s">
        <v>3250</v>
      </c>
      <c r="F3186" s="2" t="s">
        <v>16</v>
      </c>
      <c r="G3186" s="2" t="s">
        <v>38</v>
      </c>
      <c r="H3186" s="2" t="s">
        <v>32</v>
      </c>
      <c r="I3186" s="3" t="n">
        <v>36678</v>
      </c>
      <c r="J3186" s="2" t="s">
        <v>19</v>
      </c>
      <c r="K3186" s="2" t="s">
        <v>20</v>
      </c>
      <c r="L3186" s="4" t="s">
        <v>9102</v>
      </c>
    </row>
    <row r="3187" customFormat="false" ht="15.65" hidden="false" customHeight="true" outlineLevel="0" collapsed="false">
      <c r="A3187" s="5" t="str">
        <f aca="false">HYPERLINK("https://www.fabsurplus.com/sdi_catalog/salesItemDetails.do?id=109051")</f>
        <v>https://www.fabsurplus.com/sdi_catalog/salesItemDetails.do?id=109051</v>
      </c>
      <c r="B3187" s="5" t="s">
        <v>9103</v>
      </c>
      <c r="C3187" s="5" t="s">
        <v>8964</v>
      </c>
      <c r="D3187" s="5" t="s">
        <v>9104</v>
      </c>
      <c r="E3187" s="5" t="s">
        <v>3250</v>
      </c>
      <c r="F3187" s="5" t="s">
        <v>16</v>
      </c>
      <c r="G3187" s="5" t="s">
        <v>38</v>
      </c>
      <c r="H3187" s="5" t="s">
        <v>32</v>
      </c>
      <c r="I3187" s="6" t="n">
        <v>36312</v>
      </c>
      <c r="J3187" s="5" t="s">
        <v>19</v>
      </c>
      <c r="K3187" s="5" t="s">
        <v>20</v>
      </c>
      <c r="L3187" s="7" t="s">
        <v>9105</v>
      </c>
    </row>
    <row r="3188" customFormat="false" ht="15.65" hidden="false" customHeight="true" outlineLevel="0" collapsed="false">
      <c r="A3188" s="2" t="str">
        <f aca="false">HYPERLINK("https://www.fabsurplus.com/sdi_catalog/salesItemDetails.do?id=109052")</f>
        <v>https://www.fabsurplus.com/sdi_catalog/salesItemDetails.do?id=109052</v>
      </c>
      <c r="B3188" s="2" t="s">
        <v>9106</v>
      </c>
      <c r="C3188" s="2" t="s">
        <v>8964</v>
      </c>
      <c r="D3188" s="2" t="s">
        <v>9104</v>
      </c>
      <c r="E3188" s="2" t="s">
        <v>3250</v>
      </c>
      <c r="F3188" s="2" t="s">
        <v>16</v>
      </c>
      <c r="G3188" s="2" t="s">
        <v>38</v>
      </c>
      <c r="H3188" s="2" t="s">
        <v>32</v>
      </c>
      <c r="I3188" s="3" t="n">
        <v>35947</v>
      </c>
      <c r="J3188" s="2" t="s">
        <v>19</v>
      </c>
      <c r="K3188" s="2" t="s">
        <v>20</v>
      </c>
      <c r="L3188" s="4" t="s">
        <v>9107</v>
      </c>
    </row>
    <row r="3189" customFormat="false" ht="15.65" hidden="false" customHeight="true" outlineLevel="0" collapsed="false">
      <c r="A3189" s="5" t="str">
        <f aca="false">HYPERLINK("https://www.fabsurplus.com/sdi_catalog/salesItemDetails.do?id=105867")</f>
        <v>https://www.fabsurplus.com/sdi_catalog/salesItemDetails.do?id=105867</v>
      </c>
      <c r="B3189" s="5" t="s">
        <v>9108</v>
      </c>
      <c r="C3189" s="5" t="s">
        <v>9109</v>
      </c>
      <c r="D3189" s="5" t="s">
        <v>9110</v>
      </c>
      <c r="E3189" s="5" t="s">
        <v>9111</v>
      </c>
      <c r="F3189" s="5" t="s">
        <v>16</v>
      </c>
      <c r="G3189" s="5" t="s">
        <v>97</v>
      </c>
      <c r="H3189" s="5" t="s">
        <v>1969</v>
      </c>
      <c r="I3189" s="5"/>
      <c r="J3189" s="5" t="s">
        <v>19</v>
      </c>
      <c r="K3189" s="5" t="s">
        <v>20</v>
      </c>
      <c r="L3189" s="5"/>
    </row>
    <row r="3190" customFormat="false" ht="15.65" hidden="false" customHeight="true" outlineLevel="0" collapsed="false">
      <c r="A3190" s="2" t="str">
        <f aca="false">HYPERLINK("https://www.fabsurplus.com/sdi_catalog/salesItemDetails.do?id=105868")</f>
        <v>https://www.fabsurplus.com/sdi_catalog/salesItemDetails.do?id=105868</v>
      </c>
      <c r="B3190" s="2" t="s">
        <v>9112</v>
      </c>
      <c r="C3190" s="2" t="s">
        <v>9109</v>
      </c>
      <c r="D3190" s="2" t="s">
        <v>9113</v>
      </c>
      <c r="E3190" s="2" t="s">
        <v>9111</v>
      </c>
      <c r="F3190" s="2" t="s">
        <v>16</v>
      </c>
      <c r="G3190" s="2" t="s">
        <v>97</v>
      </c>
      <c r="H3190" s="2" t="s">
        <v>1969</v>
      </c>
      <c r="I3190" s="2"/>
      <c r="J3190" s="2" t="s">
        <v>19</v>
      </c>
      <c r="K3190" s="2" t="s">
        <v>20</v>
      </c>
      <c r="L3190" s="2"/>
    </row>
    <row r="3191" customFormat="false" ht="15.65" hidden="false" customHeight="true" outlineLevel="0" collapsed="false">
      <c r="A3191" s="5" t="str">
        <f aca="false">HYPERLINK("https://www.fabsurplus.com/sdi_catalog/salesItemDetails.do?id=105869")</f>
        <v>https://www.fabsurplus.com/sdi_catalog/salesItemDetails.do?id=105869</v>
      </c>
      <c r="B3191" s="5" t="s">
        <v>9114</v>
      </c>
      <c r="C3191" s="5" t="s">
        <v>9109</v>
      </c>
      <c r="D3191" s="5" t="s">
        <v>9115</v>
      </c>
      <c r="E3191" s="5" t="s">
        <v>9116</v>
      </c>
      <c r="F3191" s="5" t="s">
        <v>16</v>
      </c>
      <c r="G3191" s="5" t="s">
        <v>97</v>
      </c>
      <c r="H3191" s="5" t="s">
        <v>1969</v>
      </c>
      <c r="I3191" s="5"/>
      <c r="J3191" s="5" t="s">
        <v>19</v>
      </c>
      <c r="K3191" s="5" t="s">
        <v>20</v>
      </c>
      <c r="L3191" s="5"/>
    </row>
    <row r="3192" customFormat="false" ht="15.65" hidden="false" customHeight="true" outlineLevel="0" collapsed="false">
      <c r="A3192" s="2" t="str">
        <f aca="false">HYPERLINK("https://www.fabsurplus.com/sdi_catalog/salesItemDetails.do?id=105870")</f>
        <v>https://www.fabsurplus.com/sdi_catalog/salesItemDetails.do?id=105870</v>
      </c>
      <c r="B3192" s="2" t="s">
        <v>9117</v>
      </c>
      <c r="C3192" s="2" t="s">
        <v>9109</v>
      </c>
      <c r="D3192" s="2" t="s">
        <v>9118</v>
      </c>
      <c r="E3192" s="2" t="s">
        <v>9111</v>
      </c>
      <c r="F3192" s="2" t="s">
        <v>16</v>
      </c>
      <c r="G3192" s="2" t="s">
        <v>97</v>
      </c>
      <c r="H3192" s="2" t="s">
        <v>1969</v>
      </c>
      <c r="I3192" s="2"/>
      <c r="J3192" s="2" t="s">
        <v>19</v>
      </c>
      <c r="K3192" s="2" t="s">
        <v>20</v>
      </c>
      <c r="L3192" s="2"/>
    </row>
    <row r="3193" customFormat="false" ht="15.65" hidden="false" customHeight="true" outlineLevel="0" collapsed="false">
      <c r="A3193" s="5" t="str">
        <f aca="false">HYPERLINK("https://www.fabsurplus.com/sdi_catalog/salesItemDetails.do?id=108911")</f>
        <v>https://www.fabsurplus.com/sdi_catalog/salesItemDetails.do?id=108911</v>
      </c>
      <c r="B3193" s="5" t="s">
        <v>9119</v>
      </c>
      <c r="C3193" s="5" t="s">
        <v>9120</v>
      </c>
      <c r="D3193" s="5" t="s">
        <v>9121</v>
      </c>
      <c r="E3193" s="5" t="s">
        <v>2579</v>
      </c>
      <c r="F3193" s="5" t="s">
        <v>16</v>
      </c>
      <c r="G3193" s="5" t="s">
        <v>61</v>
      </c>
      <c r="H3193" s="5" t="s">
        <v>32</v>
      </c>
      <c r="I3193" s="6" t="n">
        <v>39203</v>
      </c>
      <c r="J3193" s="5" t="s">
        <v>19</v>
      </c>
      <c r="K3193" s="5" t="s">
        <v>20</v>
      </c>
      <c r="L3193" s="7" t="s">
        <v>9122</v>
      </c>
    </row>
    <row r="3194" customFormat="false" ht="15.65" hidden="false" customHeight="true" outlineLevel="0" collapsed="false">
      <c r="A3194" s="2" t="str">
        <f aca="false">HYPERLINK("https://www.fabsurplus.com/sdi_catalog/salesItemDetails.do?id=93833")</f>
        <v>https://www.fabsurplus.com/sdi_catalog/salesItemDetails.do?id=93833</v>
      </c>
      <c r="B3194" s="2" t="s">
        <v>9123</v>
      </c>
      <c r="C3194" s="2" t="s">
        <v>9120</v>
      </c>
      <c r="D3194" s="2" t="s">
        <v>9124</v>
      </c>
      <c r="E3194" s="2" t="s">
        <v>2643</v>
      </c>
      <c r="F3194" s="2" t="s">
        <v>16</v>
      </c>
      <c r="G3194" s="2" t="s">
        <v>9125</v>
      </c>
      <c r="H3194" s="2" t="s">
        <v>32</v>
      </c>
      <c r="I3194" s="3" t="n">
        <v>35551</v>
      </c>
      <c r="J3194" s="2" t="s">
        <v>19</v>
      </c>
      <c r="K3194" s="2" t="s">
        <v>20</v>
      </c>
      <c r="L3194" s="4" t="s">
        <v>9126</v>
      </c>
    </row>
    <row r="3195" customFormat="false" ht="15.65" hidden="false" customHeight="true" outlineLevel="0" collapsed="false">
      <c r="A3195" s="5" t="str">
        <f aca="false">HYPERLINK("https://www.fabsurplus.com/sdi_catalog/salesItemDetails.do?id=83906")</f>
        <v>https://www.fabsurplus.com/sdi_catalog/salesItemDetails.do?id=83906</v>
      </c>
      <c r="B3195" s="5" t="s">
        <v>9127</v>
      </c>
      <c r="C3195" s="5" t="s">
        <v>9128</v>
      </c>
      <c r="D3195" s="5"/>
      <c r="E3195" s="5" t="s">
        <v>9129</v>
      </c>
      <c r="F3195" s="5" t="s">
        <v>16</v>
      </c>
      <c r="G3195" s="5"/>
      <c r="H3195" s="5" t="s">
        <v>98</v>
      </c>
      <c r="I3195" s="6" t="n">
        <v>33938.9583333333</v>
      </c>
      <c r="J3195" s="5" t="s">
        <v>19</v>
      </c>
      <c r="K3195" s="5" t="s">
        <v>20</v>
      </c>
      <c r="L3195" s="7" t="s">
        <v>9130</v>
      </c>
    </row>
    <row r="3196" customFormat="false" ht="15.65" hidden="false" customHeight="true" outlineLevel="0" collapsed="false">
      <c r="A3196" s="2" t="str">
        <f aca="false">HYPERLINK("https://www.fabsurplus.com/sdi_catalog/salesItemDetails.do?id=83628")</f>
        <v>https://www.fabsurplus.com/sdi_catalog/salesItemDetails.do?id=83628</v>
      </c>
      <c r="B3196" s="2" t="s">
        <v>9131</v>
      </c>
      <c r="C3196" s="2" t="s">
        <v>9132</v>
      </c>
      <c r="D3196" s="2" t="s">
        <v>9133</v>
      </c>
      <c r="E3196" s="2" t="s">
        <v>96</v>
      </c>
      <c r="F3196" s="2" t="s">
        <v>86</v>
      </c>
      <c r="G3196" s="2"/>
      <c r="H3196" s="2" t="s">
        <v>98</v>
      </c>
      <c r="I3196" s="2"/>
      <c r="J3196" s="2" t="s">
        <v>19</v>
      </c>
      <c r="K3196" s="2" t="s">
        <v>20</v>
      </c>
      <c r="L3196" s="4" t="s">
        <v>9134</v>
      </c>
    </row>
    <row r="3197" customFormat="false" ht="15.65" hidden="false" customHeight="true" outlineLevel="0" collapsed="false">
      <c r="A3197" s="5" t="str">
        <f aca="false">HYPERLINK("https://www.fabsurplus.com/sdi_catalog/salesItemDetails.do?id=108099")</f>
        <v>https://www.fabsurplus.com/sdi_catalog/salesItemDetails.do?id=108099</v>
      </c>
      <c r="B3197" s="5" t="s">
        <v>9135</v>
      </c>
      <c r="C3197" s="5" t="s">
        <v>9136</v>
      </c>
      <c r="D3197" s="5" t="s">
        <v>9137</v>
      </c>
      <c r="E3197" s="5" t="s">
        <v>9138</v>
      </c>
      <c r="F3197" s="5" t="s">
        <v>3473</v>
      </c>
      <c r="G3197" s="5"/>
      <c r="H3197" s="5"/>
      <c r="I3197" s="5"/>
      <c r="J3197" s="5" t="s">
        <v>19</v>
      </c>
      <c r="K3197" s="5"/>
      <c r="L3197" s="5" t="s">
        <v>9139</v>
      </c>
    </row>
    <row r="3198" customFormat="false" ht="15.65" hidden="false" customHeight="true" outlineLevel="0" collapsed="false">
      <c r="A3198" s="2" t="str">
        <f aca="false">HYPERLINK("https://www.fabsurplus.com/sdi_catalog/salesItemDetails.do?id=83597")</f>
        <v>https://www.fabsurplus.com/sdi_catalog/salesItemDetails.do?id=83597</v>
      </c>
      <c r="B3198" s="2" t="s">
        <v>9140</v>
      </c>
      <c r="C3198" s="2" t="s">
        <v>9136</v>
      </c>
      <c r="D3198" s="2" t="s">
        <v>9141</v>
      </c>
      <c r="E3198" s="2" t="s">
        <v>9142</v>
      </c>
      <c r="F3198" s="2" t="s">
        <v>16</v>
      </c>
      <c r="G3198" s="2" t="s">
        <v>97</v>
      </c>
      <c r="H3198" s="2" t="s">
        <v>32</v>
      </c>
      <c r="I3198" s="2"/>
      <c r="J3198" s="2" t="s">
        <v>19</v>
      </c>
      <c r="K3198" s="2" t="s">
        <v>20</v>
      </c>
      <c r="L3198" s="4" t="s">
        <v>9143</v>
      </c>
    </row>
    <row r="3199" customFormat="false" ht="15.65" hidden="false" customHeight="true" outlineLevel="0" collapsed="false">
      <c r="A3199" s="5" t="str">
        <f aca="false">HYPERLINK("https://www.fabsurplus.com/sdi_catalog/salesItemDetails.do?id=98486")</f>
        <v>https://www.fabsurplus.com/sdi_catalog/salesItemDetails.do?id=98486</v>
      </c>
      <c r="B3199" s="5" t="s">
        <v>9144</v>
      </c>
      <c r="C3199" s="5" t="s">
        <v>9136</v>
      </c>
      <c r="D3199" s="5" t="s">
        <v>9145</v>
      </c>
      <c r="E3199" s="5" t="s">
        <v>9146</v>
      </c>
      <c r="F3199" s="5" t="s">
        <v>16</v>
      </c>
      <c r="G3199" s="5" t="s">
        <v>5350</v>
      </c>
      <c r="H3199" s="5" t="s">
        <v>32</v>
      </c>
      <c r="I3199" s="6" t="n">
        <v>39142</v>
      </c>
      <c r="J3199" s="5" t="s">
        <v>19</v>
      </c>
      <c r="K3199" s="5" t="s">
        <v>20</v>
      </c>
      <c r="L3199" s="7" t="s">
        <v>9147</v>
      </c>
    </row>
    <row r="3200" customFormat="false" ht="15.65" hidden="false" customHeight="true" outlineLevel="0" collapsed="false">
      <c r="A3200" s="2" t="str">
        <f aca="false">HYPERLINK("https://www.fabsurplus.com/sdi_catalog/salesItemDetails.do?id=32210")</f>
        <v>https://www.fabsurplus.com/sdi_catalog/salesItemDetails.do?id=32210</v>
      </c>
      <c r="B3200" s="2" t="s">
        <v>9148</v>
      </c>
      <c r="C3200" s="2" t="s">
        <v>9136</v>
      </c>
      <c r="D3200" s="2" t="s">
        <v>9149</v>
      </c>
      <c r="E3200" s="2" t="s">
        <v>9150</v>
      </c>
      <c r="F3200" s="2" t="s">
        <v>16</v>
      </c>
      <c r="G3200" s="2" t="s">
        <v>3803</v>
      </c>
      <c r="H3200" s="2" t="s">
        <v>18</v>
      </c>
      <c r="I3200" s="2"/>
      <c r="J3200" s="2" t="s">
        <v>19</v>
      </c>
      <c r="K3200" s="2" t="s">
        <v>20</v>
      </c>
      <c r="L3200" s="2" t="s">
        <v>9151</v>
      </c>
    </row>
    <row r="3201" customFormat="false" ht="15.65" hidden="false" customHeight="true" outlineLevel="0" collapsed="false">
      <c r="A3201" s="5" t="str">
        <f aca="false">HYPERLINK("https://www.fabsurplus.com/sdi_catalog/salesItemDetails.do?id=32212")</f>
        <v>https://www.fabsurplus.com/sdi_catalog/salesItemDetails.do?id=32212</v>
      </c>
      <c r="B3201" s="5" t="s">
        <v>9152</v>
      </c>
      <c r="C3201" s="5" t="s">
        <v>9136</v>
      </c>
      <c r="D3201" s="5" t="s">
        <v>9153</v>
      </c>
      <c r="E3201" s="5" t="s">
        <v>9154</v>
      </c>
      <c r="F3201" s="5" t="s">
        <v>151</v>
      </c>
      <c r="G3201" s="5" t="s">
        <v>3803</v>
      </c>
      <c r="H3201" s="5"/>
      <c r="I3201" s="5"/>
      <c r="J3201" s="5" t="s">
        <v>19</v>
      </c>
      <c r="K3201" s="5"/>
      <c r="L3201" s="5" t="s">
        <v>9155</v>
      </c>
    </row>
    <row r="3202" customFormat="false" ht="15.65" hidden="false" customHeight="true" outlineLevel="0" collapsed="false">
      <c r="A3202" s="2" t="str">
        <f aca="false">HYPERLINK("https://www.fabsurplus.com/sdi_catalog/salesItemDetails.do?id=32214")</f>
        <v>https://www.fabsurplus.com/sdi_catalog/salesItemDetails.do?id=32214</v>
      </c>
      <c r="B3202" s="2" t="s">
        <v>9156</v>
      </c>
      <c r="C3202" s="2" t="s">
        <v>9136</v>
      </c>
      <c r="D3202" s="2" t="s">
        <v>9157</v>
      </c>
      <c r="E3202" s="2" t="s">
        <v>9158</v>
      </c>
      <c r="F3202" s="2" t="s">
        <v>151</v>
      </c>
      <c r="G3202" s="2" t="s">
        <v>2304</v>
      </c>
      <c r="H3202" s="2" t="s">
        <v>18</v>
      </c>
      <c r="I3202" s="2"/>
      <c r="J3202" s="2" t="s">
        <v>19</v>
      </c>
      <c r="K3202" s="2" t="s">
        <v>20</v>
      </c>
      <c r="L3202" s="2" t="s">
        <v>2305</v>
      </c>
    </row>
    <row r="3203" customFormat="false" ht="15.65" hidden="false" customHeight="true" outlineLevel="0" collapsed="false">
      <c r="A3203" s="5" t="str">
        <f aca="false">HYPERLINK("https://www.fabsurplus.com/sdi_catalog/salesItemDetails.do?id=32216")</f>
        <v>https://www.fabsurplus.com/sdi_catalog/salesItemDetails.do?id=32216</v>
      </c>
      <c r="B3203" s="5" t="s">
        <v>9159</v>
      </c>
      <c r="C3203" s="5" t="s">
        <v>9136</v>
      </c>
      <c r="D3203" s="5" t="s">
        <v>9160</v>
      </c>
      <c r="E3203" s="5" t="s">
        <v>9158</v>
      </c>
      <c r="F3203" s="5" t="s">
        <v>16</v>
      </c>
      <c r="G3203" s="5" t="s">
        <v>2304</v>
      </c>
      <c r="H3203" s="5" t="s">
        <v>18</v>
      </c>
      <c r="I3203" s="5"/>
      <c r="J3203" s="5" t="s">
        <v>19</v>
      </c>
      <c r="K3203" s="5"/>
      <c r="L3203" s="5" t="s">
        <v>2305</v>
      </c>
    </row>
    <row r="3204" customFormat="false" ht="15.65" hidden="false" customHeight="true" outlineLevel="0" collapsed="false">
      <c r="A3204" s="2" t="str">
        <f aca="false">HYPERLINK("https://www.fabsurplus.com/sdi_catalog/salesItemDetails.do?id=70301")</f>
        <v>https://www.fabsurplus.com/sdi_catalog/salesItemDetails.do?id=70301</v>
      </c>
      <c r="B3204" s="2" t="s">
        <v>9161</v>
      </c>
      <c r="C3204" s="2" t="s">
        <v>9162</v>
      </c>
      <c r="D3204" s="2" t="s">
        <v>9163</v>
      </c>
      <c r="E3204" s="2" t="s">
        <v>9164</v>
      </c>
      <c r="F3204" s="2" t="s">
        <v>16</v>
      </c>
      <c r="G3204" s="2" t="s">
        <v>165</v>
      </c>
      <c r="H3204" s="2" t="s">
        <v>32</v>
      </c>
      <c r="I3204" s="2"/>
      <c r="J3204" s="2" t="s">
        <v>19</v>
      </c>
      <c r="K3204" s="2" t="s">
        <v>20</v>
      </c>
      <c r="L3204" s="4" t="s">
        <v>9165</v>
      </c>
    </row>
    <row r="3205" customFormat="false" ht="15.65" hidden="false" customHeight="true" outlineLevel="0" collapsed="false">
      <c r="A3205" s="5" t="str">
        <f aca="false">HYPERLINK("https://www.fabsurplus.com/sdi_catalog/salesItemDetails.do?id=110347")</f>
        <v>https://www.fabsurplus.com/sdi_catalog/salesItemDetails.do?id=110347</v>
      </c>
      <c r="B3205" s="5" t="s">
        <v>9166</v>
      </c>
      <c r="C3205" s="5" t="s">
        <v>9167</v>
      </c>
      <c r="D3205" s="5" t="s">
        <v>9168</v>
      </c>
      <c r="E3205" s="5" t="s">
        <v>763</v>
      </c>
      <c r="F3205" s="5" t="s">
        <v>16</v>
      </c>
      <c r="G3205" s="5" t="s">
        <v>165</v>
      </c>
      <c r="H3205" s="5"/>
      <c r="I3205" s="5"/>
      <c r="J3205" s="5" t="s">
        <v>42</v>
      </c>
      <c r="K3205" s="5"/>
      <c r="L3205" s="5" t="s">
        <v>686</v>
      </c>
    </row>
    <row r="3206" customFormat="false" ht="15.65" hidden="false" customHeight="true" outlineLevel="0" collapsed="false">
      <c r="A3206" s="2" t="str">
        <f aca="false">HYPERLINK("https://www.fabsurplus.com/sdi_catalog/salesItemDetails.do?id=110348")</f>
        <v>https://www.fabsurplus.com/sdi_catalog/salesItemDetails.do?id=110348</v>
      </c>
      <c r="B3206" s="2" t="s">
        <v>9169</v>
      </c>
      <c r="C3206" s="2" t="s">
        <v>9167</v>
      </c>
      <c r="D3206" s="2" t="s">
        <v>9168</v>
      </c>
      <c r="E3206" s="2" t="s">
        <v>763</v>
      </c>
      <c r="F3206" s="2" t="s">
        <v>16</v>
      </c>
      <c r="G3206" s="2" t="s">
        <v>165</v>
      </c>
      <c r="H3206" s="2"/>
      <c r="I3206" s="2"/>
      <c r="J3206" s="2" t="s">
        <v>42</v>
      </c>
      <c r="K3206" s="2"/>
      <c r="L3206" s="2" t="s">
        <v>686</v>
      </c>
    </row>
    <row r="3207" customFormat="false" ht="15.65" hidden="false" customHeight="true" outlineLevel="0" collapsed="false">
      <c r="A3207" s="5" t="str">
        <f aca="false">HYPERLINK("https://www.fabsurplus.com/sdi_catalog/salesItemDetails.do?id=110349")</f>
        <v>https://www.fabsurplus.com/sdi_catalog/salesItemDetails.do?id=110349</v>
      </c>
      <c r="B3207" s="5" t="s">
        <v>9170</v>
      </c>
      <c r="C3207" s="5" t="s">
        <v>9167</v>
      </c>
      <c r="D3207" s="5" t="s">
        <v>9168</v>
      </c>
      <c r="E3207" s="5" t="s">
        <v>763</v>
      </c>
      <c r="F3207" s="5" t="s">
        <v>16</v>
      </c>
      <c r="G3207" s="5" t="s">
        <v>165</v>
      </c>
      <c r="H3207" s="5"/>
      <c r="I3207" s="5"/>
      <c r="J3207" s="5" t="s">
        <v>42</v>
      </c>
      <c r="K3207" s="5"/>
      <c r="L3207" s="5" t="s">
        <v>686</v>
      </c>
    </row>
    <row r="3208" customFormat="false" ht="15.65" hidden="false" customHeight="true" outlineLevel="0" collapsed="false">
      <c r="A3208" s="2" t="str">
        <f aca="false">HYPERLINK("https://www.fabsurplus.com/sdi_catalog/salesItemDetails.do?id=110350")</f>
        <v>https://www.fabsurplus.com/sdi_catalog/salesItemDetails.do?id=110350</v>
      </c>
      <c r="B3208" s="2" t="s">
        <v>9171</v>
      </c>
      <c r="C3208" s="2" t="s">
        <v>9167</v>
      </c>
      <c r="D3208" s="2" t="s">
        <v>9168</v>
      </c>
      <c r="E3208" s="2" t="s">
        <v>763</v>
      </c>
      <c r="F3208" s="2" t="s">
        <v>16</v>
      </c>
      <c r="G3208" s="2" t="s">
        <v>165</v>
      </c>
      <c r="H3208" s="2"/>
      <c r="I3208" s="2"/>
      <c r="J3208" s="2" t="s">
        <v>42</v>
      </c>
      <c r="K3208" s="2"/>
      <c r="L3208" s="2" t="s">
        <v>686</v>
      </c>
    </row>
    <row r="3209" customFormat="false" ht="15.65" hidden="false" customHeight="true" outlineLevel="0" collapsed="false">
      <c r="A3209" s="5" t="str">
        <f aca="false">HYPERLINK("https://www.fabsurplus.com/sdi_catalog/salesItemDetails.do?id=110351")</f>
        <v>https://www.fabsurplus.com/sdi_catalog/salesItemDetails.do?id=110351</v>
      </c>
      <c r="B3209" s="5" t="s">
        <v>9172</v>
      </c>
      <c r="C3209" s="5" t="s">
        <v>9167</v>
      </c>
      <c r="D3209" s="5" t="s">
        <v>9168</v>
      </c>
      <c r="E3209" s="5" t="s">
        <v>763</v>
      </c>
      <c r="F3209" s="5" t="s">
        <v>16</v>
      </c>
      <c r="G3209" s="5" t="s">
        <v>165</v>
      </c>
      <c r="H3209" s="5"/>
      <c r="I3209" s="5"/>
      <c r="J3209" s="5" t="s">
        <v>42</v>
      </c>
      <c r="K3209" s="5"/>
      <c r="L3209" s="5" t="s">
        <v>686</v>
      </c>
    </row>
    <row r="3210" customFormat="false" ht="15.65" hidden="false" customHeight="true" outlineLevel="0" collapsed="false">
      <c r="A3210" s="2" t="str">
        <f aca="false">HYPERLINK("https://www.fabsurplus.com/sdi_catalog/salesItemDetails.do?id=110352")</f>
        <v>https://www.fabsurplus.com/sdi_catalog/salesItemDetails.do?id=110352</v>
      </c>
      <c r="B3210" s="2" t="s">
        <v>9173</v>
      </c>
      <c r="C3210" s="2" t="s">
        <v>9167</v>
      </c>
      <c r="D3210" s="2" t="s">
        <v>9168</v>
      </c>
      <c r="E3210" s="2" t="s">
        <v>763</v>
      </c>
      <c r="F3210" s="2" t="s">
        <v>16</v>
      </c>
      <c r="G3210" s="2" t="s">
        <v>165</v>
      </c>
      <c r="H3210" s="2"/>
      <c r="I3210" s="2"/>
      <c r="J3210" s="2" t="s">
        <v>42</v>
      </c>
      <c r="K3210" s="2"/>
      <c r="L3210" s="2" t="s">
        <v>686</v>
      </c>
    </row>
    <row r="3211" customFormat="false" ht="15.65" hidden="false" customHeight="true" outlineLevel="0" collapsed="false">
      <c r="A3211" s="5" t="str">
        <f aca="false">HYPERLINK("https://www.fabsurplus.com/sdi_catalog/salesItemDetails.do?id=110353")</f>
        <v>https://www.fabsurplus.com/sdi_catalog/salesItemDetails.do?id=110353</v>
      </c>
      <c r="B3211" s="5" t="s">
        <v>9174</v>
      </c>
      <c r="C3211" s="5" t="s">
        <v>9167</v>
      </c>
      <c r="D3211" s="5" t="s">
        <v>9168</v>
      </c>
      <c r="E3211" s="5" t="s">
        <v>763</v>
      </c>
      <c r="F3211" s="5" t="s">
        <v>16</v>
      </c>
      <c r="G3211" s="5" t="s">
        <v>165</v>
      </c>
      <c r="H3211" s="5"/>
      <c r="I3211" s="5"/>
      <c r="J3211" s="5" t="s">
        <v>42</v>
      </c>
      <c r="K3211" s="5"/>
      <c r="L3211" s="5" t="s">
        <v>686</v>
      </c>
    </row>
    <row r="3212" customFormat="false" ht="15.65" hidden="false" customHeight="true" outlineLevel="0" collapsed="false">
      <c r="A3212" s="2" t="str">
        <f aca="false">HYPERLINK("https://www.fabsurplus.com/sdi_catalog/salesItemDetails.do?id=110354")</f>
        <v>https://www.fabsurplus.com/sdi_catalog/salesItemDetails.do?id=110354</v>
      </c>
      <c r="B3212" s="2" t="s">
        <v>9175</v>
      </c>
      <c r="C3212" s="2" t="s">
        <v>9167</v>
      </c>
      <c r="D3212" s="2" t="s">
        <v>9168</v>
      </c>
      <c r="E3212" s="2" t="s">
        <v>763</v>
      </c>
      <c r="F3212" s="2" t="s">
        <v>16</v>
      </c>
      <c r="G3212" s="2" t="s">
        <v>165</v>
      </c>
      <c r="H3212" s="2"/>
      <c r="I3212" s="2"/>
      <c r="J3212" s="2" t="s">
        <v>42</v>
      </c>
      <c r="K3212" s="2"/>
      <c r="L3212" s="2" t="s">
        <v>686</v>
      </c>
    </row>
    <row r="3213" customFormat="false" ht="15.65" hidden="false" customHeight="true" outlineLevel="0" collapsed="false">
      <c r="A3213" s="5" t="str">
        <f aca="false">HYPERLINK("https://www.fabsurplus.com/sdi_catalog/salesItemDetails.do?id=110355")</f>
        <v>https://www.fabsurplus.com/sdi_catalog/salesItemDetails.do?id=110355</v>
      </c>
      <c r="B3213" s="5" t="s">
        <v>9176</v>
      </c>
      <c r="C3213" s="5" t="s">
        <v>9167</v>
      </c>
      <c r="D3213" s="5" t="s">
        <v>9168</v>
      </c>
      <c r="E3213" s="5" t="s">
        <v>763</v>
      </c>
      <c r="F3213" s="5" t="s">
        <v>16</v>
      </c>
      <c r="G3213" s="5" t="s">
        <v>165</v>
      </c>
      <c r="H3213" s="5"/>
      <c r="I3213" s="5"/>
      <c r="J3213" s="5" t="s">
        <v>42</v>
      </c>
      <c r="K3213" s="5"/>
      <c r="L3213" s="5" t="s">
        <v>686</v>
      </c>
    </row>
    <row r="3214" customFormat="false" ht="15.65" hidden="false" customHeight="true" outlineLevel="0" collapsed="false">
      <c r="A3214" s="2" t="str">
        <f aca="false">HYPERLINK("https://www.fabsurplus.com/sdi_catalog/salesItemDetails.do?id=110356")</f>
        <v>https://www.fabsurplus.com/sdi_catalog/salesItemDetails.do?id=110356</v>
      </c>
      <c r="B3214" s="2" t="s">
        <v>9177</v>
      </c>
      <c r="C3214" s="2" t="s">
        <v>9167</v>
      </c>
      <c r="D3214" s="2" t="s">
        <v>9168</v>
      </c>
      <c r="E3214" s="2" t="s">
        <v>763</v>
      </c>
      <c r="F3214" s="2" t="s">
        <v>16</v>
      </c>
      <c r="G3214" s="2" t="s">
        <v>165</v>
      </c>
      <c r="H3214" s="2"/>
      <c r="I3214" s="2"/>
      <c r="J3214" s="2" t="s">
        <v>42</v>
      </c>
      <c r="K3214" s="2"/>
      <c r="L3214" s="2" t="s">
        <v>686</v>
      </c>
    </row>
    <row r="3215" customFormat="false" ht="15.65" hidden="false" customHeight="true" outlineLevel="0" collapsed="false">
      <c r="A3215" s="5" t="str">
        <f aca="false">HYPERLINK("https://www.fabsurplus.com/sdi_catalog/salesItemDetails.do?id=110357")</f>
        <v>https://www.fabsurplus.com/sdi_catalog/salesItemDetails.do?id=110357</v>
      </c>
      <c r="B3215" s="5" t="s">
        <v>9178</v>
      </c>
      <c r="C3215" s="5" t="s">
        <v>9167</v>
      </c>
      <c r="D3215" s="5" t="s">
        <v>9168</v>
      </c>
      <c r="E3215" s="5" t="s">
        <v>763</v>
      </c>
      <c r="F3215" s="5" t="s">
        <v>16</v>
      </c>
      <c r="G3215" s="5" t="s">
        <v>165</v>
      </c>
      <c r="H3215" s="5"/>
      <c r="I3215" s="5"/>
      <c r="J3215" s="5" t="s">
        <v>42</v>
      </c>
      <c r="K3215" s="5"/>
      <c r="L3215" s="5" t="s">
        <v>686</v>
      </c>
    </row>
    <row r="3216" customFormat="false" ht="15.65" hidden="false" customHeight="true" outlineLevel="0" collapsed="false">
      <c r="A3216" s="2" t="str">
        <f aca="false">HYPERLINK("https://www.fabsurplus.com/sdi_catalog/salesItemDetails.do?id=109495")</f>
        <v>https://www.fabsurplus.com/sdi_catalog/salesItemDetails.do?id=109495</v>
      </c>
      <c r="B3216" s="2" t="s">
        <v>9179</v>
      </c>
      <c r="C3216" s="2" t="s">
        <v>9180</v>
      </c>
      <c r="D3216" s="2" t="s">
        <v>9181</v>
      </c>
      <c r="E3216" s="2" t="s">
        <v>103</v>
      </c>
      <c r="F3216" s="2" t="s">
        <v>16</v>
      </c>
      <c r="G3216" s="2" t="s">
        <v>104</v>
      </c>
      <c r="H3216" s="2"/>
      <c r="I3216" s="2"/>
      <c r="J3216" s="2" t="s">
        <v>19</v>
      </c>
      <c r="K3216" s="2"/>
      <c r="L3216" s="2" t="s">
        <v>9182</v>
      </c>
    </row>
    <row r="3217" customFormat="false" ht="15.65" hidden="false" customHeight="true" outlineLevel="0" collapsed="false">
      <c r="A3217" s="5" t="str">
        <f aca="false">HYPERLINK("https://www.fabsurplus.com/sdi_catalog/salesItemDetails.do?id=109496")</f>
        <v>https://www.fabsurplus.com/sdi_catalog/salesItemDetails.do?id=109496</v>
      </c>
      <c r="B3217" s="5" t="s">
        <v>9183</v>
      </c>
      <c r="C3217" s="5" t="s">
        <v>9180</v>
      </c>
      <c r="D3217" s="5" t="s">
        <v>9184</v>
      </c>
      <c r="E3217" s="5" t="s">
        <v>103</v>
      </c>
      <c r="F3217" s="5" t="s">
        <v>16</v>
      </c>
      <c r="G3217" s="5" t="s">
        <v>104</v>
      </c>
      <c r="H3217" s="5"/>
      <c r="I3217" s="5"/>
      <c r="J3217" s="5" t="s">
        <v>19</v>
      </c>
      <c r="K3217" s="5"/>
      <c r="L3217" s="5" t="s">
        <v>9185</v>
      </c>
    </row>
    <row r="3218" customFormat="false" ht="15.65" hidden="false" customHeight="true" outlineLevel="0" collapsed="false">
      <c r="A3218" s="2" t="str">
        <f aca="false">HYPERLINK("https://www.fabsurplus.com/sdi_catalog/salesItemDetails.do?id=83937")</f>
        <v>https://www.fabsurplus.com/sdi_catalog/salesItemDetails.do?id=83937</v>
      </c>
      <c r="B3218" s="2" t="s">
        <v>9186</v>
      </c>
      <c r="C3218" s="2" t="s">
        <v>9187</v>
      </c>
      <c r="D3218" s="2" t="s">
        <v>9188</v>
      </c>
      <c r="E3218" s="2" t="s">
        <v>9189</v>
      </c>
      <c r="F3218" s="2" t="s">
        <v>16</v>
      </c>
      <c r="G3218" s="2"/>
      <c r="H3218" s="2" t="s">
        <v>1395</v>
      </c>
      <c r="I3218" s="2"/>
      <c r="J3218" s="2" t="s">
        <v>19</v>
      </c>
      <c r="K3218" s="2" t="s">
        <v>20</v>
      </c>
      <c r="L3218" s="4" t="s">
        <v>9190</v>
      </c>
    </row>
    <row r="3219" customFormat="false" ht="15.65" hidden="false" customHeight="true" outlineLevel="0" collapsed="false">
      <c r="A3219" s="5" t="str">
        <f aca="false">HYPERLINK("https://www.fabsurplus.com/sdi_catalog/salesItemDetails.do?id=108033")</f>
        <v>https://www.fabsurplus.com/sdi_catalog/salesItemDetails.do?id=108033</v>
      </c>
      <c r="B3219" s="5" t="s">
        <v>9191</v>
      </c>
      <c r="C3219" s="5" t="s">
        <v>9192</v>
      </c>
      <c r="D3219" s="5" t="s">
        <v>9193</v>
      </c>
      <c r="E3219" s="5" t="s">
        <v>9194</v>
      </c>
      <c r="F3219" s="5" t="s">
        <v>16</v>
      </c>
      <c r="G3219" s="5" t="s">
        <v>61</v>
      </c>
      <c r="H3219" s="5" t="s">
        <v>18</v>
      </c>
      <c r="I3219" s="5"/>
      <c r="J3219" s="5" t="s">
        <v>19</v>
      </c>
      <c r="K3219" s="5" t="s">
        <v>20</v>
      </c>
      <c r="L3219" s="7" t="s">
        <v>9195</v>
      </c>
    </row>
    <row r="3220" customFormat="false" ht="15.65" hidden="false" customHeight="true" outlineLevel="0" collapsed="false">
      <c r="A3220" s="2" t="str">
        <f aca="false">HYPERLINK("https://www.fabsurplus.com/sdi_catalog/salesItemDetails.do?id=109216")</f>
        <v>https://www.fabsurplus.com/sdi_catalog/salesItemDetails.do?id=109216</v>
      </c>
      <c r="B3220" s="2" t="s">
        <v>9196</v>
      </c>
      <c r="C3220" s="2" t="s">
        <v>9197</v>
      </c>
      <c r="D3220" s="2" t="s">
        <v>9198</v>
      </c>
      <c r="E3220" s="2" t="s">
        <v>9199</v>
      </c>
      <c r="F3220" s="2" t="s">
        <v>16</v>
      </c>
      <c r="G3220" s="2" t="s">
        <v>84</v>
      </c>
      <c r="H3220" s="2"/>
      <c r="I3220" s="2"/>
      <c r="J3220" s="2" t="s">
        <v>19</v>
      </c>
      <c r="K3220" s="2"/>
      <c r="L3220" s="2"/>
    </row>
    <row r="3221" customFormat="false" ht="15.65" hidden="false" customHeight="true" outlineLevel="0" collapsed="false">
      <c r="A3221" s="5" t="str">
        <f aca="false">HYPERLINK("https://www.fabsurplus.com/sdi_catalog/salesItemDetails.do?id=109217")</f>
        <v>https://www.fabsurplus.com/sdi_catalog/salesItemDetails.do?id=109217</v>
      </c>
      <c r="B3221" s="5" t="s">
        <v>9200</v>
      </c>
      <c r="C3221" s="5" t="s">
        <v>9197</v>
      </c>
      <c r="D3221" s="5" t="s">
        <v>9198</v>
      </c>
      <c r="E3221" s="5" t="s">
        <v>9199</v>
      </c>
      <c r="F3221" s="5" t="s">
        <v>16</v>
      </c>
      <c r="G3221" s="5" t="s">
        <v>84</v>
      </c>
      <c r="H3221" s="5"/>
      <c r="I3221" s="5"/>
      <c r="J3221" s="5" t="s">
        <v>19</v>
      </c>
      <c r="K3221" s="5"/>
      <c r="L3221" s="5"/>
    </row>
    <row r="3222" customFormat="false" ht="15.65" hidden="false" customHeight="true" outlineLevel="0" collapsed="false">
      <c r="A3222" s="2" t="str">
        <f aca="false">HYPERLINK("https://www.fabsurplus.com/sdi_catalog/salesItemDetails.do?id=109218")</f>
        <v>https://www.fabsurplus.com/sdi_catalog/salesItemDetails.do?id=109218</v>
      </c>
      <c r="B3222" s="2" t="s">
        <v>9201</v>
      </c>
      <c r="C3222" s="2" t="s">
        <v>9197</v>
      </c>
      <c r="D3222" s="2" t="s">
        <v>9198</v>
      </c>
      <c r="E3222" s="2" t="s">
        <v>9199</v>
      </c>
      <c r="F3222" s="2" t="s">
        <v>16</v>
      </c>
      <c r="G3222" s="2" t="s">
        <v>84</v>
      </c>
      <c r="H3222" s="2"/>
      <c r="I3222" s="2"/>
      <c r="J3222" s="2" t="s">
        <v>19</v>
      </c>
      <c r="K3222" s="2"/>
      <c r="L3222" s="2"/>
    </row>
    <row r="3223" customFormat="false" ht="15.65" hidden="false" customHeight="true" outlineLevel="0" collapsed="false">
      <c r="A3223" s="5" t="str">
        <f aca="false">HYPERLINK("https://www.fabsurplus.com/sdi_catalog/salesItemDetails.do?id=109219")</f>
        <v>https://www.fabsurplus.com/sdi_catalog/salesItemDetails.do?id=109219</v>
      </c>
      <c r="B3223" s="5" t="s">
        <v>9202</v>
      </c>
      <c r="C3223" s="5" t="s">
        <v>9197</v>
      </c>
      <c r="D3223" s="5" t="s">
        <v>9198</v>
      </c>
      <c r="E3223" s="5" t="s">
        <v>9199</v>
      </c>
      <c r="F3223" s="5" t="s">
        <v>16</v>
      </c>
      <c r="G3223" s="5" t="s">
        <v>84</v>
      </c>
      <c r="H3223" s="5"/>
      <c r="I3223" s="5"/>
      <c r="J3223" s="5" t="s">
        <v>19</v>
      </c>
      <c r="K3223" s="5"/>
      <c r="L3223" s="5"/>
    </row>
    <row r="3224" customFormat="false" ht="15.65" hidden="false" customHeight="true" outlineLevel="0" collapsed="false">
      <c r="A3224" s="2" t="str">
        <f aca="false">HYPERLINK("https://www.fabsurplus.com/sdi_catalog/salesItemDetails.do?id=109220")</f>
        <v>https://www.fabsurplus.com/sdi_catalog/salesItemDetails.do?id=109220</v>
      </c>
      <c r="B3224" s="2" t="s">
        <v>9203</v>
      </c>
      <c r="C3224" s="2" t="s">
        <v>9197</v>
      </c>
      <c r="D3224" s="2" t="s">
        <v>9204</v>
      </c>
      <c r="E3224" s="2" t="s">
        <v>9205</v>
      </c>
      <c r="F3224" s="2" t="s">
        <v>16</v>
      </c>
      <c r="G3224" s="2" t="s">
        <v>84</v>
      </c>
      <c r="H3224" s="2"/>
      <c r="I3224" s="2"/>
      <c r="J3224" s="2" t="s">
        <v>19</v>
      </c>
      <c r="K3224" s="2"/>
      <c r="L3224" s="2"/>
    </row>
    <row r="3225" customFormat="false" ht="15.65" hidden="false" customHeight="true" outlineLevel="0" collapsed="false">
      <c r="A3225" s="5" t="str">
        <f aca="false">HYPERLINK("https://www.fabsurplus.com/sdi_catalog/salesItemDetails.do?id=108967")</f>
        <v>https://www.fabsurplus.com/sdi_catalog/salesItemDetails.do?id=108967</v>
      </c>
      <c r="B3225" s="5" t="s">
        <v>9206</v>
      </c>
      <c r="C3225" s="5" t="s">
        <v>9192</v>
      </c>
      <c r="D3225" s="5" t="s">
        <v>9207</v>
      </c>
      <c r="E3225" s="5" t="s">
        <v>9208</v>
      </c>
      <c r="F3225" s="5" t="s">
        <v>16</v>
      </c>
      <c r="G3225" s="5" t="s">
        <v>61</v>
      </c>
      <c r="H3225" s="5" t="s">
        <v>18</v>
      </c>
      <c r="I3225" s="6" t="n">
        <v>43101</v>
      </c>
      <c r="J3225" s="5" t="s">
        <v>19</v>
      </c>
      <c r="K3225" s="5" t="s">
        <v>20</v>
      </c>
      <c r="L3225" s="7" t="s">
        <v>9209</v>
      </c>
    </row>
    <row r="3226" customFormat="false" ht="15.65" hidden="false" customHeight="true" outlineLevel="0" collapsed="false">
      <c r="A3226" s="2" t="str">
        <f aca="false">HYPERLINK("https://www.fabsurplus.com/sdi_catalog/salesItemDetails.do?id=109283")</f>
        <v>https://www.fabsurplus.com/sdi_catalog/salesItemDetails.do?id=109283</v>
      </c>
      <c r="B3226" s="2" t="s">
        <v>9210</v>
      </c>
      <c r="C3226" s="2" t="s">
        <v>9211</v>
      </c>
      <c r="D3226" s="2" t="s">
        <v>9212</v>
      </c>
      <c r="E3226" s="2" t="s">
        <v>9213</v>
      </c>
      <c r="F3226" s="2" t="s">
        <v>16</v>
      </c>
      <c r="G3226" s="2" t="s">
        <v>38</v>
      </c>
      <c r="H3226" s="2" t="s">
        <v>32</v>
      </c>
      <c r="I3226" s="3" t="n">
        <v>36678</v>
      </c>
      <c r="J3226" s="2" t="s">
        <v>19</v>
      </c>
      <c r="K3226" s="2" t="s">
        <v>20</v>
      </c>
      <c r="L3226" s="4" t="s">
        <v>9214</v>
      </c>
    </row>
    <row r="3227" customFormat="false" ht="15.65" hidden="false" customHeight="true" outlineLevel="0" collapsed="false">
      <c r="A3227" s="5" t="str">
        <f aca="false">HYPERLINK("https://www.fabsurplus.com/sdi_catalog/salesItemDetails.do?id=109284")</f>
        <v>https://www.fabsurplus.com/sdi_catalog/salesItemDetails.do?id=109284</v>
      </c>
      <c r="B3227" s="5" t="s">
        <v>9215</v>
      </c>
      <c r="C3227" s="5" t="s">
        <v>9211</v>
      </c>
      <c r="D3227" s="5" t="s">
        <v>9212</v>
      </c>
      <c r="E3227" s="5" t="s">
        <v>9213</v>
      </c>
      <c r="F3227" s="5" t="s">
        <v>16</v>
      </c>
      <c r="G3227" s="5" t="s">
        <v>38</v>
      </c>
      <c r="H3227" s="5" t="s">
        <v>32</v>
      </c>
      <c r="I3227" s="6" t="n">
        <v>36678</v>
      </c>
      <c r="J3227" s="5" t="s">
        <v>19</v>
      </c>
      <c r="K3227" s="5" t="s">
        <v>20</v>
      </c>
      <c r="L3227" s="7" t="s">
        <v>9216</v>
      </c>
    </row>
    <row r="3228" customFormat="false" ht="15.65" hidden="false" customHeight="true" outlineLevel="0" collapsed="false">
      <c r="A3228" s="2" t="str">
        <f aca="false">HYPERLINK("https://www.fabsurplus.com/sdi_catalog/salesItemDetails.do?id=70300")</f>
        <v>https://www.fabsurplus.com/sdi_catalog/salesItemDetails.do?id=70300</v>
      </c>
      <c r="B3228" s="2" t="s">
        <v>9217</v>
      </c>
      <c r="C3228" s="2" t="s">
        <v>9212</v>
      </c>
      <c r="D3228" s="2" t="s">
        <v>9218</v>
      </c>
      <c r="E3228" s="2" t="s">
        <v>9219</v>
      </c>
      <c r="F3228" s="2" t="s">
        <v>151</v>
      </c>
      <c r="G3228" s="2" t="s">
        <v>165</v>
      </c>
      <c r="H3228" s="2" t="s">
        <v>98</v>
      </c>
      <c r="I3228" s="2"/>
      <c r="J3228" s="2" t="s">
        <v>19</v>
      </c>
      <c r="K3228" s="2" t="s">
        <v>20</v>
      </c>
      <c r="L3228" s="2" t="s">
        <v>4542</v>
      </c>
    </row>
    <row r="3229" customFormat="false" ht="15.65" hidden="false" customHeight="true" outlineLevel="0" collapsed="false">
      <c r="A3229" s="5" t="str">
        <f aca="false">HYPERLINK("https://www.fabsurplus.com/sdi_catalog/salesItemDetails.do?id=90146")</f>
        <v>https://www.fabsurplus.com/sdi_catalog/salesItemDetails.do?id=90146</v>
      </c>
      <c r="B3229" s="5" t="s">
        <v>9220</v>
      </c>
      <c r="C3229" s="5" t="s">
        <v>9221</v>
      </c>
      <c r="D3229" s="5" t="s">
        <v>9222</v>
      </c>
      <c r="E3229" s="5" t="s">
        <v>9223</v>
      </c>
      <c r="F3229" s="5" t="s">
        <v>16</v>
      </c>
      <c r="G3229" s="5"/>
      <c r="H3229" s="5" t="s">
        <v>32</v>
      </c>
      <c r="I3229" s="6" t="n">
        <v>37590.9583333333</v>
      </c>
      <c r="J3229" s="5" t="s">
        <v>19</v>
      </c>
      <c r="K3229" s="5" t="s">
        <v>20</v>
      </c>
      <c r="L3229" s="7" t="s">
        <v>9224</v>
      </c>
    </row>
    <row r="3230" customFormat="false" ht="15.65" hidden="false" customHeight="true" outlineLevel="0" collapsed="false">
      <c r="A3230" s="2" t="str">
        <f aca="false">HYPERLINK("https://www.fabsurplus.com/sdi_catalog/salesItemDetails.do?id=108581")</f>
        <v>https://www.fabsurplus.com/sdi_catalog/salesItemDetails.do?id=108581</v>
      </c>
      <c r="B3230" s="2" t="s">
        <v>9225</v>
      </c>
      <c r="C3230" s="2" t="s">
        <v>9221</v>
      </c>
      <c r="D3230" s="2" t="s">
        <v>9226</v>
      </c>
      <c r="E3230" s="2" t="s">
        <v>9227</v>
      </c>
      <c r="F3230" s="2" t="s">
        <v>16</v>
      </c>
      <c r="G3230" s="2" t="s">
        <v>38</v>
      </c>
      <c r="H3230" s="2" t="s">
        <v>32</v>
      </c>
      <c r="I3230" s="3" t="n">
        <v>34455</v>
      </c>
      <c r="J3230" s="2" t="s">
        <v>19</v>
      </c>
      <c r="K3230" s="2" t="s">
        <v>20</v>
      </c>
      <c r="L3230" s="2"/>
    </row>
    <row r="3231" customFormat="false" ht="15.65" hidden="false" customHeight="true" outlineLevel="0" collapsed="false">
      <c r="A3231" s="5" t="str">
        <f aca="false">HYPERLINK("https://www.fabsurplus.com/sdi_catalog/salesItemDetails.do?id=108582")</f>
        <v>https://www.fabsurplus.com/sdi_catalog/salesItemDetails.do?id=108582</v>
      </c>
      <c r="B3231" s="5" t="s">
        <v>9228</v>
      </c>
      <c r="C3231" s="5" t="s">
        <v>9221</v>
      </c>
      <c r="D3231" s="5" t="s">
        <v>9226</v>
      </c>
      <c r="E3231" s="5" t="s">
        <v>9227</v>
      </c>
      <c r="F3231" s="5" t="s">
        <v>16</v>
      </c>
      <c r="G3231" s="5" t="s">
        <v>38</v>
      </c>
      <c r="H3231" s="5" t="s">
        <v>32</v>
      </c>
      <c r="I3231" s="6" t="n">
        <v>34455</v>
      </c>
      <c r="J3231" s="5" t="s">
        <v>19</v>
      </c>
      <c r="K3231" s="5" t="s">
        <v>20</v>
      </c>
      <c r="L3231" s="5"/>
    </row>
    <row r="3232" customFormat="false" ht="15.65" hidden="false" customHeight="true" outlineLevel="0" collapsed="false">
      <c r="A3232" s="2" t="str">
        <f aca="false">HYPERLINK("https://www.fabsurplus.com/sdi_catalog/salesItemDetails.do?id=108583")</f>
        <v>https://www.fabsurplus.com/sdi_catalog/salesItemDetails.do?id=108583</v>
      </c>
      <c r="B3232" s="2" t="s">
        <v>9229</v>
      </c>
      <c r="C3232" s="2" t="s">
        <v>9221</v>
      </c>
      <c r="D3232" s="2" t="s">
        <v>9226</v>
      </c>
      <c r="E3232" s="2" t="s">
        <v>9227</v>
      </c>
      <c r="F3232" s="2" t="s">
        <v>16</v>
      </c>
      <c r="G3232" s="2" t="s">
        <v>38</v>
      </c>
      <c r="H3232" s="2" t="s">
        <v>32</v>
      </c>
      <c r="I3232" s="3" t="n">
        <v>34455</v>
      </c>
      <c r="J3232" s="2" t="s">
        <v>19</v>
      </c>
      <c r="K3232" s="2" t="s">
        <v>20</v>
      </c>
      <c r="L3232" s="2"/>
    </row>
    <row r="3233" customFormat="false" ht="15.65" hidden="false" customHeight="true" outlineLevel="0" collapsed="false">
      <c r="A3233" s="5" t="str">
        <f aca="false">HYPERLINK("https://www.fabsurplus.com/sdi_catalog/salesItemDetails.do?id=91218")</f>
        <v>https://www.fabsurplus.com/sdi_catalog/salesItemDetails.do?id=91218</v>
      </c>
      <c r="B3233" s="5" t="s">
        <v>9230</v>
      </c>
      <c r="C3233" s="5" t="s">
        <v>9221</v>
      </c>
      <c r="D3233" s="5" t="s">
        <v>9231</v>
      </c>
      <c r="E3233" s="5"/>
      <c r="F3233" s="5" t="s">
        <v>16</v>
      </c>
      <c r="G3233" s="5" t="s">
        <v>61</v>
      </c>
      <c r="H3233" s="5"/>
      <c r="I3233" s="5"/>
      <c r="J3233" s="5" t="s">
        <v>19</v>
      </c>
      <c r="K3233" s="5"/>
      <c r="L3233" s="5" t="s">
        <v>142</v>
      </c>
    </row>
    <row r="3234" customFormat="false" ht="15.65" hidden="false" customHeight="true" outlineLevel="0" collapsed="false">
      <c r="A3234" s="2" t="str">
        <f aca="false">HYPERLINK("https://www.fabsurplus.com/sdi_catalog/salesItemDetails.do?id=91219")</f>
        <v>https://www.fabsurplus.com/sdi_catalog/salesItemDetails.do?id=91219</v>
      </c>
      <c r="B3234" s="2" t="s">
        <v>9232</v>
      </c>
      <c r="C3234" s="2" t="s">
        <v>9221</v>
      </c>
      <c r="D3234" s="2" t="s">
        <v>9231</v>
      </c>
      <c r="E3234" s="2"/>
      <c r="F3234" s="2" t="s">
        <v>16</v>
      </c>
      <c r="G3234" s="2" t="s">
        <v>61</v>
      </c>
      <c r="H3234" s="2"/>
      <c r="I3234" s="2"/>
      <c r="J3234" s="2" t="s">
        <v>19</v>
      </c>
      <c r="K3234" s="2"/>
      <c r="L3234" s="2" t="s">
        <v>142</v>
      </c>
    </row>
    <row r="3235" customFormat="false" ht="15.65" hidden="false" customHeight="true" outlineLevel="0" collapsed="false">
      <c r="A3235" s="5" t="str">
        <f aca="false">HYPERLINK("https://www.fabsurplus.com/sdi_catalog/salesItemDetails.do?id=91220")</f>
        <v>https://www.fabsurplus.com/sdi_catalog/salesItemDetails.do?id=91220</v>
      </c>
      <c r="B3235" s="5" t="s">
        <v>9233</v>
      </c>
      <c r="C3235" s="5" t="s">
        <v>9221</v>
      </c>
      <c r="D3235" s="5" t="s">
        <v>9234</v>
      </c>
      <c r="E3235" s="5" t="s">
        <v>9235</v>
      </c>
      <c r="F3235" s="5" t="s">
        <v>16</v>
      </c>
      <c r="G3235" s="5" t="s">
        <v>61</v>
      </c>
      <c r="H3235" s="5"/>
      <c r="I3235" s="6" t="n">
        <v>38138.9166666667</v>
      </c>
      <c r="J3235" s="5" t="s">
        <v>19</v>
      </c>
      <c r="K3235" s="5"/>
      <c r="L3235" s="5" t="s">
        <v>142</v>
      </c>
    </row>
    <row r="3236" customFormat="false" ht="15.65" hidden="false" customHeight="true" outlineLevel="0" collapsed="false">
      <c r="A3236" s="2" t="str">
        <f aca="false">HYPERLINK("https://www.fabsurplus.com/sdi_catalog/salesItemDetails.do?id=91221")</f>
        <v>https://www.fabsurplus.com/sdi_catalog/salesItemDetails.do?id=91221</v>
      </c>
      <c r="B3236" s="2" t="s">
        <v>9236</v>
      </c>
      <c r="C3236" s="2" t="s">
        <v>9221</v>
      </c>
      <c r="D3236" s="2" t="s">
        <v>9234</v>
      </c>
      <c r="E3236" s="2" t="s">
        <v>9235</v>
      </c>
      <c r="F3236" s="2" t="s">
        <v>16</v>
      </c>
      <c r="G3236" s="2" t="s">
        <v>61</v>
      </c>
      <c r="H3236" s="2"/>
      <c r="I3236" s="3" t="n">
        <v>38868.9166666667</v>
      </c>
      <c r="J3236" s="2" t="s">
        <v>19</v>
      </c>
      <c r="K3236" s="2"/>
      <c r="L3236" s="2" t="s">
        <v>142</v>
      </c>
    </row>
    <row r="3237" customFormat="false" ht="15.65" hidden="false" customHeight="true" outlineLevel="0" collapsed="false">
      <c r="A3237" s="5" t="str">
        <f aca="false">HYPERLINK("https://www.fabsurplus.com/sdi_catalog/salesItemDetails.do?id=91223")</f>
        <v>https://www.fabsurplus.com/sdi_catalog/salesItemDetails.do?id=91223</v>
      </c>
      <c r="B3237" s="5" t="s">
        <v>9237</v>
      </c>
      <c r="C3237" s="5" t="s">
        <v>9221</v>
      </c>
      <c r="D3237" s="5" t="s">
        <v>9234</v>
      </c>
      <c r="E3237" s="5" t="s">
        <v>9235</v>
      </c>
      <c r="F3237" s="5" t="s">
        <v>16</v>
      </c>
      <c r="G3237" s="5" t="s">
        <v>61</v>
      </c>
      <c r="H3237" s="5"/>
      <c r="I3237" s="6" t="n">
        <v>38503.9166666667</v>
      </c>
      <c r="J3237" s="5" t="s">
        <v>19</v>
      </c>
      <c r="K3237" s="5"/>
      <c r="L3237" s="5" t="s">
        <v>142</v>
      </c>
    </row>
    <row r="3238" customFormat="false" ht="15.65" hidden="false" customHeight="true" outlineLevel="0" collapsed="false">
      <c r="A3238" s="2" t="str">
        <f aca="false">HYPERLINK("https://www.fabsurplus.com/sdi_catalog/salesItemDetails.do?id=103545")</f>
        <v>https://www.fabsurplus.com/sdi_catalog/salesItemDetails.do?id=103545</v>
      </c>
      <c r="B3238" s="2" t="s">
        <v>9238</v>
      </c>
      <c r="C3238" s="2" t="s">
        <v>9221</v>
      </c>
      <c r="D3238" s="2" t="s">
        <v>9239</v>
      </c>
      <c r="E3238" s="2" t="s">
        <v>8008</v>
      </c>
      <c r="F3238" s="2" t="s">
        <v>16</v>
      </c>
      <c r="G3238" s="2" t="s">
        <v>61</v>
      </c>
      <c r="H3238" s="2"/>
      <c r="I3238" s="2"/>
      <c r="J3238" s="2" t="s">
        <v>19</v>
      </c>
      <c r="K3238" s="2"/>
      <c r="L3238" s="4" t="s">
        <v>1682</v>
      </c>
    </row>
    <row r="3239" customFormat="false" ht="15.65" hidden="false" customHeight="true" outlineLevel="0" collapsed="false">
      <c r="A3239" s="5" t="str">
        <f aca="false">HYPERLINK("https://www.fabsurplus.com/sdi_catalog/salesItemDetails.do?id=103546")</f>
        <v>https://www.fabsurplus.com/sdi_catalog/salesItemDetails.do?id=103546</v>
      </c>
      <c r="B3239" s="5" t="s">
        <v>9240</v>
      </c>
      <c r="C3239" s="5" t="s">
        <v>9221</v>
      </c>
      <c r="D3239" s="5" t="s">
        <v>9241</v>
      </c>
      <c r="E3239" s="5" t="s">
        <v>9242</v>
      </c>
      <c r="F3239" s="5" t="s">
        <v>16</v>
      </c>
      <c r="G3239" s="5" t="s">
        <v>61</v>
      </c>
      <c r="H3239" s="5"/>
      <c r="I3239" s="6" t="n">
        <v>38503.9166666667</v>
      </c>
      <c r="J3239" s="5" t="s">
        <v>19</v>
      </c>
      <c r="K3239" s="5"/>
      <c r="L3239" s="7" t="s">
        <v>1682</v>
      </c>
    </row>
    <row r="3240" customFormat="false" ht="15.65" hidden="false" customHeight="true" outlineLevel="0" collapsed="false">
      <c r="A3240" s="2" t="str">
        <f aca="false">HYPERLINK("https://www.fabsurplus.com/sdi_catalog/salesItemDetails.do?id=108191")</f>
        <v>https://www.fabsurplus.com/sdi_catalog/salesItemDetails.do?id=108191</v>
      </c>
      <c r="B3240" s="2" t="s">
        <v>9243</v>
      </c>
      <c r="C3240" s="2" t="s">
        <v>9221</v>
      </c>
      <c r="D3240" s="2" t="s">
        <v>9244</v>
      </c>
      <c r="E3240" s="2" t="s">
        <v>9245</v>
      </c>
      <c r="F3240" s="2" t="s">
        <v>16</v>
      </c>
      <c r="G3240" s="2" t="s">
        <v>38</v>
      </c>
      <c r="H3240" s="2"/>
      <c r="I3240" s="3" t="n">
        <v>35582</v>
      </c>
      <c r="J3240" s="2" t="s">
        <v>19</v>
      </c>
      <c r="K3240" s="2"/>
      <c r="L3240" s="2" t="s">
        <v>1480</v>
      </c>
    </row>
    <row r="3241" customFormat="false" ht="15.65" hidden="false" customHeight="true" outlineLevel="0" collapsed="false">
      <c r="A3241" s="5" t="str">
        <f aca="false">HYPERLINK("https://www.fabsurplus.com/sdi_catalog/salesItemDetails.do?id=109221")</f>
        <v>https://www.fabsurplus.com/sdi_catalog/salesItemDetails.do?id=109221</v>
      </c>
      <c r="B3241" s="5" t="s">
        <v>9246</v>
      </c>
      <c r="C3241" s="5" t="s">
        <v>9247</v>
      </c>
      <c r="D3241" s="5" t="s">
        <v>9248</v>
      </c>
      <c r="E3241" s="5" t="s">
        <v>9249</v>
      </c>
      <c r="F3241" s="5" t="s">
        <v>16</v>
      </c>
      <c r="G3241" s="5" t="s">
        <v>84</v>
      </c>
      <c r="H3241" s="5"/>
      <c r="I3241" s="5"/>
      <c r="J3241" s="5" t="s">
        <v>19</v>
      </c>
      <c r="K3241" s="5"/>
      <c r="L3241" s="5"/>
    </row>
    <row r="3242" customFormat="false" ht="15.65" hidden="false" customHeight="true" outlineLevel="0" collapsed="false">
      <c r="A3242" s="2" t="str">
        <f aca="false">HYPERLINK("https://www.fabsurplus.com/sdi_catalog/salesItemDetails.do?id=109222")</f>
        <v>https://www.fabsurplus.com/sdi_catalog/salesItemDetails.do?id=109222</v>
      </c>
      <c r="B3242" s="2" t="s">
        <v>9250</v>
      </c>
      <c r="C3242" s="2" t="s">
        <v>9247</v>
      </c>
      <c r="D3242" s="2" t="s">
        <v>9248</v>
      </c>
      <c r="E3242" s="2" t="s">
        <v>9249</v>
      </c>
      <c r="F3242" s="2" t="s">
        <v>16</v>
      </c>
      <c r="G3242" s="2" t="s">
        <v>84</v>
      </c>
      <c r="H3242" s="2"/>
      <c r="I3242" s="2"/>
      <c r="J3242" s="2" t="s">
        <v>19</v>
      </c>
      <c r="K3242" s="2"/>
      <c r="L3242" s="2"/>
    </row>
    <row r="3243" customFormat="false" ht="15.65" hidden="false" customHeight="true" outlineLevel="0" collapsed="false">
      <c r="A3243" s="5" t="str">
        <f aca="false">HYPERLINK("https://www.fabsurplus.com/sdi_catalog/salesItemDetails.do?id=109223")</f>
        <v>https://www.fabsurplus.com/sdi_catalog/salesItemDetails.do?id=109223</v>
      </c>
      <c r="B3243" s="5" t="s">
        <v>9251</v>
      </c>
      <c r="C3243" s="5" t="s">
        <v>9247</v>
      </c>
      <c r="D3243" s="5" t="s">
        <v>9241</v>
      </c>
      <c r="E3243" s="5" t="s">
        <v>1893</v>
      </c>
      <c r="F3243" s="5" t="s">
        <v>16</v>
      </c>
      <c r="G3243" s="5" t="s">
        <v>84</v>
      </c>
      <c r="H3243" s="5"/>
      <c r="I3243" s="5"/>
      <c r="J3243" s="5" t="s">
        <v>19</v>
      </c>
      <c r="K3243" s="5"/>
      <c r="L3243" s="5"/>
    </row>
    <row r="3244" customFormat="false" ht="15.65" hidden="false" customHeight="true" outlineLevel="0" collapsed="false">
      <c r="A3244" s="2" t="str">
        <f aca="false">HYPERLINK("https://www.fabsurplus.com/sdi_catalog/salesItemDetails.do?id=109224")</f>
        <v>https://www.fabsurplus.com/sdi_catalog/salesItemDetails.do?id=109224</v>
      </c>
      <c r="B3244" s="2" t="s">
        <v>9252</v>
      </c>
      <c r="C3244" s="2" t="s">
        <v>9247</v>
      </c>
      <c r="D3244" s="2" t="s">
        <v>9253</v>
      </c>
      <c r="E3244" s="2" t="s">
        <v>1893</v>
      </c>
      <c r="F3244" s="2" t="s">
        <v>16</v>
      </c>
      <c r="G3244" s="2" t="s">
        <v>84</v>
      </c>
      <c r="H3244" s="2"/>
      <c r="I3244" s="2"/>
      <c r="J3244" s="2" t="s">
        <v>19</v>
      </c>
      <c r="K3244" s="2"/>
      <c r="L3244" s="2"/>
    </row>
    <row r="3245" customFormat="false" ht="15.65" hidden="false" customHeight="true" outlineLevel="0" collapsed="false">
      <c r="A3245" s="5" t="str">
        <f aca="false">HYPERLINK("https://www.fabsurplus.com/sdi_catalog/salesItemDetails.do?id=108472")</f>
        <v>https://www.fabsurplus.com/sdi_catalog/salesItemDetails.do?id=108472</v>
      </c>
      <c r="B3245" s="5" t="s">
        <v>9254</v>
      </c>
      <c r="C3245" s="5" t="s">
        <v>9247</v>
      </c>
      <c r="D3245" s="5" t="s">
        <v>9255</v>
      </c>
      <c r="E3245" s="5" t="s">
        <v>9256</v>
      </c>
      <c r="F3245" s="5" t="s">
        <v>16</v>
      </c>
      <c r="G3245" s="5" t="s">
        <v>61</v>
      </c>
      <c r="H3245" s="5"/>
      <c r="I3245" s="5"/>
      <c r="J3245" s="5" t="s">
        <v>19</v>
      </c>
      <c r="K3245" s="5"/>
      <c r="L3245" s="5"/>
    </row>
    <row r="3246" customFormat="false" ht="15.65" hidden="false" customHeight="true" outlineLevel="0" collapsed="false">
      <c r="A3246" s="2" t="str">
        <f aca="false">HYPERLINK("https://www.fabsurplus.com/sdi_catalog/salesItemDetails.do?id=109497")</f>
        <v>https://www.fabsurplus.com/sdi_catalog/salesItemDetails.do?id=109497</v>
      </c>
      <c r="B3246" s="2" t="s">
        <v>9257</v>
      </c>
      <c r="C3246" s="2" t="s">
        <v>9221</v>
      </c>
      <c r="D3246" s="2" t="s">
        <v>9258</v>
      </c>
      <c r="E3246" s="2" t="s">
        <v>103</v>
      </c>
      <c r="F3246" s="2" t="s">
        <v>16</v>
      </c>
      <c r="G3246" s="2" t="s">
        <v>104</v>
      </c>
      <c r="H3246" s="2"/>
      <c r="I3246" s="2"/>
      <c r="J3246" s="2" t="s">
        <v>19</v>
      </c>
      <c r="K3246" s="2"/>
      <c r="L3246" s="2" t="s">
        <v>9259</v>
      </c>
    </row>
    <row r="3247" customFormat="false" ht="15.65" hidden="false" customHeight="true" outlineLevel="0" collapsed="false">
      <c r="A3247" s="5" t="str">
        <f aca="false">HYPERLINK("https://www.fabsurplus.com/sdi_catalog/salesItemDetails.do?id=108475")</f>
        <v>https://www.fabsurplus.com/sdi_catalog/salesItemDetails.do?id=108475</v>
      </c>
      <c r="B3247" s="5" t="s">
        <v>9260</v>
      </c>
      <c r="C3247" s="5" t="s">
        <v>9247</v>
      </c>
      <c r="D3247" s="5" t="s">
        <v>9261</v>
      </c>
      <c r="E3247" s="5" t="s">
        <v>9262</v>
      </c>
      <c r="F3247" s="5" t="s">
        <v>16</v>
      </c>
      <c r="G3247" s="5" t="s">
        <v>61</v>
      </c>
      <c r="H3247" s="5"/>
      <c r="I3247" s="5"/>
      <c r="J3247" s="5" t="s">
        <v>19</v>
      </c>
      <c r="K3247" s="5"/>
      <c r="L3247" s="5"/>
    </row>
    <row r="3248" customFormat="false" ht="15.65" hidden="false" customHeight="true" outlineLevel="0" collapsed="false">
      <c r="A3248" s="2" t="str">
        <f aca="false">HYPERLINK("https://www.fabsurplus.com/sdi_catalog/salesItemDetails.do?id=108477")</f>
        <v>https://www.fabsurplus.com/sdi_catalog/salesItemDetails.do?id=108477</v>
      </c>
      <c r="B3248" s="2" t="s">
        <v>9263</v>
      </c>
      <c r="C3248" s="2" t="s">
        <v>9247</v>
      </c>
      <c r="D3248" s="2" t="s">
        <v>9253</v>
      </c>
      <c r="E3248" s="2" t="s">
        <v>1893</v>
      </c>
      <c r="F3248" s="2" t="s">
        <v>151</v>
      </c>
      <c r="G3248" s="2" t="s">
        <v>61</v>
      </c>
      <c r="H3248" s="2"/>
      <c r="I3248" s="2"/>
      <c r="J3248" s="2" t="s">
        <v>19</v>
      </c>
      <c r="K3248" s="2"/>
      <c r="L3248" s="2"/>
    </row>
    <row r="3249" customFormat="false" ht="15.65" hidden="false" customHeight="true" outlineLevel="0" collapsed="false">
      <c r="A3249" s="5" t="str">
        <f aca="false">HYPERLINK("https://www.fabsurplus.com/sdi_catalog/salesItemDetails.do?id=106710")</f>
        <v>https://www.fabsurplus.com/sdi_catalog/salesItemDetails.do?id=106710</v>
      </c>
      <c r="B3249" s="5" t="s">
        <v>9264</v>
      </c>
      <c r="C3249" s="5" t="s">
        <v>9221</v>
      </c>
      <c r="D3249" s="5" t="s">
        <v>9241</v>
      </c>
      <c r="E3249" s="5" t="s">
        <v>9265</v>
      </c>
      <c r="F3249" s="5" t="s">
        <v>16</v>
      </c>
      <c r="G3249" s="5" t="s">
        <v>61</v>
      </c>
      <c r="H3249" s="5"/>
      <c r="I3249" s="6" t="n">
        <v>37773</v>
      </c>
      <c r="J3249" s="5" t="s">
        <v>19</v>
      </c>
      <c r="K3249" s="5"/>
      <c r="L3249" s="5" t="s">
        <v>518</v>
      </c>
    </row>
    <row r="3250" customFormat="false" ht="15.65" hidden="false" customHeight="true" outlineLevel="0" collapsed="false">
      <c r="A3250" s="2" t="str">
        <f aca="false">HYPERLINK("https://www.fabsurplus.com/sdi_catalog/salesItemDetails.do?id=106711")</f>
        <v>https://www.fabsurplus.com/sdi_catalog/salesItemDetails.do?id=106711</v>
      </c>
      <c r="B3250" s="2" t="s">
        <v>9266</v>
      </c>
      <c r="C3250" s="2" t="s">
        <v>9221</v>
      </c>
      <c r="D3250" s="2" t="s">
        <v>9241</v>
      </c>
      <c r="E3250" s="2" t="s">
        <v>9265</v>
      </c>
      <c r="F3250" s="2" t="s">
        <v>16</v>
      </c>
      <c r="G3250" s="2" t="s">
        <v>61</v>
      </c>
      <c r="H3250" s="2"/>
      <c r="I3250" s="3" t="n">
        <v>38139</v>
      </c>
      <c r="J3250" s="2" t="s">
        <v>19</v>
      </c>
      <c r="K3250" s="2"/>
      <c r="L3250" s="2" t="s">
        <v>518</v>
      </c>
    </row>
    <row r="3251" customFormat="false" ht="15.65" hidden="false" customHeight="true" outlineLevel="0" collapsed="false">
      <c r="A3251" s="5" t="str">
        <f aca="false">HYPERLINK("https://www.fabsurplus.com/sdi_catalog/salesItemDetails.do?id=106712")</f>
        <v>https://www.fabsurplus.com/sdi_catalog/salesItemDetails.do?id=106712</v>
      </c>
      <c r="B3251" s="5" t="s">
        <v>9267</v>
      </c>
      <c r="C3251" s="5" t="s">
        <v>9221</v>
      </c>
      <c r="D3251" s="5" t="s">
        <v>9241</v>
      </c>
      <c r="E3251" s="5" t="s">
        <v>9265</v>
      </c>
      <c r="F3251" s="5" t="s">
        <v>16</v>
      </c>
      <c r="G3251" s="5" t="s">
        <v>61</v>
      </c>
      <c r="H3251" s="5"/>
      <c r="I3251" s="6" t="n">
        <v>38504</v>
      </c>
      <c r="J3251" s="5" t="s">
        <v>19</v>
      </c>
      <c r="K3251" s="5"/>
      <c r="L3251" s="5" t="s">
        <v>518</v>
      </c>
    </row>
    <row r="3252" customFormat="false" ht="15.65" hidden="false" customHeight="true" outlineLevel="0" collapsed="false">
      <c r="A3252" s="2" t="str">
        <f aca="false">HYPERLINK("https://www.fabsurplus.com/sdi_catalog/salesItemDetails.do?id=106713")</f>
        <v>https://www.fabsurplus.com/sdi_catalog/salesItemDetails.do?id=106713</v>
      </c>
      <c r="B3252" s="2" t="s">
        <v>9268</v>
      </c>
      <c r="C3252" s="2" t="s">
        <v>9221</v>
      </c>
      <c r="D3252" s="2" t="s">
        <v>9241</v>
      </c>
      <c r="E3252" s="2" t="s">
        <v>9265</v>
      </c>
      <c r="F3252" s="2" t="s">
        <v>16</v>
      </c>
      <c r="G3252" s="2" t="s">
        <v>61</v>
      </c>
      <c r="H3252" s="2"/>
      <c r="I3252" s="3" t="n">
        <v>38504</v>
      </c>
      <c r="J3252" s="2" t="s">
        <v>19</v>
      </c>
      <c r="K3252" s="2"/>
      <c r="L3252" s="2" t="s">
        <v>518</v>
      </c>
    </row>
    <row r="3253" customFormat="false" ht="15.65" hidden="false" customHeight="true" outlineLevel="0" collapsed="false">
      <c r="A3253" s="5" t="str">
        <f aca="false">HYPERLINK("https://www.fabsurplus.com/sdi_catalog/salesItemDetails.do?id=106714")</f>
        <v>https://www.fabsurplus.com/sdi_catalog/salesItemDetails.do?id=106714</v>
      </c>
      <c r="B3253" s="5" t="s">
        <v>9269</v>
      </c>
      <c r="C3253" s="5" t="s">
        <v>9221</v>
      </c>
      <c r="D3253" s="5" t="s">
        <v>9241</v>
      </c>
      <c r="E3253" s="5" t="s">
        <v>9265</v>
      </c>
      <c r="F3253" s="5" t="s">
        <v>16</v>
      </c>
      <c r="G3253" s="5" t="s">
        <v>61</v>
      </c>
      <c r="H3253" s="5"/>
      <c r="I3253" s="6" t="n">
        <v>38504</v>
      </c>
      <c r="J3253" s="5" t="s">
        <v>19</v>
      </c>
      <c r="K3253" s="5"/>
      <c r="L3253" s="5" t="s">
        <v>518</v>
      </c>
    </row>
    <row r="3254" customFormat="false" ht="15.65" hidden="false" customHeight="true" outlineLevel="0" collapsed="false">
      <c r="A3254" s="2" t="str">
        <f aca="false">HYPERLINK("https://www.fabsurplus.com/sdi_catalog/salesItemDetails.do?id=109288")</f>
        <v>https://www.fabsurplus.com/sdi_catalog/salesItemDetails.do?id=109288</v>
      </c>
      <c r="B3254" s="2" t="s">
        <v>9270</v>
      </c>
      <c r="C3254" s="2" t="s">
        <v>9247</v>
      </c>
      <c r="D3254" s="2" t="s">
        <v>9271</v>
      </c>
      <c r="E3254" s="2" t="s">
        <v>9272</v>
      </c>
      <c r="F3254" s="2" t="s">
        <v>16</v>
      </c>
      <c r="G3254" s="2" t="s">
        <v>61</v>
      </c>
      <c r="H3254" s="2" t="s">
        <v>32</v>
      </c>
      <c r="I3254" s="3" t="n">
        <v>38869</v>
      </c>
      <c r="J3254" s="2" t="s">
        <v>19</v>
      </c>
      <c r="K3254" s="2" t="s">
        <v>20</v>
      </c>
      <c r="L3254" s="4" t="s">
        <v>9273</v>
      </c>
    </row>
    <row r="3255" customFormat="false" ht="15.65" hidden="false" customHeight="true" outlineLevel="0" collapsed="false">
      <c r="A3255" s="5" t="str">
        <f aca="false">HYPERLINK("https://www.fabsurplus.com/sdi_catalog/salesItemDetails.do?id=109498")</f>
        <v>https://www.fabsurplus.com/sdi_catalog/salesItemDetails.do?id=109498</v>
      </c>
      <c r="B3255" s="5" t="s">
        <v>9274</v>
      </c>
      <c r="C3255" s="5" t="s">
        <v>9275</v>
      </c>
      <c r="D3255" s="5" t="s">
        <v>9276</v>
      </c>
      <c r="E3255" s="5" t="s">
        <v>103</v>
      </c>
      <c r="F3255" s="5" t="s">
        <v>250</v>
      </c>
      <c r="G3255" s="5" t="s">
        <v>104</v>
      </c>
      <c r="H3255" s="5"/>
      <c r="I3255" s="5"/>
      <c r="J3255" s="5" t="s">
        <v>19</v>
      </c>
      <c r="K3255" s="5"/>
      <c r="L3255" s="5"/>
    </row>
    <row r="3256" customFormat="false" ht="15.65" hidden="false" customHeight="true" outlineLevel="0" collapsed="false">
      <c r="A3256" s="2" t="str">
        <f aca="false">HYPERLINK("https://www.fabsurplus.com/sdi_catalog/salesItemDetails.do?id=109499")</f>
        <v>https://www.fabsurplus.com/sdi_catalog/salesItemDetails.do?id=109499</v>
      </c>
      <c r="B3256" s="2" t="s">
        <v>9277</v>
      </c>
      <c r="C3256" s="2" t="s">
        <v>9275</v>
      </c>
      <c r="D3256" s="2" t="s">
        <v>9278</v>
      </c>
      <c r="E3256" s="2" t="s">
        <v>103</v>
      </c>
      <c r="F3256" s="2" t="s">
        <v>16</v>
      </c>
      <c r="G3256" s="2" t="s">
        <v>104</v>
      </c>
      <c r="H3256" s="2"/>
      <c r="I3256" s="2"/>
      <c r="J3256" s="2" t="s">
        <v>19</v>
      </c>
      <c r="K3256" s="2"/>
      <c r="L3256" s="2"/>
    </row>
    <row r="3257" customFormat="false" ht="15.65" hidden="false" customHeight="true" outlineLevel="0" collapsed="false">
      <c r="A3257" s="5" t="str">
        <f aca="false">HYPERLINK("https://www.fabsurplus.com/sdi_catalog/salesItemDetails.do?id=109500")</f>
        <v>https://www.fabsurplus.com/sdi_catalog/salesItemDetails.do?id=109500</v>
      </c>
      <c r="B3257" s="5" t="s">
        <v>9279</v>
      </c>
      <c r="C3257" s="5" t="s">
        <v>9275</v>
      </c>
      <c r="D3257" s="5" t="s">
        <v>9280</v>
      </c>
      <c r="E3257" s="5" t="s">
        <v>103</v>
      </c>
      <c r="F3257" s="5" t="s">
        <v>151</v>
      </c>
      <c r="G3257" s="5" t="s">
        <v>104</v>
      </c>
      <c r="H3257" s="5"/>
      <c r="I3257" s="5"/>
      <c r="J3257" s="5" t="s">
        <v>19</v>
      </c>
      <c r="K3257" s="5"/>
      <c r="L3257" s="5"/>
    </row>
    <row r="3258" customFormat="false" ht="15.65" hidden="false" customHeight="true" outlineLevel="0" collapsed="false">
      <c r="A3258" s="2" t="str">
        <f aca="false">HYPERLINK("https://www.fabsurplus.com/sdi_catalog/salesItemDetails.do?id=109501")</f>
        <v>https://www.fabsurplus.com/sdi_catalog/salesItemDetails.do?id=109501</v>
      </c>
      <c r="B3258" s="2" t="s">
        <v>9281</v>
      </c>
      <c r="C3258" s="2" t="s">
        <v>9275</v>
      </c>
      <c r="D3258" s="2" t="s">
        <v>9282</v>
      </c>
      <c r="E3258" s="2" t="s">
        <v>103</v>
      </c>
      <c r="F3258" s="2" t="s">
        <v>151</v>
      </c>
      <c r="G3258" s="2" t="s">
        <v>104</v>
      </c>
      <c r="H3258" s="2"/>
      <c r="I3258" s="2"/>
      <c r="J3258" s="2" t="s">
        <v>19</v>
      </c>
      <c r="K3258" s="2"/>
      <c r="L3258" s="2"/>
    </row>
    <row r="3259" customFormat="false" ht="15.65" hidden="false" customHeight="true" outlineLevel="0" collapsed="false">
      <c r="A3259" s="5" t="str">
        <f aca="false">HYPERLINK("https://www.fabsurplus.com/sdi_catalog/salesItemDetails.do?id=109502")</f>
        <v>https://www.fabsurplus.com/sdi_catalog/salesItemDetails.do?id=109502</v>
      </c>
      <c r="B3259" s="5" t="s">
        <v>9283</v>
      </c>
      <c r="C3259" s="5" t="s">
        <v>9275</v>
      </c>
      <c r="D3259" s="5" t="s">
        <v>9284</v>
      </c>
      <c r="E3259" s="5" t="s">
        <v>103</v>
      </c>
      <c r="F3259" s="5" t="s">
        <v>86</v>
      </c>
      <c r="G3259" s="5" t="s">
        <v>104</v>
      </c>
      <c r="H3259" s="5"/>
      <c r="I3259" s="5"/>
      <c r="J3259" s="5" t="s">
        <v>19</v>
      </c>
      <c r="K3259" s="5"/>
      <c r="L3259" s="5"/>
    </row>
    <row r="3260" customFormat="false" ht="15.65" hidden="false" customHeight="true" outlineLevel="0" collapsed="false">
      <c r="A3260" s="2" t="str">
        <f aca="false">HYPERLINK("https://www.fabsurplus.com/sdi_catalog/salesItemDetails.do?id=109503")</f>
        <v>https://www.fabsurplus.com/sdi_catalog/salesItemDetails.do?id=109503</v>
      </c>
      <c r="B3260" s="2" t="s">
        <v>9285</v>
      </c>
      <c r="C3260" s="2" t="s">
        <v>9275</v>
      </c>
      <c r="D3260" s="2" t="s">
        <v>9286</v>
      </c>
      <c r="E3260" s="2" t="s">
        <v>103</v>
      </c>
      <c r="F3260" s="2" t="s">
        <v>108</v>
      </c>
      <c r="G3260" s="2" t="s">
        <v>104</v>
      </c>
      <c r="H3260" s="2"/>
      <c r="I3260" s="2"/>
      <c r="J3260" s="2" t="s">
        <v>19</v>
      </c>
      <c r="K3260" s="2"/>
      <c r="L3260" s="2"/>
    </row>
    <row r="3261" customFormat="false" ht="15.65" hidden="false" customHeight="true" outlineLevel="0" collapsed="false">
      <c r="A3261" s="5" t="str">
        <f aca="false">HYPERLINK("https://www.fabsurplus.com/sdi_catalog/salesItemDetails.do?id=109504")</f>
        <v>https://www.fabsurplus.com/sdi_catalog/salesItemDetails.do?id=109504</v>
      </c>
      <c r="B3261" s="5" t="s">
        <v>9287</v>
      </c>
      <c r="C3261" s="5" t="s">
        <v>9275</v>
      </c>
      <c r="D3261" s="5" t="s">
        <v>9288</v>
      </c>
      <c r="E3261" s="5" t="s">
        <v>103</v>
      </c>
      <c r="F3261" s="5" t="s">
        <v>16</v>
      </c>
      <c r="G3261" s="5" t="s">
        <v>104</v>
      </c>
      <c r="H3261" s="5"/>
      <c r="I3261" s="5"/>
      <c r="J3261" s="5" t="s">
        <v>19</v>
      </c>
      <c r="K3261" s="5"/>
      <c r="L3261" s="5"/>
    </row>
    <row r="3262" customFormat="false" ht="15.65" hidden="false" customHeight="true" outlineLevel="0" collapsed="false">
      <c r="A3262" s="2" t="str">
        <f aca="false">HYPERLINK("https://www.fabsurplus.com/sdi_catalog/salesItemDetails.do?id=109505")</f>
        <v>https://www.fabsurplus.com/sdi_catalog/salesItemDetails.do?id=109505</v>
      </c>
      <c r="B3262" s="2" t="s">
        <v>9289</v>
      </c>
      <c r="C3262" s="2" t="s">
        <v>9275</v>
      </c>
      <c r="D3262" s="2" t="s">
        <v>9290</v>
      </c>
      <c r="E3262" s="2" t="s">
        <v>103</v>
      </c>
      <c r="F3262" s="2" t="s">
        <v>108</v>
      </c>
      <c r="G3262" s="2" t="s">
        <v>104</v>
      </c>
      <c r="H3262" s="2"/>
      <c r="I3262" s="2"/>
      <c r="J3262" s="2" t="s">
        <v>19</v>
      </c>
      <c r="K3262" s="2"/>
      <c r="L3262" s="2"/>
    </row>
    <row r="3263" customFormat="false" ht="15.65" hidden="false" customHeight="true" outlineLevel="0" collapsed="false">
      <c r="A3263" s="5" t="str">
        <f aca="false">HYPERLINK("https://www.fabsurplus.com/sdi_catalog/salesItemDetails.do?id=109506")</f>
        <v>https://www.fabsurplus.com/sdi_catalog/salesItemDetails.do?id=109506</v>
      </c>
      <c r="B3263" s="5" t="s">
        <v>9291</v>
      </c>
      <c r="C3263" s="5" t="s">
        <v>9275</v>
      </c>
      <c r="D3263" s="5" t="s">
        <v>9292</v>
      </c>
      <c r="E3263" s="5" t="s">
        <v>103</v>
      </c>
      <c r="F3263" s="5" t="s">
        <v>86</v>
      </c>
      <c r="G3263" s="5" t="s">
        <v>104</v>
      </c>
      <c r="H3263" s="5"/>
      <c r="I3263" s="5"/>
      <c r="J3263" s="5" t="s">
        <v>19</v>
      </c>
      <c r="K3263" s="5"/>
      <c r="L3263" s="5"/>
    </row>
    <row r="3264" customFormat="false" ht="15.65" hidden="false" customHeight="true" outlineLevel="0" collapsed="false">
      <c r="A3264" s="2" t="str">
        <f aca="false">HYPERLINK("https://www.fabsurplus.com/sdi_catalog/salesItemDetails.do?id=109507")</f>
        <v>https://www.fabsurplus.com/sdi_catalog/salesItemDetails.do?id=109507</v>
      </c>
      <c r="B3264" s="2" t="s">
        <v>9293</v>
      </c>
      <c r="C3264" s="2" t="s">
        <v>9275</v>
      </c>
      <c r="D3264" s="2" t="s">
        <v>9294</v>
      </c>
      <c r="E3264" s="2" t="s">
        <v>103</v>
      </c>
      <c r="F3264" s="2" t="s">
        <v>86</v>
      </c>
      <c r="G3264" s="2" t="s">
        <v>104</v>
      </c>
      <c r="H3264" s="2"/>
      <c r="I3264" s="2"/>
      <c r="J3264" s="2" t="s">
        <v>19</v>
      </c>
      <c r="K3264" s="2"/>
      <c r="L3264" s="2"/>
    </row>
    <row r="3265" customFormat="false" ht="15.65" hidden="false" customHeight="true" outlineLevel="0" collapsed="false">
      <c r="A3265" s="5" t="str">
        <f aca="false">HYPERLINK("https://www.fabsurplus.com/sdi_catalog/salesItemDetails.do?id=109508")</f>
        <v>https://www.fabsurplus.com/sdi_catalog/salesItemDetails.do?id=109508</v>
      </c>
      <c r="B3265" s="5" t="s">
        <v>9295</v>
      </c>
      <c r="C3265" s="5" t="s">
        <v>9275</v>
      </c>
      <c r="D3265" s="5" t="s">
        <v>9296</v>
      </c>
      <c r="E3265" s="5" t="s">
        <v>103</v>
      </c>
      <c r="F3265" s="5" t="s">
        <v>203</v>
      </c>
      <c r="G3265" s="5" t="s">
        <v>104</v>
      </c>
      <c r="H3265" s="5"/>
      <c r="I3265" s="5"/>
      <c r="J3265" s="5" t="s">
        <v>19</v>
      </c>
      <c r="K3265" s="5"/>
      <c r="L3265" s="5"/>
    </row>
    <row r="3266" customFormat="false" ht="15.65" hidden="false" customHeight="true" outlineLevel="0" collapsed="false">
      <c r="A3266" s="2" t="str">
        <f aca="false">HYPERLINK("https://www.fabsurplus.com/sdi_catalog/salesItemDetails.do?id=109509")</f>
        <v>https://www.fabsurplus.com/sdi_catalog/salesItemDetails.do?id=109509</v>
      </c>
      <c r="B3266" s="2" t="s">
        <v>9297</v>
      </c>
      <c r="C3266" s="2" t="s">
        <v>9275</v>
      </c>
      <c r="D3266" s="2" t="s">
        <v>9298</v>
      </c>
      <c r="E3266" s="2" t="s">
        <v>103</v>
      </c>
      <c r="F3266" s="2" t="s">
        <v>16</v>
      </c>
      <c r="G3266" s="2" t="s">
        <v>104</v>
      </c>
      <c r="H3266" s="2"/>
      <c r="I3266" s="2"/>
      <c r="J3266" s="2" t="s">
        <v>19</v>
      </c>
      <c r="K3266" s="2"/>
      <c r="L3266" s="2"/>
    </row>
    <row r="3267" customFormat="false" ht="15.65" hidden="false" customHeight="true" outlineLevel="0" collapsed="false">
      <c r="A3267" s="5" t="str">
        <f aca="false">HYPERLINK("https://www.fabsurplus.com/sdi_catalog/salesItemDetails.do?id=109510")</f>
        <v>https://www.fabsurplus.com/sdi_catalog/salesItemDetails.do?id=109510</v>
      </c>
      <c r="B3267" s="5" t="s">
        <v>9299</v>
      </c>
      <c r="C3267" s="5" t="s">
        <v>9275</v>
      </c>
      <c r="D3267" s="5" t="s">
        <v>9300</v>
      </c>
      <c r="E3267" s="5" t="s">
        <v>103</v>
      </c>
      <c r="F3267" s="5" t="s">
        <v>16</v>
      </c>
      <c r="G3267" s="5" t="s">
        <v>104</v>
      </c>
      <c r="H3267" s="5"/>
      <c r="I3267" s="5"/>
      <c r="J3267" s="5" t="s">
        <v>19</v>
      </c>
      <c r="K3267" s="5"/>
      <c r="L3267" s="5"/>
    </row>
    <row r="3268" customFormat="false" ht="15.65" hidden="false" customHeight="true" outlineLevel="0" collapsed="false">
      <c r="A3268" s="2" t="str">
        <f aca="false">HYPERLINK("https://www.fabsurplus.com/sdi_catalog/salesItemDetails.do?id=109511")</f>
        <v>https://www.fabsurplus.com/sdi_catalog/salesItemDetails.do?id=109511</v>
      </c>
      <c r="B3268" s="2" t="s">
        <v>9301</v>
      </c>
      <c r="C3268" s="2" t="s">
        <v>9275</v>
      </c>
      <c r="D3268" s="2" t="s">
        <v>9302</v>
      </c>
      <c r="E3268" s="2" t="s">
        <v>103</v>
      </c>
      <c r="F3268" s="2" t="s">
        <v>148</v>
      </c>
      <c r="G3268" s="2" t="s">
        <v>104</v>
      </c>
      <c r="H3268" s="2"/>
      <c r="I3268" s="2"/>
      <c r="J3268" s="2" t="s">
        <v>19</v>
      </c>
      <c r="K3268" s="2"/>
      <c r="L3268" s="2"/>
    </row>
    <row r="3269" customFormat="false" ht="15.65" hidden="false" customHeight="true" outlineLevel="0" collapsed="false">
      <c r="A3269" s="5" t="str">
        <f aca="false">HYPERLINK("https://www.fabsurplus.com/sdi_catalog/salesItemDetails.do?id=109512")</f>
        <v>https://www.fabsurplus.com/sdi_catalog/salesItemDetails.do?id=109512</v>
      </c>
      <c r="B3269" s="5" t="s">
        <v>9303</v>
      </c>
      <c r="C3269" s="5" t="s">
        <v>9275</v>
      </c>
      <c r="D3269" s="5" t="s">
        <v>9304</v>
      </c>
      <c r="E3269" s="5" t="s">
        <v>103</v>
      </c>
      <c r="F3269" s="5" t="s">
        <v>151</v>
      </c>
      <c r="G3269" s="5" t="s">
        <v>104</v>
      </c>
      <c r="H3269" s="5"/>
      <c r="I3269" s="5"/>
      <c r="J3269" s="5" t="s">
        <v>19</v>
      </c>
      <c r="K3269" s="5"/>
      <c r="L3269" s="5"/>
    </row>
    <row r="3270" customFormat="false" ht="15.65" hidden="false" customHeight="true" outlineLevel="0" collapsed="false">
      <c r="A3270" s="2" t="str">
        <f aca="false">HYPERLINK("https://www.fabsurplus.com/sdi_catalog/salesItemDetails.do?id=109513")</f>
        <v>https://www.fabsurplus.com/sdi_catalog/salesItemDetails.do?id=109513</v>
      </c>
      <c r="B3270" s="2" t="s">
        <v>9305</v>
      </c>
      <c r="C3270" s="2" t="s">
        <v>9275</v>
      </c>
      <c r="D3270" s="2" t="s">
        <v>9306</v>
      </c>
      <c r="E3270" s="2" t="s">
        <v>103</v>
      </c>
      <c r="F3270" s="2" t="s">
        <v>250</v>
      </c>
      <c r="G3270" s="2" t="s">
        <v>104</v>
      </c>
      <c r="H3270" s="2"/>
      <c r="I3270" s="2"/>
      <c r="J3270" s="2" t="s">
        <v>19</v>
      </c>
      <c r="K3270" s="2"/>
      <c r="L3270" s="2"/>
    </row>
    <row r="3271" customFormat="false" ht="15.65" hidden="false" customHeight="true" outlineLevel="0" collapsed="false">
      <c r="A3271" s="5" t="str">
        <f aca="false">HYPERLINK("https://www.fabsurplus.com/sdi_catalog/salesItemDetails.do?id=83552")</f>
        <v>https://www.fabsurplus.com/sdi_catalog/salesItemDetails.do?id=83552</v>
      </c>
      <c r="B3271" s="5" t="s">
        <v>9307</v>
      </c>
      <c r="C3271" s="5" t="s">
        <v>9308</v>
      </c>
      <c r="D3271" s="5" t="s">
        <v>9309</v>
      </c>
      <c r="E3271" s="5" t="s">
        <v>9310</v>
      </c>
      <c r="F3271" s="5" t="s">
        <v>108</v>
      </c>
      <c r="G3271" s="5" t="s">
        <v>9311</v>
      </c>
      <c r="H3271" s="5" t="s">
        <v>18</v>
      </c>
      <c r="I3271" s="6" t="n">
        <v>38411.9583333333</v>
      </c>
      <c r="J3271" s="5" t="s">
        <v>19</v>
      </c>
      <c r="K3271" s="5" t="s">
        <v>20</v>
      </c>
      <c r="L3271" s="5" t="s">
        <v>9312</v>
      </c>
    </row>
    <row r="3272" customFormat="false" ht="15.65" hidden="false" customHeight="true" outlineLevel="0" collapsed="false">
      <c r="A3272" s="2" t="str">
        <f aca="false">HYPERLINK("https://www.fabsurplus.com/sdi_catalog/salesItemDetails.do?id=103384")</f>
        <v>https://www.fabsurplus.com/sdi_catalog/salesItemDetails.do?id=103384</v>
      </c>
      <c r="B3272" s="2" t="s">
        <v>9313</v>
      </c>
      <c r="C3272" s="2" t="s">
        <v>9314</v>
      </c>
      <c r="D3272" s="2" t="s">
        <v>9315</v>
      </c>
      <c r="E3272" s="2" t="s">
        <v>9316</v>
      </c>
      <c r="F3272" s="2" t="s">
        <v>5998</v>
      </c>
      <c r="G3272" s="2" t="s">
        <v>104</v>
      </c>
      <c r="H3272" s="2" t="s">
        <v>18</v>
      </c>
      <c r="I3272" s="2"/>
      <c r="J3272" s="2" t="s">
        <v>19</v>
      </c>
      <c r="K3272" s="2" t="s">
        <v>20</v>
      </c>
      <c r="L3272" s="4" t="s">
        <v>9317</v>
      </c>
    </row>
    <row r="3273" customFormat="false" ht="15.65" hidden="false" customHeight="true" outlineLevel="0" collapsed="false">
      <c r="A3273" s="5" t="str">
        <f aca="false">HYPERLINK("https://www.fabsurplus.com/sdi_catalog/salesItemDetails.do?id=103385")</f>
        <v>https://www.fabsurplus.com/sdi_catalog/salesItemDetails.do?id=103385</v>
      </c>
      <c r="B3273" s="5" t="s">
        <v>9318</v>
      </c>
      <c r="C3273" s="5" t="s">
        <v>9314</v>
      </c>
      <c r="D3273" s="5" t="s">
        <v>9319</v>
      </c>
      <c r="E3273" s="5" t="s">
        <v>9320</v>
      </c>
      <c r="F3273" s="5" t="s">
        <v>250</v>
      </c>
      <c r="G3273" s="5" t="s">
        <v>104</v>
      </c>
      <c r="H3273" s="5" t="s">
        <v>18</v>
      </c>
      <c r="I3273" s="5"/>
      <c r="J3273" s="5" t="s">
        <v>19</v>
      </c>
      <c r="K3273" s="5" t="s">
        <v>20</v>
      </c>
      <c r="L3273" s="7" t="s">
        <v>9321</v>
      </c>
    </row>
    <row r="3274" customFormat="false" ht="15.65" hidden="false" customHeight="true" outlineLevel="0" collapsed="false">
      <c r="A3274" s="2" t="str">
        <f aca="false">HYPERLINK("https://www.fabsurplus.com/sdi_catalog/salesItemDetails.do?id=103387")</f>
        <v>https://www.fabsurplus.com/sdi_catalog/salesItemDetails.do?id=103387</v>
      </c>
      <c r="B3274" s="2" t="s">
        <v>9322</v>
      </c>
      <c r="C3274" s="2" t="s">
        <v>9314</v>
      </c>
      <c r="D3274" s="2" t="s">
        <v>9323</v>
      </c>
      <c r="E3274" s="2" t="s">
        <v>9324</v>
      </c>
      <c r="F3274" s="2" t="s">
        <v>108</v>
      </c>
      <c r="G3274" s="2" t="s">
        <v>104</v>
      </c>
      <c r="H3274" s="2" t="s">
        <v>18</v>
      </c>
      <c r="I3274" s="2"/>
      <c r="J3274" s="2" t="s">
        <v>19</v>
      </c>
      <c r="K3274" s="2" t="s">
        <v>20</v>
      </c>
      <c r="L3274" s="4" t="s">
        <v>9325</v>
      </c>
    </row>
    <row r="3275" customFormat="false" ht="15.65" hidden="false" customHeight="true" outlineLevel="0" collapsed="false">
      <c r="A3275" s="5" t="str">
        <f aca="false">HYPERLINK("https://www.fabsurplus.com/sdi_catalog/salesItemDetails.do?id=83567")</f>
        <v>https://www.fabsurplus.com/sdi_catalog/salesItemDetails.do?id=83567</v>
      </c>
      <c r="B3275" s="5" t="s">
        <v>9326</v>
      </c>
      <c r="C3275" s="5" t="s">
        <v>9327</v>
      </c>
      <c r="D3275" s="5" t="s">
        <v>9328</v>
      </c>
      <c r="E3275" s="5" t="s">
        <v>9329</v>
      </c>
      <c r="F3275" s="5" t="s">
        <v>16</v>
      </c>
      <c r="G3275" s="5"/>
      <c r="H3275" s="5" t="s">
        <v>1395</v>
      </c>
      <c r="I3275" s="6" t="n">
        <v>39904</v>
      </c>
      <c r="J3275" s="5" t="s">
        <v>19</v>
      </c>
      <c r="K3275" s="5"/>
      <c r="L3275" s="5" t="s">
        <v>9330</v>
      </c>
    </row>
    <row r="3276" customFormat="false" ht="15.65" hidden="false" customHeight="true" outlineLevel="0" collapsed="false">
      <c r="A3276" s="2" t="str">
        <f aca="false">HYPERLINK("https://www.fabsurplus.com/sdi_catalog/salesItemDetails.do?id=74178")</f>
        <v>https://www.fabsurplus.com/sdi_catalog/salesItemDetails.do?id=74178</v>
      </c>
      <c r="B3276" s="2" t="s">
        <v>9331</v>
      </c>
      <c r="C3276" s="2" t="s">
        <v>9327</v>
      </c>
      <c r="D3276" s="2" t="s">
        <v>9332</v>
      </c>
      <c r="E3276" s="2" t="s">
        <v>9333</v>
      </c>
      <c r="F3276" s="2" t="s">
        <v>16</v>
      </c>
      <c r="G3276" s="2"/>
      <c r="H3276" s="2"/>
      <c r="I3276" s="3" t="n">
        <v>39904</v>
      </c>
      <c r="J3276" s="2" t="s">
        <v>19</v>
      </c>
      <c r="K3276" s="2"/>
      <c r="L3276" s="4" t="s">
        <v>9334</v>
      </c>
    </row>
    <row r="3277" customFormat="false" ht="15.65" hidden="false" customHeight="true" outlineLevel="0" collapsed="false">
      <c r="A3277" s="5" t="str">
        <f aca="false">HYPERLINK("https://www.fabsurplus.com/sdi_catalog/salesItemDetails.do?id=74179")</f>
        <v>https://www.fabsurplus.com/sdi_catalog/salesItemDetails.do?id=74179</v>
      </c>
      <c r="B3277" s="5" t="s">
        <v>9335</v>
      </c>
      <c r="C3277" s="5" t="s">
        <v>9327</v>
      </c>
      <c r="D3277" s="5" t="s">
        <v>9336</v>
      </c>
      <c r="E3277" s="5" t="s">
        <v>9337</v>
      </c>
      <c r="F3277" s="5" t="s">
        <v>86</v>
      </c>
      <c r="G3277" s="5"/>
      <c r="H3277" s="5" t="s">
        <v>1395</v>
      </c>
      <c r="I3277" s="5"/>
      <c r="J3277" s="5" t="s">
        <v>19</v>
      </c>
      <c r="K3277" s="5"/>
      <c r="L3277" s="7" t="s">
        <v>9338</v>
      </c>
    </row>
    <row r="3278" customFormat="false" ht="15.65" hidden="false" customHeight="true" outlineLevel="0" collapsed="false">
      <c r="A3278" s="2" t="str">
        <f aca="false">HYPERLINK("https://www.fabsurplus.com/sdi_catalog/salesItemDetails.do?id=74180")</f>
        <v>https://www.fabsurplus.com/sdi_catalog/salesItemDetails.do?id=74180</v>
      </c>
      <c r="B3278" s="2" t="s">
        <v>9339</v>
      </c>
      <c r="C3278" s="2" t="s">
        <v>9327</v>
      </c>
      <c r="D3278" s="2" t="s">
        <v>9340</v>
      </c>
      <c r="E3278" s="2" t="s">
        <v>9341</v>
      </c>
      <c r="F3278" s="2" t="s">
        <v>16</v>
      </c>
      <c r="G3278" s="2"/>
      <c r="H3278" s="2"/>
      <c r="I3278" s="3" t="n">
        <v>40544</v>
      </c>
      <c r="J3278" s="2" t="s">
        <v>19</v>
      </c>
      <c r="K3278" s="2"/>
      <c r="L3278" s="4" t="s">
        <v>9342</v>
      </c>
    </row>
    <row r="3279" customFormat="false" ht="15.65" hidden="false" customHeight="true" outlineLevel="0" collapsed="false">
      <c r="A3279" s="5" t="str">
        <f aca="false">HYPERLINK("https://www.fabsurplus.com/sdi_catalog/salesItemDetails.do?id=83905")</f>
        <v>https://www.fabsurplus.com/sdi_catalog/salesItemDetails.do?id=83905</v>
      </c>
      <c r="B3279" s="5" t="s">
        <v>9343</v>
      </c>
      <c r="C3279" s="5" t="s">
        <v>9344</v>
      </c>
      <c r="D3279" s="5" t="s">
        <v>9345</v>
      </c>
      <c r="E3279" s="5" t="s">
        <v>9346</v>
      </c>
      <c r="F3279" s="5" t="s">
        <v>16</v>
      </c>
      <c r="G3279" s="5" t="s">
        <v>104</v>
      </c>
      <c r="H3279" s="5" t="s">
        <v>98</v>
      </c>
      <c r="I3279" s="5"/>
      <c r="J3279" s="5" t="s">
        <v>19</v>
      </c>
      <c r="K3279" s="5" t="s">
        <v>20</v>
      </c>
      <c r="L3279" s="7" t="s">
        <v>9347</v>
      </c>
    </row>
    <row r="3280" customFormat="false" ht="15.65" hidden="false" customHeight="true" outlineLevel="0" collapsed="false">
      <c r="A3280" s="2" t="str">
        <f aca="false">HYPERLINK("https://www.fabsurplus.com/sdi_catalog/salesItemDetails.do?id=83914")</f>
        <v>https://www.fabsurplus.com/sdi_catalog/salesItemDetails.do?id=83914</v>
      </c>
      <c r="B3280" s="2" t="s">
        <v>9348</v>
      </c>
      <c r="C3280" s="2" t="s">
        <v>9344</v>
      </c>
      <c r="D3280" s="2" t="s">
        <v>9349</v>
      </c>
      <c r="E3280" s="2" t="s">
        <v>9350</v>
      </c>
      <c r="F3280" s="2" t="s">
        <v>16</v>
      </c>
      <c r="G3280" s="2"/>
      <c r="H3280" s="2" t="s">
        <v>1266</v>
      </c>
      <c r="I3280" s="2"/>
      <c r="J3280" s="2" t="s">
        <v>19</v>
      </c>
      <c r="K3280" s="2" t="s">
        <v>20</v>
      </c>
      <c r="L3280" s="4" t="s">
        <v>9351</v>
      </c>
    </row>
    <row r="3281" customFormat="false" ht="15.65" hidden="false" customHeight="true" outlineLevel="0" collapsed="false">
      <c r="A3281" s="5" t="str">
        <f aca="false">HYPERLINK("https://www.fabsurplus.com/sdi_catalog/salesItemDetails.do?id=83916")</f>
        <v>https://www.fabsurplus.com/sdi_catalog/salesItemDetails.do?id=83916</v>
      </c>
      <c r="B3281" s="5" t="s">
        <v>9352</v>
      </c>
      <c r="C3281" s="5" t="s">
        <v>9344</v>
      </c>
      <c r="D3281" s="5" t="s">
        <v>9353</v>
      </c>
      <c r="E3281" s="5"/>
      <c r="F3281" s="5" t="s">
        <v>16</v>
      </c>
      <c r="G3281" s="5"/>
      <c r="H3281" s="5" t="s">
        <v>98</v>
      </c>
      <c r="I3281" s="5"/>
      <c r="J3281" s="5" t="s">
        <v>19</v>
      </c>
      <c r="K3281" s="5" t="s">
        <v>20</v>
      </c>
      <c r="L3281" s="7" t="s">
        <v>9354</v>
      </c>
    </row>
    <row r="3282" customFormat="false" ht="15.65" hidden="false" customHeight="true" outlineLevel="0" collapsed="false">
      <c r="A3282" s="2" t="str">
        <f aca="false">HYPERLINK("https://www.fabsurplus.com/sdi_catalog/salesItemDetails.do?id=83917")</f>
        <v>https://www.fabsurplus.com/sdi_catalog/salesItemDetails.do?id=83917</v>
      </c>
      <c r="B3282" s="2" t="s">
        <v>9355</v>
      </c>
      <c r="C3282" s="2" t="s">
        <v>9344</v>
      </c>
      <c r="D3282" s="2" t="s">
        <v>9356</v>
      </c>
      <c r="E3282" s="2"/>
      <c r="F3282" s="2" t="s">
        <v>16</v>
      </c>
      <c r="G3282" s="2"/>
      <c r="H3282" s="2" t="s">
        <v>98</v>
      </c>
      <c r="I3282" s="2"/>
      <c r="J3282" s="2" t="s">
        <v>19</v>
      </c>
      <c r="K3282" s="2" t="s">
        <v>20</v>
      </c>
      <c r="L3282" s="4" t="s">
        <v>9357</v>
      </c>
    </row>
    <row r="3283" customFormat="false" ht="15.65" hidden="false" customHeight="true" outlineLevel="0" collapsed="false">
      <c r="A3283" s="5" t="str">
        <f aca="false">HYPERLINK("https://www.fabsurplus.com/sdi_catalog/salesItemDetails.do?id=108856")</f>
        <v>https://www.fabsurplus.com/sdi_catalog/salesItemDetails.do?id=108856</v>
      </c>
      <c r="B3283" s="5" t="s">
        <v>9358</v>
      </c>
      <c r="C3283" s="5" t="s">
        <v>9359</v>
      </c>
      <c r="D3283" s="5" t="s">
        <v>9360</v>
      </c>
      <c r="E3283" s="5" t="s">
        <v>9361</v>
      </c>
      <c r="F3283" s="5" t="s">
        <v>16</v>
      </c>
      <c r="G3283" s="5" t="s">
        <v>388</v>
      </c>
      <c r="H3283" s="5"/>
      <c r="I3283" s="5"/>
      <c r="J3283" s="5" t="s">
        <v>42</v>
      </c>
      <c r="K3283" s="5"/>
      <c r="L3283" s="5" t="s">
        <v>131</v>
      </c>
    </row>
    <row r="3284" customFormat="false" ht="15.65" hidden="false" customHeight="true" outlineLevel="0" collapsed="false">
      <c r="A3284" s="2" t="str">
        <f aca="false">HYPERLINK("https://www.fabsurplus.com/sdi_catalog/salesItemDetails.do?id=103439")</f>
        <v>https://www.fabsurplus.com/sdi_catalog/salesItemDetails.do?id=103439</v>
      </c>
      <c r="B3284" s="2" t="s">
        <v>9362</v>
      </c>
      <c r="C3284" s="2" t="s">
        <v>9363</v>
      </c>
      <c r="D3284" s="2" t="s">
        <v>9364</v>
      </c>
      <c r="E3284" s="2" t="s">
        <v>9365</v>
      </c>
      <c r="F3284" s="2" t="s">
        <v>16</v>
      </c>
      <c r="G3284" s="2" t="s">
        <v>38</v>
      </c>
      <c r="H3284" s="2" t="s">
        <v>18</v>
      </c>
      <c r="I3284" s="3" t="n">
        <v>38473</v>
      </c>
      <c r="J3284" s="2" t="s">
        <v>19</v>
      </c>
      <c r="K3284" s="2" t="s">
        <v>20</v>
      </c>
      <c r="L3284" s="4" t="s">
        <v>9366</v>
      </c>
    </row>
    <row r="3285" customFormat="false" ht="15.65" hidden="false" customHeight="true" outlineLevel="0" collapsed="false">
      <c r="A3285" s="5" t="str">
        <f aca="false">HYPERLINK("https://www.fabsurplus.com/sdi_catalog/salesItemDetails.do?id=109058")</f>
        <v>https://www.fabsurplus.com/sdi_catalog/salesItemDetails.do?id=109058</v>
      </c>
      <c r="B3285" s="5" t="s">
        <v>9367</v>
      </c>
      <c r="C3285" s="5" t="s">
        <v>9368</v>
      </c>
      <c r="D3285" s="5" t="s">
        <v>9369</v>
      </c>
      <c r="E3285" s="5" t="s">
        <v>9370</v>
      </c>
      <c r="F3285" s="5" t="s">
        <v>16</v>
      </c>
      <c r="G3285" s="5" t="s">
        <v>9371</v>
      </c>
      <c r="H3285" s="5" t="s">
        <v>18</v>
      </c>
      <c r="I3285" s="5"/>
      <c r="J3285" s="5" t="s">
        <v>19</v>
      </c>
      <c r="K3285" s="5" t="s">
        <v>20</v>
      </c>
      <c r="L3285" s="7" t="s">
        <v>9372</v>
      </c>
    </row>
    <row r="3286" customFormat="false" ht="15.65" hidden="false" customHeight="true" outlineLevel="0" collapsed="false">
      <c r="A3286" s="2" t="str">
        <f aca="false">HYPERLINK("https://www.fabsurplus.com/sdi_catalog/salesItemDetails.do?id=108857")</f>
        <v>https://www.fabsurplus.com/sdi_catalog/salesItemDetails.do?id=108857</v>
      </c>
      <c r="B3286" s="2" t="s">
        <v>9373</v>
      </c>
      <c r="C3286" s="2" t="s">
        <v>9374</v>
      </c>
      <c r="D3286" s="2" t="s">
        <v>9375</v>
      </c>
      <c r="E3286" s="2" t="s">
        <v>9376</v>
      </c>
      <c r="F3286" s="2" t="s">
        <v>16</v>
      </c>
      <c r="G3286" s="2" t="s">
        <v>388</v>
      </c>
      <c r="H3286" s="2"/>
      <c r="I3286" s="2"/>
      <c r="J3286" s="2" t="s">
        <v>42</v>
      </c>
      <c r="K3286" s="2"/>
      <c r="L3286" s="2" t="s">
        <v>131</v>
      </c>
    </row>
    <row r="3287" customFormat="false" ht="15.65" hidden="false" customHeight="true" outlineLevel="0" collapsed="false">
      <c r="A3287" s="5" t="str">
        <f aca="false">HYPERLINK("https://www.fabsurplus.com/sdi_catalog/salesItemDetails.do?id=106825")</f>
        <v>https://www.fabsurplus.com/sdi_catalog/salesItemDetails.do?id=106825</v>
      </c>
      <c r="B3287" s="5" t="s">
        <v>9377</v>
      </c>
      <c r="C3287" s="5" t="s">
        <v>9368</v>
      </c>
      <c r="D3287" s="5" t="s">
        <v>9378</v>
      </c>
      <c r="E3287" s="5" t="s">
        <v>9379</v>
      </c>
      <c r="F3287" s="5" t="s">
        <v>16</v>
      </c>
      <c r="G3287" s="5" t="s">
        <v>2031</v>
      </c>
      <c r="H3287" s="5"/>
      <c r="I3287" s="5"/>
      <c r="J3287" s="5" t="s">
        <v>42</v>
      </c>
      <c r="K3287" s="5"/>
      <c r="L3287" s="5" t="s">
        <v>142</v>
      </c>
    </row>
    <row r="3288" customFormat="false" ht="15.65" hidden="false" customHeight="true" outlineLevel="0" collapsed="false">
      <c r="A3288" s="2" t="str">
        <f aca="false">HYPERLINK("https://www.fabsurplus.com/sdi_catalog/salesItemDetails.do?id=83835")</f>
        <v>https://www.fabsurplus.com/sdi_catalog/salesItemDetails.do?id=83835</v>
      </c>
      <c r="B3288" s="2" t="s">
        <v>9380</v>
      </c>
      <c r="C3288" s="2" t="s">
        <v>9368</v>
      </c>
      <c r="D3288" s="2" t="s">
        <v>9381</v>
      </c>
      <c r="E3288" s="2" t="s">
        <v>9382</v>
      </c>
      <c r="F3288" s="2" t="s">
        <v>151</v>
      </c>
      <c r="G3288" s="2" t="s">
        <v>104</v>
      </c>
      <c r="H3288" s="2" t="s">
        <v>18</v>
      </c>
      <c r="I3288" s="2"/>
      <c r="J3288" s="2" t="s">
        <v>19</v>
      </c>
      <c r="K3288" s="2" t="s">
        <v>20</v>
      </c>
      <c r="L3288" s="4" t="s">
        <v>9383</v>
      </c>
    </row>
    <row r="3289" customFormat="false" ht="15.65" hidden="false" customHeight="true" outlineLevel="0" collapsed="false">
      <c r="A3289" s="5" t="str">
        <f aca="false">HYPERLINK("https://www.fabsurplus.com/sdi_catalog/salesItemDetails.do?id=80254")</f>
        <v>https://www.fabsurplus.com/sdi_catalog/salesItemDetails.do?id=80254</v>
      </c>
      <c r="B3289" s="5" t="s">
        <v>9384</v>
      </c>
      <c r="C3289" s="5" t="s">
        <v>9374</v>
      </c>
      <c r="D3289" s="5" t="s">
        <v>9385</v>
      </c>
      <c r="E3289" s="5" t="s">
        <v>9386</v>
      </c>
      <c r="F3289" s="5" t="s">
        <v>16</v>
      </c>
      <c r="G3289" s="5" t="s">
        <v>9387</v>
      </c>
      <c r="H3289" s="5" t="s">
        <v>18</v>
      </c>
      <c r="I3289" s="5"/>
      <c r="J3289" s="5" t="s">
        <v>19</v>
      </c>
      <c r="K3289" s="5" t="s">
        <v>20</v>
      </c>
      <c r="L3289" s="5"/>
    </row>
    <row r="3290" customFormat="false" ht="15.65" hidden="false" customHeight="true" outlineLevel="0" collapsed="false">
      <c r="A3290" s="2" t="str">
        <f aca="false">HYPERLINK("https://www.fabsurplus.com/sdi_catalog/salesItemDetails.do?id=65934")</f>
        <v>https://www.fabsurplus.com/sdi_catalog/salesItemDetails.do?id=65934</v>
      </c>
      <c r="B3290" s="2" t="s">
        <v>9388</v>
      </c>
      <c r="C3290" s="2" t="s">
        <v>9368</v>
      </c>
      <c r="D3290" s="2" t="s">
        <v>9389</v>
      </c>
      <c r="E3290" s="2" t="s">
        <v>9390</v>
      </c>
      <c r="F3290" s="2" t="s">
        <v>16</v>
      </c>
      <c r="G3290" s="2" t="s">
        <v>165</v>
      </c>
      <c r="H3290" s="2" t="s">
        <v>18</v>
      </c>
      <c r="I3290" s="2"/>
      <c r="J3290" s="2" t="s">
        <v>19</v>
      </c>
      <c r="K3290" s="2" t="s">
        <v>20</v>
      </c>
      <c r="L3290" s="4" t="s">
        <v>9391</v>
      </c>
    </row>
    <row r="3291" customFormat="false" ht="15.65" hidden="false" customHeight="true" outlineLevel="0" collapsed="false">
      <c r="A3291" s="5" t="str">
        <f aca="false">HYPERLINK("https://www.fabsurplus.com/sdi_catalog/salesItemDetails.do?id=106190")</f>
        <v>https://www.fabsurplus.com/sdi_catalog/salesItemDetails.do?id=106190</v>
      </c>
      <c r="B3291" s="5" t="s">
        <v>9392</v>
      </c>
      <c r="C3291" s="5" t="s">
        <v>9368</v>
      </c>
      <c r="D3291" s="5" t="s">
        <v>9393</v>
      </c>
      <c r="E3291" s="5" t="s">
        <v>9394</v>
      </c>
      <c r="F3291" s="5" t="s">
        <v>16</v>
      </c>
      <c r="G3291" s="5" t="s">
        <v>97</v>
      </c>
      <c r="H3291" s="5" t="s">
        <v>18</v>
      </c>
      <c r="I3291" s="5"/>
      <c r="J3291" s="5" t="s">
        <v>19</v>
      </c>
      <c r="K3291" s="5" t="s">
        <v>20</v>
      </c>
      <c r="L3291" s="7" t="s">
        <v>9395</v>
      </c>
    </row>
    <row r="3292" customFormat="false" ht="15.65" hidden="false" customHeight="true" outlineLevel="0" collapsed="false">
      <c r="A3292" s="2" t="str">
        <f aca="false">HYPERLINK("https://www.fabsurplus.com/sdi_catalog/salesItemDetails.do?id=106201")</f>
        <v>https://www.fabsurplus.com/sdi_catalog/salesItemDetails.do?id=106201</v>
      </c>
      <c r="B3292" s="2" t="s">
        <v>9396</v>
      </c>
      <c r="C3292" s="2" t="s">
        <v>9368</v>
      </c>
      <c r="D3292" s="2" t="s">
        <v>9397</v>
      </c>
      <c r="E3292" s="2" t="s">
        <v>9398</v>
      </c>
      <c r="F3292" s="2" t="s">
        <v>16</v>
      </c>
      <c r="G3292" s="2" t="s">
        <v>97</v>
      </c>
      <c r="H3292" s="2" t="s">
        <v>18</v>
      </c>
      <c r="I3292" s="3" t="n">
        <v>38504</v>
      </c>
      <c r="J3292" s="2" t="s">
        <v>19</v>
      </c>
      <c r="K3292" s="2" t="s">
        <v>20</v>
      </c>
      <c r="L3292" s="4" t="s">
        <v>9399</v>
      </c>
    </row>
    <row r="3293" customFormat="false" ht="15.65" hidden="false" customHeight="true" outlineLevel="0" collapsed="false">
      <c r="A3293" s="5" t="str">
        <f aca="false">HYPERLINK("https://www.fabsurplus.com/sdi_catalog/salesItemDetails.do?id=109035")</f>
        <v>https://www.fabsurplus.com/sdi_catalog/salesItemDetails.do?id=109035</v>
      </c>
      <c r="B3293" s="5" t="s">
        <v>9400</v>
      </c>
      <c r="C3293" s="5" t="s">
        <v>9368</v>
      </c>
      <c r="D3293" s="5" t="s">
        <v>9369</v>
      </c>
      <c r="E3293" s="5" t="s">
        <v>9401</v>
      </c>
      <c r="F3293" s="5" t="s">
        <v>16</v>
      </c>
      <c r="G3293" s="5" t="s">
        <v>9371</v>
      </c>
      <c r="H3293" s="5" t="s">
        <v>18</v>
      </c>
      <c r="I3293" s="5"/>
      <c r="J3293" s="5" t="s">
        <v>19</v>
      </c>
      <c r="K3293" s="5" t="s">
        <v>20</v>
      </c>
      <c r="L3293" s="7" t="s">
        <v>9402</v>
      </c>
    </row>
    <row r="3294" customFormat="false" ht="15.65" hidden="false" customHeight="true" outlineLevel="0" collapsed="false">
      <c r="A3294" s="2" t="str">
        <f aca="false">HYPERLINK("https://www.fabsurplus.com/sdi_catalog/salesItemDetails.do?id=102638")</f>
        <v>https://www.fabsurplus.com/sdi_catalog/salesItemDetails.do?id=102638</v>
      </c>
      <c r="B3294" s="2" t="s">
        <v>9403</v>
      </c>
      <c r="C3294" s="2" t="s">
        <v>9368</v>
      </c>
      <c r="D3294" s="2" t="s">
        <v>9404</v>
      </c>
      <c r="E3294" s="2" t="s">
        <v>9405</v>
      </c>
      <c r="F3294" s="2" t="s">
        <v>16</v>
      </c>
      <c r="G3294" s="2" t="s">
        <v>97</v>
      </c>
      <c r="H3294" s="2" t="s">
        <v>32</v>
      </c>
      <c r="I3294" s="2"/>
      <c r="J3294" s="2" t="s">
        <v>19</v>
      </c>
      <c r="K3294" s="2" t="s">
        <v>20</v>
      </c>
      <c r="L3294" s="2" t="s">
        <v>9406</v>
      </c>
    </row>
    <row r="3295" customFormat="false" ht="15.65" hidden="false" customHeight="true" outlineLevel="0" collapsed="false">
      <c r="A3295" s="5" t="str">
        <f aca="false">HYPERLINK("https://www.fabsurplus.com/sdi_catalog/salesItemDetails.do?id=102639")</f>
        <v>https://www.fabsurplus.com/sdi_catalog/salesItemDetails.do?id=102639</v>
      </c>
      <c r="B3295" s="5" t="s">
        <v>9407</v>
      </c>
      <c r="C3295" s="5" t="s">
        <v>9368</v>
      </c>
      <c r="D3295" s="5" t="s">
        <v>9404</v>
      </c>
      <c r="E3295" s="5" t="s">
        <v>9405</v>
      </c>
      <c r="F3295" s="5" t="s">
        <v>16</v>
      </c>
      <c r="G3295" s="5" t="s">
        <v>97</v>
      </c>
      <c r="H3295" s="5" t="s">
        <v>32</v>
      </c>
      <c r="I3295" s="5"/>
      <c r="J3295" s="5" t="s">
        <v>19</v>
      </c>
      <c r="K3295" s="5" t="s">
        <v>20</v>
      </c>
      <c r="L3295" s="5" t="s">
        <v>9406</v>
      </c>
    </row>
    <row r="3296" customFormat="false" ht="15.65" hidden="false" customHeight="true" outlineLevel="0" collapsed="false">
      <c r="A3296" s="2" t="str">
        <f aca="false">HYPERLINK("https://www.fabsurplus.com/sdi_catalog/salesItemDetails.do?id=108786")</f>
        <v>https://www.fabsurplus.com/sdi_catalog/salesItemDetails.do?id=108786</v>
      </c>
      <c r="B3296" s="2" t="s">
        <v>9408</v>
      </c>
      <c r="C3296" s="2" t="s">
        <v>9374</v>
      </c>
      <c r="D3296" s="2" t="s">
        <v>9409</v>
      </c>
      <c r="E3296" s="2" t="s">
        <v>9410</v>
      </c>
      <c r="F3296" s="2" t="s">
        <v>16</v>
      </c>
      <c r="G3296" s="2" t="s">
        <v>1293</v>
      </c>
      <c r="H3296" s="2" t="s">
        <v>18</v>
      </c>
      <c r="I3296" s="2"/>
      <c r="J3296" s="2" t="s">
        <v>19</v>
      </c>
      <c r="K3296" s="2" t="s">
        <v>20</v>
      </c>
      <c r="L3296" s="4" t="s">
        <v>9411</v>
      </c>
    </row>
    <row r="3297" customFormat="false" ht="15.65" hidden="false" customHeight="true" outlineLevel="0" collapsed="false">
      <c r="A3297" s="5" t="str">
        <f aca="false">HYPERLINK("https://www.fabsurplus.com/sdi_catalog/salesItemDetails.do?id=80247")</f>
        <v>https://www.fabsurplus.com/sdi_catalog/salesItemDetails.do?id=80247</v>
      </c>
      <c r="B3297" s="5" t="s">
        <v>9412</v>
      </c>
      <c r="C3297" s="5" t="s">
        <v>9413</v>
      </c>
      <c r="D3297" s="5" t="s">
        <v>9414</v>
      </c>
      <c r="E3297" s="5" t="s">
        <v>9415</v>
      </c>
      <c r="F3297" s="5" t="s">
        <v>16</v>
      </c>
      <c r="G3297" s="5"/>
      <c r="H3297" s="5" t="s">
        <v>32</v>
      </c>
      <c r="I3297" s="5"/>
      <c r="J3297" s="5" t="s">
        <v>19</v>
      </c>
      <c r="K3297" s="5" t="s">
        <v>20</v>
      </c>
      <c r="L3297" s="7" t="s">
        <v>9416</v>
      </c>
    </row>
    <row r="3298" customFormat="false" ht="15.65" hidden="false" customHeight="true" outlineLevel="0" collapsed="false">
      <c r="A3298" s="2" t="str">
        <f aca="false">HYPERLINK("https://www.fabsurplus.com/sdi_catalog/salesItemDetails.do?id=106896")</f>
        <v>https://www.fabsurplus.com/sdi_catalog/salesItemDetails.do?id=106896</v>
      </c>
      <c r="B3298" s="2" t="s">
        <v>9417</v>
      </c>
      <c r="C3298" s="2" t="s">
        <v>9418</v>
      </c>
      <c r="D3298" s="2" t="s">
        <v>9419</v>
      </c>
      <c r="E3298" s="2" t="s">
        <v>9420</v>
      </c>
      <c r="F3298" s="2" t="s">
        <v>151</v>
      </c>
      <c r="G3298" s="2" t="s">
        <v>104</v>
      </c>
      <c r="H3298" s="2" t="s">
        <v>1395</v>
      </c>
      <c r="I3298" s="2"/>
      <c r="J3298" s="2" t="s">
        <v>19</v>
      </c>
      <c r="K3298" s="2" t="s">
        <v>20</v>
      </c>
      <c r="L3298" s="4" t="s">
        <v>9421</v>
      </c>
    </row>
    <row r="3299" customFormat="false" ht="15.65" hidden="false" customHeight="true" outlineLevel="0" collapsed="false">
      <c r="A3299" s="5" t="str">
        <f aca="false">HYPERLINK("https://www.fabsurplus.com/sdi_catalog/salesItemDetails.do?id=13195")</f>
        <v>https://www.fabsurplus.com/sdi_catalog/salesItemDetails.do?id=13195</v>
      </c>
      <c r="B3299" s="5" t="s">
        <v>9422</v>
      </c>
      <c r="C3299" s="5" t="s">
        <v>9423</v>
      </c>
      <c r="D3299" s="5" t="s">
        <v>9424</v>
      </c>
      <c r="E3299" s="5" t="s">
        <v>9425</v>
      </c>
      <c r="F3299" s="5" t="s">
        <v>16</v>
      </c>
      <c r="G3299" s="5"/>
      <c r="H3299" s="5" t="s">
        <v>18</v>
      </c>
      <c r="I3299" s="6" t="n">
        <v>37956</v>
      </c>
      <c r="J3299" s="5"/>
      <c r="K3299" s="5"/>
      <c r="L3299" s="7" t="s">
        <v>9426</v>
      </c>
    </row>
    <row r="3300" customFormat="false" ht="15.65" hidden="false" customHeight="true" outlineLevel="0" collapsed="false">
      <c r="A3300" s="2" t="str">
        <f aca="false">HYPERLINK("https://www.fabsurplus.com/sdi_catalog/salesItemDetails.do?id=84386")</f>
        <v>https://www.fabsurplus.com/sdi_catalog/salesItemDetails.do?id=84386</v>
      </c>
      <c r="B3300" s="2" t="s">
        <v>9427</v>
      </c>
      <c r="C3300" s="2" t="s">
        <v>9423</v>
      </c>
      <c r="D3300" s="2" t="s">
        <v>9428</v>
      </c>
      <c r="E3300" s="2" t="s">
        <v>9429</v>
      </c>
      <c r="F3300" s="2" t="s">
        <v>86</v>
      </c>
      <c r="G3300" s="2" t="s">
        <v>9430</v>
      </c>
      <c r="H3300" s="2" t="s">
        <v>98</v>
      </c>
      <c r="I3300" s="2"/>
      <c r="J3300" s="2" t="s">
        <v>19</v>
      </c>
      <c r="K3300" s="2" t="s">
        <v>20</v>
      </c>
      <c r="L3300" s="4" t="s">
        <v>9431</v>
      </c>
    </row>
    <row r="3301" customFormat="false" ht="15.65" hidden="false" customHeight="true" outlineLevel="0" collapsed="false">
      <c r="A3301" s="5" t="str">
        <f aca="false">HYPERLINK("https://www.fabsurplus.com/sdi_catalog/salesItemDetails.do?id=84395")</f>
        <v>https://www.fabsurplus.com/sdi_catalog/salesItemDetails.do?id=84395</v>
      </c>
      <c r="B3301" s="5" t="s">
        <v>9432</v>
      </c>
      <c r="C3301" s="5" t="s">
        <v>9423</v>
      </c>
      <c r="D3301" s="5" t="s">
        <v>9433</v>
      </c>
      <c r="E3301" s="5" t="s">
        <v>9429</v>
      </c>
      <c r="F3301" s="5" t="s">
        <v>16</v>
      </c>
      <c r="G3301" s="5"/>
      <c r="H3301" s="5" t="s">
        <v>98</v>
      </c>
      <c r="I3301" s="5"/>
      <c r="J3301" s="5" t="s">
        <v>19</v>
      </c>
      <c r="K3301" s="5" t="s">
        <v>20</v>
      </c>
      <c r="L3301" s="7" t="s">
        <v>9434</v>
      </c>
    </row>
    <row r="3302" customFormat="false" ht="15.65" hidden="false" customHeight="true" outlineLevel="0" collapsed="false">
      <c r="A3302" s="2" t="str">
        <f aca="false">HYPERLINK("https://www.fabsurplus.com/sdi_catalog/salesItemDetails.do?id=84396")</f>
        <v>https://www.fabsurplus.com/sdi_catalog/salesItemDetails.do?id=84396</v>
      </c>
      <c r="B3302" s="2" t="s">
        <v>9435</v>
      </c>
      <c r="C3302" s="2" t="s">
        <v>9423</v>
      </c>
      <c r="D3302" s="2" t="s">
        <v>9436</v>
      </c>
      <c r="E3302" s="2" t="s">
        <v>9437</v>
      </c>
      <c r="F3302" s="2" t="s">
        <v>16</v>
      </c>
      <c r="G3302" s="2" t="s">
        <v>9438</v>
      </c>
      <c r="H3302" s="2" t="s">
        <v>98</v>
      </c>
      <c r="I3302" s="2"/>
      <c r="J3302" s="2" t="s">
        <v>19</v>
      </c>
      <c r="K3302" s="2" t="s">
        <v>20</v>
      </c>
      <c r="L3302" s="4" t="s">
        <v>9439</v>
      </c>
    </row>
    <row r="3303" customFormat="false" ht="15.65" hidden="false" customHeight="true" outlineLevel="0" collapsed="false">
      <c r="A3303" s="5" t="str">
        <f aca="false">HYPERLINK("https://www.fabsurplus.com/sdi_catalog/salesItemDetails.do?id=84397")</f>
        <v>https://www.fabsurplus.com/sdi_catalog/salesItemDetails.do?id=84397</v>
      </c>
      <c r="B3303" s="5" t="s">
        <v>9440</v>
      </c>
      <c r="C3303" s="5" t="s">
        <v>9423</v>
      </c>
      <c r="D3303" s="5" t="s">
        <v>9441</v>
      </c>
      <c r="E3303" s="5" t="s">
        <v>9437</v>
      </c>
      <c r="F3303" s="5" t="s">
        <v>151</v>
      </c>
      <c r="G3303" s="5"/>
      <c r="H3303" s="5" t="s">
        <v>98</v>
      </c>
      <c r="I3303" s="5"/>
      <c r="J3303" s="5" t="s">
        <v>19</v>
      </c>
      <c r="K3303" s="5" t="s">
        <v>20</v>
      </c>
      <c r="L3303" s="7" t="s">
        <v>9442</v>
      </c>
    </row>
    <row r="3304" customFormat="false" ht="15.65" hidden="false" customHeight="true" outlineLevel="0" collapsed="false">
      <c r="A3304" s="2" t="str">
        <f aca="false">HYPERLINK("https://www.fabsurplus.com/sdi_catalog/salesItemDetails.do?id=83886")</f>
        <v>https://www.fabsurplus.com/sdi_catalog/salesItemDetails.do?id=83886</v>
      </c>
      <c r="B3304" s="2" t="s">
        <v>9443</v>
      </c>
      <c r="C3304" s="2" t="s">
        <v>9423</v>
      </c>
      <c r="D3304" s="2" t="s">
        <v>9444</v>
      </c>
      <c r="E3304" s="2" t="s">
        <v>9445</v>
      </c>
      <c r="F3304" s="2" t="s">
        <v>16</v>
      </c>
      <c r="G3304" s="2"/>
      <c r="H3304" s="2" t="s">
        <v>98</v>
      </c>
      <c r="I3304" s="2"/>
      <c r="J3304" s="2" t="s">
        <v>19</v>
      </c>
      <c r="K3304" s="2" t="s">
        <v>20</v>
      </c>
      <c r="L3304" s="4" t="s">
        <v>9446</v>
      </c>
    </row>
    <row r="3305" customFormat="false" ht="15.65" hidden="false" customHeight="true" outlineLevel="0" collapsed="false">
      <c r="A3305" s="5" t="str">
        <f aca="false">HYPERLINK("https://www.fabsurplus.com/sdi_catalog/salesItemDetails.do?id=84398")</f>
        <v>https://www.fabsurplus.com/sdi_catalog/salesItemDetails.do?id=84398</v>
      </c>
      <c r="B3305" s="5" t="s">
        <v>9447</v>
      </c>
      <c r="C3305" s="5" t="s">
        <v>9423</v>
      </c>
      <c r="D3305" s="5" t="s">
        <v>9448</v>
      </c>
      <c r="E3305" s="5" t="s">
        <v>9437</v>
      </c>
      <c r="F3305" s="5" t="s">
        <v>151</v>
      </c>
      <c r="G3305" s="5"/>
      <c r="H3305" s="5" t="s">
        <v>98</v>
      </c>
      <c r="I3305" s="5"/>
      <c r="J3305" s="5" t="s">
        <v>19</v>
      </c>
      <c r="K3305" s="5" t="s">
        <v>20</v>
      </c>
      <c r="L3305" s="7" t="s">
        <v>9449</v>
      </c>
    </row>
    <row r="3306" customFormat="false" ht="15.65" hidden="false" customHeight="true" outlineLevel="0" collapsed="false">
      <c r="A3306" s="2" t="str">
        <f aca="false">HYPERLINK("https://www.fabsurplus.com/sdi_catalog/salesItemDetails.do?id=84399")</f>
        <v>https://www.fabsurplus.com/sdi_catalog/salesItemDetails.do?id=84399</v>
      </c>
      <c r="B3306" s="2" t="s">
        <v>9450</v>
      </c>
      <c r="C3306" s="2" t="s">
        <v>9423</v>
      </c>
      <c r="D3306" s="2" t="s">
        <v>9451</v>
      </c>
      <c r="E3306" s="2" t="s">
        <v>9445</v>
      </c>
      <c r="F3306" s="2" t="s">
        <v>16</v>
      </c>
      <c r="G3306" s="2"/>
      <c r="H3306" s="2" t="s">
        <v>98</v>
      </c>
      <c r="I3306" s="2"/>
      <c r="J3306" s="2" t="s">
        <v>19</v>
      </c>
      <c r="K3306" s="2" t="s">
        <v>20</v>
      </c>
      <c r="L3306" s="4" t="s">
        <v>9452</v>
      </c>
    </row>
    <row r="3307" customFormat="false" ht="15.65" hidden="false" customHeight="true" outlineLevel="0" collapsed="false">
      <c r="A3307" s="5" t="str">
        <f aca="false">HYPERLINK("https://www.fabsurplus.com/sdi_catalog/salesItemDetails.do?id=84400")</f>
        <v>https://www.fabsurplus.com/sdi_catalog/salesItemDetails.do?id=84400</v>
      </c>
      <c r="B3307" s="5" t="s">
        <v>9453</v>
      </c>
      <c r="C3307" s="5" t="s">
        <v>9423</v>
      </c>
      <c r="D3307" s="5" t="s">
        <v>9454</v>
      </c>
      <c r="E3307" s="5" t="s">
        <v>9455</v>
      </c>
      <c r="F3307" s="5" t="s">
        <v>16</v>
      </c>
      <c r="G3307" s="5"/>
      <c r="H3307" s="5" t="s">
        <v>98</v>
      </c>
      <c r="I3307" s="5"/>
      <c r="J3307" s="5" t="s">
        <v>19</v>
      </c>
      <c r="K3307" s="5" t="s">
        <v>20</v>
      </c>
      <c r="L3307" s="7" t="s">
        <v>9456</v>
      </c>
    </row>
    <row r="3308" customFormat="false" ht="15.65" hidden="false" customHeight="true" outlineLevel="0" collapsed="false">
      <c r="A3308" s="2" t="str">
        <f aca="false">HYPERLINK("https://www.fabsurplus.com/sdi_catalog/salesItemDetails.do?id=84401")</f>
        <v>https://www.fabsurplus.com/sdi_catalog/salesItemDetails.do?id=84401</v>
      </c>
      <c r="B3308" s="2" t="s">
        <v>9457</v>
      </c>
      <c r="C3308" s="2" t="s">
        <v>9423</v>
      </c>
      <c r="D3308" s="2" t="s">
        <v>9458</v>
      </c>
      <c r="E3308" s="2" t="s">
        <v>9455</v>
      </c>
      <c r="F3308" s="2" t="s">
        <v>16</v>
      </c>
      <c r="G3308" s="2"/>
      <c r="H3308" s="2" t="s">
        <v>98</v>
      </c>
      <c r="I3308" s="2"/>
      <c r="J3308" s="2" t="s">
        <v>19</v>
      </c>
      <c r="K3308" s="2" t="s">
        <v>20</v>
      </c>
      <c r="L3308" s="4" t="s">
        <v>9459</v>
      </c>
    </row>
    <row r="3309" customFormat="false" ht="15.65" hidden="false" customHeight="true" outlineLevel="0" collapsed="false">
      <c r="A3309" s="5" t="str">
        <f aca="false">HYPERLINK("https://www.fabsurplus.com/sdi_catalog/salesItemDetails.do?id=84402")</f>
        <v>https://www.fabsurplus.com/sdi_catalog/salesItemDetails.do?id=84402</v>
      </c>
      <c r="B3309" s="5" t="s">
        <v>9460</v>
      </c>
      <c r="C3309" s="5" t="s">
        <v>9423</v>
      </c>
      <c r="D3309" s="5" t="s">
        <v>9461</v>
      </c>
      <c r="E3309" s="5" t="s">
        <v>9455</v>
      </c>
      <c r="F3309" s="5" t="s">
        <v>16</v>
      </c>
      <c r="G3309" s="5"/>
      <c r="H3309" s="5" t="s">
        <v>98</v>
      </c>
      <c r="I3309" s="5"/>
      <c r="J3309" s="5" t="s">
        <v>19</v>
      </c>
      <c r="K3309" s="5" t="s">
        <v>20</v>
      </c>
      <c r="L3309" s="7" t="s">
        <v>9462</v>
      </c>
    </row>
    <row r="3310" customFormat="false" ht="15.65" hidden="false" customHeight="true" outlineLevel="0" collapsed="false">
      <c r="A3310" s="2" t="str">
        <f aca="false">HYPERLINK("https://www.fabsurplus.com/sdi_catalog/salesItemDetails.do?id=84403")</f>
        <v>https://www.fabsurplus.com/sdi_catalog/salesItemDetails.do?id=84403</v>
      </c>
      <c r="B3310" s="2" t="s">
        <v>9463</v>
      </c>
      <c r="C3310" s="2" t="s">
        <v>9423</v>
      </c>
      <c r="D3310" s="2" t="s">
        <v>9464</v>
      </c>
      <c r="E3310" s="2" t="s">
        <v>9465</v>
      </c>
      <c r="F3310" s="2" t="s">
        <v>16</v>
      </c>
      <c r="G3310" s="2"/>
      <c r="H3310" s="2" t="s">
        <v>98</v>
      </c>
      <c r="I3310" s="2"/>
      <c r="J3310" s="2" t="s">
        <v>19</v>
      </c>
      <c r="K3310" s="2" t="s">
        <v>20</v>
      </c>
      <c r="L3310" s="4" t="s">
        <v>9459</v>
      </c>
    </row>
    <row r="3311" customFormat="false" ht="15.65" hidden="false" customHeight="true" outlineLevel="0" collapsed="false">
      <c r="A3311" s="5" t="str">
        <f aca="false">HYPERLINK("https://www.fabsurplus.com/sdi_catalog/salesItemDetails.do?id=84404")</f>
        <v>https://www.fabsurplus.com/sdi_catalog/salesItemDetails.do?id=84404</v>
      </c>
      <c r="B3311" s="5" t="s">
        <v>9466</v>
      </c>
      <c r="C3311" s="5" t="s">
        <v>9423</v>
      </c>
      <c r="D3311" s="5" t="s">
        <v>9467</v>
      </c>
      <c r="E3311" s="5" t="s">
        <v>9468</v>
      </c>
      <c r="F3311" s="5" t="s">
        <v>16</v>
      </c>
      <c r="G3311" s="5"/>
      <c r="H3311" s="5" t="s">
        <v>98</v>
      </c>
      <c r="I3311" s="5"/>
      <c r="J3311" s="5" t="s">
        <v>19</v>
      </c>
      <c r="K3311" s="5" t="s">
        <v>20</v>
      </c>
      <c r="L3311" s="7" t="s">
        <v>9469</v>
      </c>
    </row>
    <row r="3312" customFormat="false" ht="15.65" hidden="false" customHeight="true" outlineLevel="0" collapsed="false">
      <c r="A3312" s="2" t="str">
        <f aca="false">HYPERLINK("https://www.fabsurplus.com/sdi_catalog/salesItemDetails.do?id=84405")</f>
        <v>https://www.fabsurplus.com/sdi_catalog/salesItemDetails.do?id=84405</v>
      </c>
      <c r="B3312" s="2" t="s">
        <v>9470</v>
      </c>
      <c r="C3312" s="2" t="s">
        <v>9423</v>
      </c>
      <c r="D3312" s="2" t="s">
        <v>9471</v>
      </c>
      <c r="E3312" s="2" t="s">
        <v>9472</v>
      </c>
      <c r="F3312" s="2" t="s">
        <v>16</v>
      </c>
      <c r="G3312" s="2"/>
      <c r="H3312" s="2" t="s">
        <v>98</v>
      </c>
      <c r="I3312" s="2"/>
      <c r="J3312" s="2" t="s">
        <v>19</v>
      </c>
      <c r="K3312" s="2" t="s">
        <v>20</v>
      </c>
      <c r="L3312" s="4" t="s">
        <v>9473</v>
      </c>
    </row>
    <row r="3313" customFormat="false" ht="15.65" hidden="false" customHeight="true" outlineLevel="0" collapsed="false">
      <c r="A3313" s="5" t="str">
        <f aca="false">HYPERLINK("https://www.fabsurplus.com/sdi_catalog/salesItemDetails.do?id=84406")</f>
        <v>https://www.fabsurplus.com/sdi_catalog/salesItemDetails.do?id=84406</v>
      </c>
      <c r="B3313" s="5" t="s">
        <v>9474</v>
      </c>
      <c r="C3313" s="5" t="s">
        <v>9423</v>
      </c>
      <c r="D3313" s="5" t="s">
        <v>9475</v>
      </c>
      <c r="E3313" s="5" t="s">
        <v>9455</v>
      </c>
      <c r="F3313" s="5" t="s">
        <v>16</v>
      </c>
      <c r="G3313" s="5"/>
      <c r="H3313" s="5" t="s">
        <v>98</v>
      </c>
      <c r="I3313" s="5"/>
      <c r="J3313" s="5" t="s">
        <v>19</v>
      </c>
      <c r="K3313" s="5" t="s">
        <v>20</v>
      </c>
      <c r="L3313" s="7" t="s">
        <v>9476</v>
      </c>
    </row>
    <row r="3314" customFormat="false" ht="15.65" hidden="false" customHeight="true" outlineLevel="0" collapsed="false">
      <c r="A3314" s="2" t="str">
        <f aca="false">HYPERLINK("https://www.fabsurplus.com/sdi_catalog/salesItemDetails.do?id=108858")</f>
        <v>https://www.fabsurplus.com/sdi_catalog/salesItemDetails.do?id=108858</v>
      </c>
      <c r="B3314" s="2" t="s">
        <v>9477</v>
      </c>
      <c r="C3314" s="2" t="s">
        <v>9478</v>
      </c>
      <c r="D3314" s="2" t="s">
        <v>9479</v>
      </c>
      <c r="E3314" s="2" t="s">
        <v>9480</v>
      </c>
      <c r="F3314" s="2" t="s">
        <v>16</v>
      </c>
      <c r="G3314" s="2" t="s">
        <v>1272</v>
      </c>
      <c r="H3314" s="2"/>
      <c r="I3314" s="2"/>
      <c r="J3314" s="2" t="s">
        <v>42</v>
      </c>
      <c r="K3314" s="2"/>
      <c r="L3314" s="2" t="s">
        <v>131</v>
      </c>
    </row>
    <row r="3315" customFormat="false" ht="15.65" hidden="false" customHeight="true" outlineLevel="0" collapsed="false">
      <c r="A3315" s="5" t="str">
        <f aca="false">HYPERLINK("https://www.fabsurplus.com/sdi_catalog/salesItemDetails.do?id=21666")</f>
        <v>https://www.fabsurplus.com/sdi_catalog/salesItemDetails.do?id=21666</v>
      </c>
      <c r="B3315" s="5" t="s">
        <v>9481</v>
      </c>
      <c r="C3315" s="5" t="s">
        <v>9482</v>
      </c>
      <c r="D3315" s="5" t="s">
        <v>9483</v>
      </c>
      <c r="E3315" s="5" t="s">
        <v>9484</v>
      </c>
      <c r="F3315" s="5" t="s">
        <v>16</v>
      </c>
      <c r="G3315" s="5" t="s">
        <v>165</v>
      </c>
      <c r="H3315" s="5" t="s">
        <v>32</v>
      </c>
      <c r="I3315" s="6" t="n">
        <v>35096</v>
      </c>
      <c r="J3315" s="5" t="s">
        <v>42</v>
      </c>
      <c r="K3315" s="5" t="s">
        <v>20</v>
      </c>
      <c r="L3315" s="5" t="s">
        <v>9485</v>
      </c>
    </row>
    <row r="3316" customFormat="false" ht="15.65" hidden="false" customHeight="true" outlineLevel="0" collapsed="false">
      <c r="A3316" s="2" t="str">
        <f aca="false">HYPERLINK("https://www.fabsurplus.com/sdi_catalog/salesItemDetails.do?id=103547")</f>
        <v>https://www.fabsurplus.com/sdi_catalog/salesItemDetails.do?id=103547</v>
      </c>
      <c r="B3316" s="2" t="s">
        <v>9486</v>
      </c>
      <c r="C3316" s="2" t="s">
        <v>9487</v>
      </c>
      <c r="D3316" s="2" t="s">
        <v>9488</v>
      </c>
      <c r="E3316" s="2" t="s">
        <v>9489</v>
      </c>
      <c r="F3316" s="2" t="s">
        <v>16</v>
      </c>
      <c r="G3316" s="2" t="s">
        <v>61</v>
      </c>
      <c r="H3316" s="2"/>
      <c r="I3316" s="3" t="n">
        <v>38138.9166666667</v>
      </c>
      <c r="J3316" s="2" t="s">
        <v>19</v>
      </c>
      <c r="K3316" s="2"/>
      <c r="L3316" s="4" t="s">
        <v>1682</v>
      </c>
    </row>
    <row r="3317" customFormat="false" ht="15.65" hidden="false" customHeight="true" outlineLevel="0" collapsed="false">
      <c r="A3317" s="5" t="str">
        <f aca="false">HYPERLINK("https://www.fabsurplus.com/sdi_catalog/salesItemDetails.do?id=109229")</f>
        <v>https://www.fabsurplus.com/sdi_catalog/salesItemDetails.do?id=109229</v>
      </c>
      <c r="B3317" s="5" t="s">
        <v>9490</v>
      </c>
      <c r="C3317" s="5" t="s">
        <v>9487</v>
      </c>
      <c r="D3317" s="5" t="s">
        <v>9491</v>
      </c>
      <c r="E3317" s="5" t="s">
        <v>6534</v>
      </c>
      <c r="F3317" s="5" t="s">
        <v>16</v>
      </c>
      <c r="G3317" s="5" t="s">
        <v>1803</v>
      </c>
      <c r="H3317" s="5"/>
      <c r="I3317" s="5"/>
      <c r="J3317" s="5" t="s">
        <v>19</v>
      </c>
      <c r="K3317" s="5"/>
      <c r="L3317" s="5"/>
    </row>
    <row r="3318" customFormat="false" ht="15.65" hidden="false" customHeight="true" outlineLevel="0" collapsed="false">
      <c r="A3318" s="2" t="str">
        <f aca="false">HYPERLINK("https://www.fabsurplus.com/sdi_catalog/salesItemDetails.do?id=109230")</f>
        <v>https://www.fabsurplus.com/sdi_catalog/salesItemDetails.do?id=109230</v>
      </c>
      <c r="B3318" s="2" t="s">
        <v>9492</v>
      </c>
      <c r="C3318" s="2" t="s">
        <v>9487</v>
      </c>
      <c r="D3318" s="2" t="s">
        <v>9493</v>
      </c>
      <c r="E3318" s="2" t="s">
        <v>8214</v>
      </c>
      <c r="F3318" s="2" t="s">
        <v>16</v>
      </c>
      <c r="G3318" s="2" t="s">
        <v>84</v>
      </c>
      <c r="H3318" s="2"/>
      <c r="I3318" s="2"/>
      <c r="J3318" s="2" t="s">
        <v>19</v>
      </c>
      <c r="K3318" s="2"/>
      <c r="L3318" s="2"/>
    </row>
    <row r="3319" customFormat="false" ht="15.65" hidden="false" customHeight="true" outlineLevel="0" collapsed="false">
      <c r="A3319" s="5" t="str">
        <f aca="false">HYPERLINK("https://www.fabsurplus.com/sdi_catalog/salesItemDetails.do?id=109231")</f>
        <v>https://www.fabsurplus.com/sdi_catalog/salesItemDetails.do?id=109231</v>
      </c>
      <c r="B3319" s="5" t="s">
        <v>9494</v>
      </c>
      <c r="C3319" s="5" t="s">
        <v>9487</v>
      </c>
      <c r="D3319" s="5" t="s">
        <v>9495</v>
      </c>
      <c r="E3319" s="5" t="s">
        <v>7067</v>
      </c>
      <c r="F3319" s="5" t="s">
        <v>16</v>
      </c>
      <c r="G3319" s="5" t="s">
        <v>84</v>
      </c>
      <c r="H3319" s="5"/>
      <c r="I3319" s="5"/>
      <c r="J3319" s="5" t="s">
        <v>19</v>
      </c>
      <c r="K3319" s="5"/>
      <c r="L3319" s="5"/>
    </row>
    <row r="3320" customFormat="false" ht="15.65" hidden="false" customHeight="true" outlineLevel="0" collapsed="false">
      <c r="A3320" s="2" t="str">
        <f aca="false">HYPERLINK("https://www.fabsurplus.com/sdi_catalog/salesItemDetails.do?id=109232")</f>
        <v>https://www.fabsurplus.com/sdi_catalog/salesItemDetails.do?id=109232</v>
      </c>
      <c r="B3320" s="2" t="s">
        <v>9496</v>
      </c>
      <c r="C3320" s="2" t="s">
        <v>9487</v>
      </c>
      <c r="D3320" s="2" t="s">
        <v>9495</v>
      </c>
      <c r="E3320" s="2" t="s">
        <v>7067</v>
      </c>
      <c r="F3320" s="2" t="s">
        <v>16</v>
      </c>
      <c r="G3320" s="2" t="s">
        <v>84</v>
      </c>
      <c r="H3320" s="2"/>
      <c r="I3320" s="2"/>
      <c r="J3320" s="2" t="s">
        <v>19</v>
      </c>
      <c r="K3320" s="2"/>
      <c r="L3320" s="2"/>
    </row>
    <row r="3321" customFormat="false" ht="15.65" hidden="false" customHeight="true" outlineLevel="0" collapsed="false">
      <c r="A3321" s="5" t="str">
        <f aca="false">HYPERLINK("https://www.fabsurplus.com/sdi_catalog/salesItemDetails.do?id=109233")</f>
        <v>https://www.fabsurplus.com/sdi_catalog/salesItemDetails.do?id=109233</v>
      </c>
      <c r="B3321" s="5" t="s">
        <v>9497</v>
      </c>
      <c r="C3321" s="5" t="s">
        <v>9487</v>
      </c>
      <c r="D3321" s="5" t="s">
        <v>9498</v>
      </c>
      <c r="E3321" s="5" t="s">
        <v>8214</v>
      </c>
      <c r="F3321" s="5" t="s">
        <v>16</v>
      </c>
      <c r="G3321" s="5" t="s">
        <v>1803</v>
      </c>
      <c r="H3321" s="5"/>
      <c r="I3321" s="5"/>
      <c r="J3321" s="5" t="s">
        <v>19</v>
      </c>
      <c r="K3321" s="5"/>
      <c r="L3321" s="5"/>
    </row>
    <row r="3322" customFormat="false" ht="15.65" hidden="false" customHeight="true" outlineLevel="0" collapsed="false">
      <c r="A3322" s="2" t="str">
        <f aca="false">HYPERLINK("https://www.fabsurplus.com/sdi_catalog/salesItemDetails.do?id=108294")</f>
        <v>https://www.fabsurplus.com/sdi_catalog/salesItemDetails.do?id=108294</v>
      </c>
      <c r="B3322" s="2" t="s">
        <v>9499</v>
      </c>
      <c r="C3322" s="2" t="s">
        <v>9500</v>
      </c>
      <c r="D3322" s="2" t="s">
        <v>9501</v>
      </c>
      <c r="E3322" s="2" t="s">
        <v>9502</v>
      </c>
      <c r="F3322" s="2" t="s">
        <v>16</v>
      </c>
      <c r="G3322" s="2" t="s">
        <v>1491</v>
      </c>
      <c r="H3322" s="2"/>
      <c r="I3322" s="3" t="n">
        <v>40695</v>
      </c>
      <c r="J3322" s="2" t="s">
        <v>19</v>
      </c>
      <c r="K3322" s="2"/>
      <c r="L3322" s="4" t="s">
        <v>9503</v>
      </c>
    </row>
    <row r="3323" customFormat="false" ht="15.65" hidden="false" customHeight="true" outlineLevel="0" collapsed="false">
      <c r="A3323" s="5" t="str">
        <f aca="false">HYPERLINK("https://www.fabsurplus.com/sdi_catalog/salesItemDetails.do?id=21123")</f>
        <v>https://www.fabsurplus.com/sdi_catalog/salesItemDetails.do?id=21123</v>
      </c>
      <c r="B3323" s="5" t="s">
        <v>9504</v>
      </c>
      <c r="C3323" s="5" t="s">
        <v>9505</v>
      </c>
      <c r="D3323" s="5" t="s">
        <v>9506</v>
      </c>
      <c r="E3323" s="5" t="s">
        <v>9507</v>
      </c>
      <c r="F3323" s="5" t="s">
        <v>16</v>
      </c>
      <c r="G3323" s="5" t="s">
        <v>1272</v>
      </c>
      <c r="H3323" s="5" t="s">
        <v>18</v>
      </c>
      <c r="I3323" s="6" t="n">
        <v>33756</v>
      </c>
      <c r="J3323" s="5" t="s">
        <v>19</v>
      </c>
      <c r="K3323" s="5" t="s">
        <v>20</v>
      </c>
      <c r="L3323" s="7" t="s">
        <v>9508</v>
      </c>
    </row>
    <row r="3324" customFormat="false" ht="15.65" hidden="false" customHeight="true" outlineLevel="0" collapsed="false">
      <c r="A3324" s="2" t="str">
        <f aca="false">HYPERLINK("https://www.fabsurplus.com/sdi_catalog/salesItemDetails.do?id=83620")</f>
        <v>https://www.fabsurplus.com/sdi_catalog/salesItemDetails.do?id=83620</v>
      </c>
      <c r="B3324" s="2" t="s">
        <v>9509</v>
      </c>
      <c r="C3324" s="2" t="s">
        <v>9505</v>
      </c>
      <c r="D3324" s="2" t="s">
        <v>9506</v>
      </c>
      <c r="E3324" s="2" t="s">
        <v>9510</v>
      </c>
      <c r="F3324" s="2" t="s">
        <v>16</v>
      </c>
      <c r="G3324" s="2" t="s">
        <v>165</v>
      </c>
      <c r="H3324" s="2" t="s">
        <v>18</v>
      </c>
      <c r="I3324" s="2"/>
      <c r="J3324" s="2" t="s">
        <v>19</v>
      </c>
      <c r="K3324" s="2" t="s">
        <v>20</v>
      </c>
      <c r="L3324" s="4" t="s">
        <v>9511</v>
      </c>
    </row>
    <row r="3325" customFormat="false" ht="15.65" hidden="false" customHeight="true" outlineLevel="0" collapsed="false">
      <c r="A3325" s="5" t="str">
        <f aca="false">HYPERLINK("https://www.fabsurplus.com/sdi_catalog/salesItemDetails.do?id=13066")</f>
        <v>https://www.fabsurplus.com/sdi_catalog/salesItemDetails.do?id=13066</v>
      </c>
      <c r="B3325" s="5" t="s">
        <v>9512</v>
      </c>
      <c r="C3325" s="5" t="s">
        <v>9513</v>
      </c>
      <c r="D3325" s="5" t="s">
        <v>9514</v>
      </c>
      <c r="E3325" s="5" t="s">
        <v>9515</v>
      </c>
      <c r="F3325" s="5" t="s">
        <v>78</v>
      </c>
      <c r="G3325" s="5"/>
      <c r="H3325" s="5" t="s">
        <v>18</v>
      </c>
      <c r="I3325" s="5"/>
      <c r="J3325" s="5" t="s">
        <v>19</v>
      </c>
      <c r="K3325" s="5" t="s">
        <v>20</v>
      </c>
      <c r="L3325" s="7" t="s">
        <v>9516</v>
      </c>
    </row>
    <row r="3326" customFormat="false" ht="15.65" hidden="false" customHeight="true" outlineLevel="0" collapsed="false">
      <c r="A3326" s="2" t="str">
        <f aca="false">HYPERLINK("https://www.fabsurplus.com/sdi_catalog/salesItemDetails.do?id=15900")</f>
        <v>https://www.fabsurplus.com/sdi_catalog/salesItemDetails.do?id=15900</v>
      </c>
      <c r="B3326" s="2" t="s">
        <v>9517</v>
      </c>
      <c r="C3326" s="2" t="s">
        <v>9513</v>
      </c>
      <c r="D3326" s="2" t="s">
        <v>9518</v>
      </c>
      <c r="E3326" s="2" t="s">
        <v>8525</v>
      </c>
      <c r="F3326" s="2" t="s">
        <v>151</v>
      </c>
      <c r="G3326" s="2"/>
      <c r="H3326" s="2" t="s">
        <v>18</v>
      </c>
      <c r="I3326" s="2"/>
      <c r="J3326" s="2" t="s">
        <v>19</v>
      </c>
      <c r="K3326" s="2" t="s">
        <v>20</v>
      </c>
      <c r="L3326" s="4" t="s">
        <v>9519</v>
      </c>
    </row>
    <row r="3327" customFormat="false" ht="15.65" hidden="false" customHeight="true" outlineLevel="0" collapsed="false">
      <c r="A3327" s="5" t="str">
        <f aca="false">HYPERLINK("https://www.fabsurplus.com/sdi_catalog/salesItemDetails.do?id=83805")</f>
        <v>https://www.fabsurplus.com/sdi_catalog/salesItemDetails.do?id=83805</v>
      </c>
      <c r="B3327" s="5" t="s">
        <v>9520</v>
      </c>
      <c r="C3327" s="5" t="s">
        <v>9513</v>
      </c>
      <c r="D3327" s="5" t="s">
        <v>9521</v>
      </c>
      <c r="E3327" s="5"/>
      <c r="F3327" s="5" t="s">
        <v>16</v>
      </c>
      <c r="G3327" s="5" t="s">
        <v>9522</v>
      </c>
      <c r="H3327" s="5" t="s">
        <v>98</v>
      </c>
      <c r="I3327" s="5"/>
      <c r="J3327" s="5" t="s">
        <v>19</v>
      </c>
      <c r="K3327" s="5" t="s">
        <v>20</v>
      </c>
      <c r="L3327" s="7" t="s">
        <v>9523</v>
      </c>
    </row>
    <row r="3328" customFormat="false" ht="15.65" hidden="false" customHeight="true" outlineLevel="0" collapsed="false">
      <c r="A3328" s="2" t="str">
        <f aca="false">HYPERLINK("https://www.fabsurplus.com/sdi_catalog/salesItemDetails.do?id=83806")</f>
        <v>https://www.fabsurplus.com/sdi_catalog/salesItemDetails.do?id=83806</v>
      </c>
      <c r="B3328" s="2" t="s">
        <v>9524</v>
      </c>
      <c r="C3328" s="2" t="s">
        <v>9513</v>
      </c>
      <c r="D3328" s="2" t="s">
        <v>9525</v>
      </c>
      <c r="E3328" s="2"/>
      <c r="F3328" s="2" t="s">
        <v>16</v>
      </c>
      <c r="G3328" s="2"/>
      <c r="H3328" s="2" t="s">
        <v>98</v>
      </c>
      <c r="I3328" s="2"/>
      <c r="J3328" s="2" t="s">
        <v>19</v>
      </c>
      <c r="K3328" s="2" t="s">
        <v>20</v>
      </c>
      <c r="L3328" s="4" t="s">
        <v>9526</v>
      </c>
    </row>
    <row r="3329" customFormat="false" ht="15.65" hidden="false" customHeight="true" outlineLevel="0" collapsed="false">
      <c r="A3329" s="5" t="str">
        <f aca="false">HYPERLINK("https://www.fabsurplus.com/sdi_catalog/salesItemDetails.do?id=83807")</f>
        <v>https://www.fabsurplus.com/sdi_catalog/salesItemDetails.do?id=83807</v>
      </c>
      <c r="B3329" s="5" t="s">
        <v>9527</v>
      </c>
      <c r="C3329" s="5" t="s">
        <v>9513</v>
      </c>
      <c r="D3329" s="5" t="s">
        <v>9528</v>
      </c>
      <c r="E3329" s="5"/>
      <c r="F3329" s="5" t="s">
        <v>151</v>
      </c>
      <c r="G3329" s="5"/>
      <c r="H3329" s="5" t="s">
        <v>18</v>
      </c>
      <c r="I3329" s="5"/>
      <c r="J3329" s="5" t="s">
        <v>19</v>
      </c>
      <c r="K3329" s="5" t="s">
        <v>20</v>
      </c>
      <c r="L3329" s="7" t="s">
        <v>9529</v>
      </c>
    </row>
    <row r="3330" customFormat="false" ht="15.65" hidden="false" customHeight="true" outlineLevel="0" collapsed="false">
      <c r="A3330" s="2" t="str">
        <f aca="false">HYPERLINK("https://www.fabsurplus.com/sdi_catalog/salesItemDetails.do?id=83808")</f>
        <v>https://www.fabsurplus.com/sdi_catalog/salesItemDetails.do?id=83808</v>
      </c>
      <c r="B3330" s="2" t="s">
        <v>9530</v>
      </c>
      <c r="C3330" s="2" t="s">
        <v>9513</v>
      </c>
      <c r="D3330" s="2" t="s">
        <v>9531</v>
      </c>
      <c r="E3330" s="2" t="s">
        <v>8522</v>
      </c>
      <c r="F3330" s="2" t="s">
        <v>16</v>
      </c>
      <c r="G3330" s="2"/>
      <c r="H3330" s="2" t="s">
        <v>18</v>
      </c>
      <c r="I3330" s="2"/>
      <c r="J3330" s="2" t="s">
        <v>19</v>
      </c>
      <c r="K3330" s="2" t="s">
        <v>20</v>
      </c>
      <c r="L3330" s="4" t="s">
        <v>9532</v>
      </c>
    </row>
    <row r="3331" customFormat="false" ht="15.65" hidden="false" customHeight="true" outlineLevel="0" collapsed="false">
      <c r="A3331" s="5" t="str">
        <f aca="false">HYPERLINK("https://www.fabsurplus.com/sdi_catalog/salesItemDetails.do?id=83809")</f>
        <v>https://www.fabsurplus.com/sdi_catalog/salesItemDetails.do?id=83809</v>
      </c>
      <c r="B3331" s="5" t="s">
        <v>9533</v>
      </c>
      <c r="C3331" s="5" t="s">
        <v>9513</v>
      </c>
      <c r="D3331" s="5" t="s">
        <v>9534</v>
      </c>
      <c r="E3331" s="5" t="s">
        <v>8522</v>
      </c>
      <c r="F3331" s="5" t="s">
        <v>16</v>
      </c>
      <c r="G3331" s="5"/>
      <c r="H3331" s="5" t="s">
        <v>32</v>
      </c>
      <c r="I3331" s="6" t="n">
        <v>34304</v>
      </c>
      <c r="J3331" s="5" t="s">
        <v>19</v>
      </c>
      <c r="K3331" s="5" t="s">
        <v>20</v>
      </c>
      <c r="L3331" s="7" t="s">
        <v>9535</v>
      </c>
    </row>
    <row r="3332" customFormat="false" ht="15.65" hidden="false" customHeight="true" outlineLevel="0" collapsed="false">
      <c r="A3332" s="2" t="str">
        <f aca="false">HYPERLINK("https://www.fabsurplus.com/sdi_catalog/salesItemDetails.do?id=83811")</f>
        <v>https://www.fabsurplus.com/sdi_catalog/salesItemDetails.do?id=83811</v>
      </c>
      <c r="B3332" s="2" t="s">
        <v>9536</v>
      </c>
      <c r="C3332" s="2" t="s">
        <v>9513</v>
      </c>
      <c r="D3332" s="2" t="s">
        <v>9537</v>
      </c>
      <c r="E3332" s="2" t="s">
        <v>9538</v>
      </c>
      <c r="F3332" s="2" t="s">
        <v>16</v>
      </c>
      <c r="G3332" s="2"/>
      <c r="H3332" s="2" t="s">
        <v>18</v>
      </c>
      <c r="I3332" s="2"/>
      <c r="J3332" s="2" t="s">
        <v>19</v>
      </c>
      <c r="K3332" s="2" t="s">
        <v>20</v>
      </c>
      <c r="L3332" s="4" t="s">
        <v>9539</v>
      </c>
    </row>
    <row r="3333" customFormat="false" ht="15.65" hidden="false" customHeight="true" outlineLevel="0" collapsed="false">
      <c r="A3333" s="5" t="str">
        <f aca="false">HYPERLINK("https://www.fabsurplus.com/sdi_catalog/salesItemDetails.do?id=83823")</f>
        <v>https://www.fabsurplus.com/sdi_catalog/salesItemDetails.do?id=83823</v>
      </c>
      <c r="B3333" s="5" t="s">
        <v>9540</v>
      </c>
      <c r="C3333" s="5" t="s">
        <v>9513</v>
      </c>
      <c r="D3333" s="5" t="s">
        <v>9541</v>
      </c>
      <c r="E3333" s="5" t="s">
        <v>8522</v>
      </c>
      <c r="F3333" s="5" t="s">
        <v>16</v>
      </c>
      <c r="G3333" s="5"/>
      <c r="H3333" s="5" t="s">
        <v>18</v>
      </c>
      <c r="I3333" s="5"/>
      <c r="J3333" s="5" t="s">
        <v>19</v>
      </c>
      <c r="K3333" s="5" t="s">
        <v>20</v>
      </c>
      <c r="L3333" s="7" t="s">
        <v>9542</v>
      </c>
    </row>
    <row r="3334" customFormat="false" ht="15.65" hidden="false" customHeight="true" outlineLevel="0" collapsed="false">
      <c r="A3334" s="2" t="str">
        <f aca="false">HYPERLINK("https://www.fabsurplus.com/sdi_catalog/salesItemDetails.do?id=83825")</f>
        <v>https://www.fabsurplus.com/sdi_catalog/salesItemDetails.do?id=83825</v>
      </c>
      <c r="B3334" s="2" t="s">
        <v>9543</v>
      </c>
      <c r="C3334" s="2" t="s">
        <v>9513</v>
      </c>
      <c r="D3334" s="2" t="s">
        <v>9544</v>
      </c>
      <c r="E3334" s="2" t="s">
        <v>9545</v>
      </c>
      <c r="F3334" s="2" t="s">
        <v>16</v>
      </c>
      <c r="G3334" s="2"/>
      <c r="H3334" s="2" t="s">
        <v>18</v>
      </c>
      <c r="I3334" s="2"/>
      <c r="J3334" s="2" t="s">
        <v>19</v>
      </c>
      <c r="K3334" s="2" t="s">
        <v>20</v>
      </c>
      <c r="L3334" s="4" t="s">
        <v>9546</v>
      </c>
    </row>
    <row r="3335" customFormat="false" ht="15.65" hidden="false" customHeight="true" outlineLevel="0" collapsed="false">
      <c r="A3335" s="5" t="str">
        <f aca="false">HYPERLINK("https://www.fabsurplus.com/sdi_catalog/salesItemDetails.do?id=83834")</f>
        <v>https://www.fabsurplus.com/sdi_catalog/salesItemDetails.do?id=83834</v>
      </c>
      <c r="B3335" s="5" t="s">
        <v>9547</v>
      </c>
      <c r="C3335" s="5" t="s">
        <v>9513</v>
      </c>
      <c r="D3335" s="5" t="s">
        <v>9548</v>
      </c>
      <c r="E3335" s="5" t="s">
        <v>9549</v>
      </c>
      <c r="F3335" s="5" t="s">
        <v>16</v>
      </c>
      <c r="G3335" s="5" t="s">
        <v>165</v>
      </c>
      <c r="H3335" s="5" t="s">
        <v>18</v>
      </c>
      <c r="I3335" s="5"/>
      <c r="J3335" s="5" t="s">
        <v>19</v>
      </c>
      <c r="K3335" s="5" t="s">
        <v>20</v>
      </c>
      <c r="L3335" s="7" t="s">
        <v>9550</v>
      </c>
    </row>
    <row r="3336" customFormat="false" ht="15.65" hidden="false" customHeight="true" outlineLevel="0" collapsed="false">
      <c r="A3336" s="2" t="str">
        <f aca="false">HYPERLINK("https://www.fabsurplus.com/sdi_catalog/salesItemDetails.do?id=84370")</f>
        <v>https://www.fabsurplus.com/sdi_catalog/salesItemDetails.do?id=84370</v>
      </c>
      <c r="B3336" s="2" t="s">
        <v>9551</v>
      </c>
      <c r="C3336" s="2" t="s">
        <v>9513</v>
      </c>
      <c r="D3336" s="2" t="s">
        <v>9552</v>
      </c>
      <c r="E3336" s="2" t="s">
        <v>9553</v>
      </c>
      <c r="F3336" s="2" t="s">
        <v>16</v>
      </c>
      <c r="G3336" s="2" t="s">
        <v>9554</v>
      </c>
      <c r="H3336" s="2" t="s">
        <v>18</v>
      </c>
      <c r="I3336" s="2"/>
      <c r="J3336" s="2" t="s">
        <v>19</v>
      </c>
      <c r="K3336" s="2" t="s">
        <v>20</v>
      </c>
      <c r="L3336" s="4" t="s">
        <v>9555</v>
      </c>
    </row>
    <row r="3337" customFormat="false" ht="15.65" hidden="false" customHeight="true" outlineLevel="0" collapsed="false">
      <c r="A3337" s="5" t="str">
        <f aca="false">HYPERLINK("https://www.fabsurplus.com/sdi_catalog/salesItemDetails.do?id=13206")</f>
        <v>https://www.fabsurplus.com/sdi_catalog/salesItemDetails.do?id=13206</v>
      </c>
      <c r="B3337" s="5" t="s">
        <v>9556</v>
      </c>
      <c r="C3337" s="5" t="s">
        <v>9513</v>
      </c>
      <c r="D3337" s="5" t="s">
        <v>9557</v>
      </c>
      <c r="E3337" s="5" t="s">
        <v>9558</v>
      </c>
      <c r="F3337" s="5" t="s">
        <v>16</v>
      </c>
      <c r="G3337" s="5" t="s">
        <v>165</v>
      </c>
      <c r="H3337" s="5" t="s">
        <v>98</v>
      </c>
      <c r="I3337" s="5"/>
      <c r="J3337" s="5" t="s">
        <v>19</v>
      </c>
      <c r="K3337" s="5" t="s">
        <v>20</v>
      </c>
      <c r="L3337" s="5" t="s">
        <v>9559</v>
      </c>
    </row>
    <row r="3338" customFormat="false" ht="15.65" hidden="false" customHeight="true" outlineLevel="0" collapsed="false">
      <c r="A3338" s="2" t="str">
        <f aca="false">HYPERLINK("https://www.fabsurplus.com/sdi_catalog/salesItemDetails.do?id=83875")</f>
        <v>https://www.fabsurplus.com/sdi_catalog/salesItemDetails.do?id=83875</v>
      </c>
      <c r="B3338" s="2" t="s">
        <v>9560</v>
      </c>
      <c r="C3338" s="2" t="s">
        <v>9513</v>
      </c>
      <c r="D3338" s="2" t="s">
        <v>9561</v>
      </c>
      <c r="E3338" s="2" t="s">
        <v>9562</v>
      </c>
      <c r="F3338" s="2" t="s">
        <v>16</v>
      </c>
      <c r="G3338" s="2" t="s">
        <v>165</v>
      </c>
      <c r="H3338" s="2" t="s">
        <v>98</v>
      </c>
      <c r="I3338" s="2"/>
      <c r="J3338" s="2" t="s">
        <v>19</v>
      </c>
      <c r="K3338" s="2" t="s">
        <v>20</v>
      </c>
      <c r="L3338" s="4" t="s">
        <v>9563</v>
      </c>
    </row>
    <row r="3339" customFormat="false" ht="15.65" hidden="false" customHeight="true" outlineLevel="0" collapsed="false">
      <c r="A3339" s="5" t="str">
        <f aca="false">HYPERLINK("https://www.fabsurplus.com/sdi_catalog/salesItemDetails.do?id=83629")</f>
        <v>https://www.fabsurplus.com/sdi_catalog/salesItemDetails.do?id=83629</v>
      </c>
      <c r="B3339" s="5" t="s">
        <v>9564</v>
      </c>
      <c r="C3339" s="5" t="s">
        <v>9513</v>
      </c>
      <c r="D3339" s="5" t="s">
        <v>9565</v>
      </c>
      <c r="E3339" s="5" t="s">
        <v>9566</v>
      </c>
      <c r="F3339" s="5" t="s">
        <v>16</v>
      </c>
      <c r="G3339" s="5" t="s">
        <v>165</v>
      </c>
      <c r="H3339" s="5" t="s">
        <v>98</v>
      </c>
      <c r="I3339" s="5"/>
      <c r="J3339" s="5" t="s">
        <v>19</v>
      </c>
      <c r="K3339" s="5" t="s">
        <v>20</v>
      </c>
      <c r="L3339" s="7" t="s">
        <v>9567</v>
      </c>
    </row>
    <row r="3340" customFormat="false" ht="15.65" hidden="false" customHeight="true" outlineLevel="0" collapsed="false">
      <c r="A3340" s="2" t="str">
        <f aca="false">HYPERLINK("https://www.fabsurplus.com/sdi_catalog/salesItemDetails.do?id=83893")</f>
        <v>https://www.fabsurplus.com/sdi_catalog/salesItemDetails.do?id=83893</v>
      </c>
      <c r="B3340" s="2" t="s">
        <v>9568</v>
      </c>
      <c r="C3340" s="2" t="s">
        <v>9513</v>
      </c>
      <c r="D3340" s="2" t="s">
        <v>9569</v>
      </c>
      <c r="E3340" s="2" t="s">
        <v>9570</v>
      </c>
      <c r="F3340" s="2" t="s">
        <v>16</v>
      </c>
      <c r="G3340" s="2"/>
      <c r="H3340" s="2" t="s">
        <v>18</v>
      </c>
      <c r="I3340" s="2"/>
      <c r="J3340" s="2" t="s">
        <v>19</v>
      </c>
      <c r="K3340" s="2" t="s">
        <v>20</v>
      </c>
      <c r="L3340" s="4" t="s">
        <v>9571</v>
      </c>
    </row>
    <row r="3341" customFormat="false" ht="15.65" hidden="false" customHeight="true" outlineLevel="0" collapsed="false">
      <c r="A3341" s="5" t="str">
        <f aca="false">HYPERLINK("https://www.fabsurplus.com/sdi_catalog/salesItemDetails.do?id=13014")</f>
        <v>https://www.fabsurplus.com/sdi_catalog/salesItemDetails.do?id=13014</v>
      </c>
      <c r="B3341" s="5" t="s">
        <v>9572</v>
      </c>
      <c r="C3341" s="5" t="s">
        <v>9573</v>
      </c>
      <c r="D3341" s="5" t="s">
        <v>9574</v>
      </c>
      <c r="E3341" s="5" t="s">
        <v>9575</v>
      </c>
      <c r="F3341" s="5" t="s">
        <v>16</v>
      </c>
      <c r="G3341" s="5" t="s">
        <v>104</v>
      </c>
      <c r="H3341" s="5" t="s">
        <v>98</v>
      </c>
      <c r="I3341" s="6" t="n">
        <v>36678</v>
      </c>
      <c r="J3341" s="5" t="s">
        <v>19</v>
      </c>
      <c r="K3341" s="5"/>
      <c r="L3341" s="7" t="s">
        <v>9576</v>
      </c>
    </row>
    <row r="3342" customFormat="false" ht="15.65" hidden="false" customHeight="true" outlineLevel="0" collapsed="false">
      <c r="A3342" s="2" t="str">
        <f aca="false">HYPERLINK("https://www.fabsurplus.com/sdi_catalog/salesItemDetails.do?id=108859")</f>
        <v>https://www.fabsurplus.com/sdi_catalog/salesItemDetails.do?id=108859</v>
      </c>
      <c r="B3342" s="2" t="s">
        <v>9577</v>
      </c>
      <c r="C3342" s="2" t="s">
        <v>9578</v>
      </c>
      <c r="D3342" s="2" t="s">
        <v>9579</v>
      </c>
      <c r="E3342" s="2" t="s">
        <v>9580</v>
      </c>
      <c r="F3342" s="2" t="s">
        <v>16</v>
      </c>
      <c r="G3342" s="2" t="s">
        <v>2327</v>
      </c>
      <c r="H3342" s="2"/>
      <c r="I3342" s="2"/>
      <c r="J3342" s="2" t="s">
        <v>42</v>
      </c>
      <c r="K3342" s="2"/>
      <c r="L3342" s="2" t="s">
        <v>131</v>
      </c>
    </row>
    <row r="3343" customFormat="false" ht="15.65" hidden="false" customHeight="true" outlineLevel="0" collapsed="false">
      <c r="A3343" s="5" t="str">
        <f aca="false">HYPERLINK("https://www.fabsurplus.com/sdi_catalog/salesItemDetails.do?id=109595")</f>
        <v>https://www.fabsurplus.com/sdi_catalog/salesItemDetails.do?id=109595</v>
      </c>
      <c r="B3343" s="5" t="s">
        <v>9581</v>
      </c>
      <c r="C3343" s="5" t="s">
        <v>9582</v>
      </c>
      <c r="D3343" s="5" t="s">
        <v>9583</v>
      </c>
      <c r="E3343" s="5" t="s">
        <v>2867</v>
      </c>
      <c r="F3343" s="5" t="s">
        <v>16</v>
      </c>
      <c r="G3343" s="5" t="s">
        <v>1293</v>
      </c>
      <c r="H3343" s="5"/>
      <c r="I3343" s="6" t="n">
        <v>41061</v>
      </c>
      <c r="J3343" s="5" t="s">
        <v>42</v>
      </c>
      <c r="K3343" s="5"/>
      <c r="L3343" s="5" t="s">
        <v>5550</v>
      </c>
    </row>
    <row r="3344" customFormat="false" ht="15.65" hidden="false" customHeight="true" outlineLevel="0" collapsed="false">
      <c r="A3344" s="2" t="str">
        <f aca="false">HYPERLINK("https://www.fabsurplus.com/sdi_catalog/salesItemDetails.do?id=109097")</f>
        <v>https://www.fabsurplus.com/sdi_catalog/salesItemDetails.do?id=109097</v>
      </c>
      <c r="B3344" s="2" t="s">
        <v>9584</v>
      </c>
      <c r="C3344" s="2" t="s">
        <v>9582</v>
      </c>
      <c r="D3344" s="2" t="s">
        <v>9585</v>
      </c>
      <c r="E3344" s="2" t="s">
        <v>9586</v>
      </c>
      <c r="F3344" s="2" t="s">
        <v>16</v>
      </c>
      <c r="G3344" s="2" t="s">
        <v>38</v>
      </c>
      <c r="H3344" s="2" t="s">
        <v>18</v>
      </c>
      <c r="I3344" s="3" t="n">
        <v>37012</v>
      </c>
      <c r="J3344" s="2" t="s">
        <v>19</v>
      </c>
      <c r="K3344" s="2" t="s">
        <v>20</v>
      </c>
      <c r="L3344" s="4" t="s">
        <v>9587</v>
      </c>
    </row>
    <row r="3345" customFormat="false" ht="15.65" hidden="false" customHeight="true" outlineLevel="0" collapsed="false">
      <c r="A3345" s="5" t="str">
        <f aca="false">HYPERLINK("https://www.fabsurplus.com/sdi_catalog/salesItemDetails.do?id=99398")</f>
        <v>https://www.fabsurplus.com/sdi_catalog/salesItemDetails.do?id=99398</v>
      </c>
      <c r="B3345" s="5" t="s">
        <v>9588</v>
      </c>
      <c r="C3345" s="5" t="s">
        <v>9582</v>
      </c>
      <c r="D3345" s="5" t="s">
        <v>9589</v>
      </c>
      <c r="E3345" s="5" t="s">
        <v>9590</v>
      </c>
      <c r="F3345" s="5" t="s">
        <v>16</v>
      </c>
      <c r="G3345" s="5"/>
      <c r="H3345" s="5" t="s">
        <v>32</v>
      </c>
      <c r="I3345" s="5"/>
      <c r="J3345" s="5" t="s">
        <v>19</v>
      </c>
      <c r="K3345" s="5" t="s">
        <v>20</v>
      </c>
      <c r="L3345" s="7" t="s">
        <v>6709</v>
      </c>
    </row>
    <row r="3346" customFormat="false" ht="15.65" hidden="false" customHeight="true" outlineLevel="0" collapsed="false">
      <c r="A3346" s="2" t="str">
        <f aca="false">HYPERLINK("https://www.fabsurplus.com/sdi_catalog/salesItemDetails.do?id=99399")</f>
        <v>https://www.fabsurplus.com/sdi_catalog/salesItemDetails.do?id=99399</v>
      </c>
      <c r="B3346" s="2" t="s">
        <v>9591</v>
      </c>
      <c r="C3346" s="2" t="s">
        <v>9582</v>
      </c>
      <c r="D3346" s="2" t="s">
        <v>9592</v>
      </c>
      <c r="E3346" s="2" t="s">
        <v>9593</v>
      </c>
      <c r="F3346" s="2" t="s">
        <v>16</v>
      </c>
      <c r="G3346" s="2"/>
      <c r="H3346" s="2" t="s">
        <v>453</v>
      </c>
      <c r="I3346" s="2"/>
      <c r="J3346" s="2" t="s">
        <v>19</v>
      </c>
      <c r="K3346" s="2" t="s">
        <v>20</v>
      </c>
      <c r="L3346" s="4" t="s">
        <v>9594</v>
      </c>
    </row>
    <row r="3347" customFormat="false" ht="15.65" hidden="false" customHeight="true" outlineLevel="0" collapsed="false">
      <c r="A3347" s="5" t="str">
        <f aca="false">HYPERLINK("https://www.fabsurplus.com/sdi_catalog/salesItemDetails.do?id=91329")</f>
        <v>https://www.fabsurplus.com/sdi_catalog/salesItemDetails.do?id=91329</v>
      </c>
      <c r="B3347" s="5" t="s">
        <v>9595</v>
      </c>
      <c r="C3347" s="5" t="s">
        <v>9596</v>
      </c>
      <c r="D3347" s="5" t="s">
        <v>9597</v>
      </c>
      <c r="E3347" s="5" t="s">
        <v>9598</v>
      </c>
      <c r="F3347" s="5" t="s">
        <v>16</v>
      </c>
      <c r="G3347" s="5"/>
      <c r="H3347" s="5" t="s">
        <v>32</v>
      </c>
      <c r="I3347" s="5"/>
      <c r="J3347" s="5" t="s">
        <v>19</v>
      </c>
      <c r="K3347" s="5" t="s">
        <v>20</v>
      </c>
      <c r="L3347" s="7" t="s">
        <v>9599</v>
      </c>
    </row>
    <row r="3348" customFormat="false" ht="15.65" hidden="false" customHeight="true" outlineLevel="0" collapsed="false">
      <c r="A3348" s="2" t="str">
        <f aca="false">HYPERLINK("https://www.fabsurplus.com/sdi_catalog/salesItemDetails.do?id=110358")</f>
        <v>https://www.fabsurplus.com/sdi_catalog/salesItemDetails.do?id=110358</v>
      </c>
      <c r="B3348" s="2" t="s">
        <v>9600</v>
      </c>
      <c r="C3348" s="2" t="s">
        <v>9601</v>
      </c>
      <c r="D3348" s="2" t="s">
        <v>9602</v>
      </c>
      <c r="E3348" s="2" t="s">
        <v>763</v>
      </c>
      <c r="F3348" s="2" t="s">
        <v>16</v>
      </c>
      <c r="G3348" s="2" t="s">
        <v>165</v>
      </c>
      <c r="H3348" s="2"/>
      <c r="I3348" s="2"/>
      <c r="J3348" s="2" t="s">
        <v>42</v>
      </c>
      <c r="K3348" s="2"/>
      <c r="L3348" s="2" t="s">
        <v>9603</v>
      </c>
    </row>
    <row r="3349" customFormat="false" ht="15.65" hidden="false" customHeight="true" outlineLevel="0" collapsed="false">
      <c r="A3349" s="5" t="str">
        <f aca="false">HYPERLINK("https://www.fabsurplus.com/sdi_catalog/salesItemDetails.do?id=108192")</f>
        <v>https://www.fabsurplus.com/sdi_catalog/salesItemDetails.do?id=108192</v>
      </c>
      <c r="B3349" s="5" t="s">
        <v>9604</v>
      </c>
      <c r="C3349" s="5" t="s">
        <v>9605</v>
      </c>
      <c r="D3349" s="5" t="s">
        <v>9606</v>
      </c>
      <c r="E3349" s="5" t="s">
        <v>9607</v>
      </c>
      <c r="F3349" s="5" t="s">
        <v>16</v>
      </c>
      <c r="G3349" s="5" t="s">
        <v>38</v>
      </c>
      <c r="H3349" s="5"/>
      <c r="I3349" s="5"/>
      <c r="J3349" s="5" t="s">
        <v>19</v>
      </c>
      <c r="K3349" s="5"/>
      <c r="L3349" s="5" t="s">
        <v>1480</v>
      </c>
    </row>
    <row r="3350" customFormat="false" ht="15.65" hidden="false" customHeight="true" outlineLevel="0" collapsed="false">
      <c r="A3350" s="2" t="str">
        <f aca="false">HYPERLINK("https://www.fabsurplus.com/sdi_catalog/salesItemDetails.do?id=80259")</f>
        <v>https://www.fabsurplus.com/sdi_catalog/salesItemDetails.do?id=80259</v>
      </c>
      <c r="B3350" s="2" t="s">
        <v>9608</v>
      </c>
      <c r="C3350" s="2" t="s">
        <v>9609</v>
      </c>
      <c r="D3350" s="2" t="s">
        <v>9610</v>
      </c>
      <c r="E3350" s="2" t="s">
        <v>9611</v>
      </c>
      <c r="F3350" s="2" t="s">
        <v>236</v>
      </c>
      <c r="G3350" s="2"/>
      <c r="H3350" s="2" t="s">
        <v>18</v>
      </c>
      <c r="I3350" s="2"/>
      <c r="J3350" s="2" t="s">
        <v>19</v>
      </c>
      <c r="K3350" s="2" t="s">
        <v>20</v>
      </c>
      <c r="L3350" s="2"/>
    </row>
    <row r="3351" customFormat="false" ht="15.65" hidden="false" customHeight="true" outlineLevel="0" collapsed="false">
      <c r="A3351" s="5" t="str">
        <f aca="false">HYPERLINK("https://www.fabsurplus.com/sdi_catalog/salesItemDetails.do?id=83908")</f>
        <v>https://www.fabsurplus.com/sdi_catalog/salesItemDetails.do?id=83908</v>
      </c>
      <c r="B3351" s="5" t="s">
        <v>9612</v>
      </c>
      <c r="C3351" s="5" t="s">
        <v>9609</v>
      </c>
      <c r="D3351" s="5" t="s">
        <v>9610</v>
      </c>
      <c r="E3351" s="5" t="s">
        <v>9613</v>
      </c>
      <c r="F3351" s="5" t="s">
        <v>16</v>
      </c>
      <c r="G3351" s="5"/>
      <c r="H3351" s="5" t="s">
        <v>1266</v>
      </c>
      <c r="I3351" s="5"/>
      <c r="J3351" s="5" t="s">
        <v>19</v>
      </c>
      <c r="K3351" s="5" t="s">
        <v>20</v>
      </c>
      <c r="L3351" s="7" t="s">
        <v>9614</v>
      </c>
    </row>
    <row r="3352" customFormat="false" ht="15.65" hidden="false" customHeight="true" outlineLevel="0" collapsed="false">
      <c r="A3352" s="2" t="str">
        <f aca="false">HYPERLINK("https://www.fabsurplus.com/sdi_catalog/salesItemDetails.do?id=103819")</f>
        <v>https://www.fabsurplus.com/sdi_catalog/salesItemDetails.do?id=103819</v>
      </c>
      <c r="B3352" s="2" t="s">
        <v>9615</v>
      </c>
      <c r="C3352" s="2" t="s">
        <v>9616</v>
      </c>
      <c r="D3352" s="2" t="s">
        <v>9617</v>
      </c>
      <c r="E3352" s="2" t="s">
        <v>4164</v>
      </c>
      <c r="F3352" s="2" t="s">
        <v>16</v>
      </c>
      <c r="G3352" s="2" t="s">
        <v>1362</v>
      </c>
      <c r="H3352" s="2" t="s">
        <v>18</v>
      </c>
      <c r="I3352" s="2"/>
      <c r="J3352" s="2" t="s">
        <v>19</v>
      </c>
      <c r="K3352" s="2" t="s">
        <v>20</v>
      </c>
      <c r="L3352" s="4" t="s">
        <v>9618</v>
      </c>
    </row>
    <row r="3353" customFormat="false" ht="15.65" hidden="false" customHeight="true" outlineLevel="0" collapsed="false">
      <c r="A3353" s="5" t="str">
        <f aca="false">HYPERLINK("https://www.fabsurplus.com/sdi_catalog/salesItemDetails.do?id=83824")</f>
        <v>https://www.fabsurplus.com/sdi_catalog/salesItemDetails.do?id=83824</v>
      </c>
      <c r="B3353" s="5" t="s">
        <v>9619</v>
      </c>
      <c r="C3353" s="5" t="s">
        <v>9620</v>
      </c>
      <c r="D3353" s="5" t="s">
        <v>9621</v>
      </c>
      <c r="E3353" s="5" t="s">
        <v>9622</v>
      </c>
      <c r="F3353" s="5" t="s">
        <v>16</v>
      </c>
      <c r="G3353" s="5" t="s">
        <v>165</v>
      </c>
      <c r="H3353" s="5" t="s">
        <v>18</v>
      </c>
      <c r="I3353" s="5"/>
      <c r="J3353" s="5" t="s">
        <v>19</v>
      </c>
      <c r="K3353" s="5" t="s">
        <v>20</v>
      </c>
      <c r="L3353" s="7" t="s">
        <v>9623</v>
      </c>
    </row>
    <row r="3354" customFormat="false" ht="15.65" hidden="false" customHeight="true" outlineLevel="0" collapsed="false">
      <c r="A3354" s="2" t="str">
        <f aca="false">HYPERLINK("https://www.fabsurplus.com/sdi_catalog/salesItemDetails.do?id=77202")</f>
        <v>https://www.fabsurplus.com/sdi_catalog/salesItemDetails.do?id=77202</v>
      </c>
      <c r="B3354" s="2" t="s">
        <v>9624</v>
      </c>
      <c r="C3354" s="2" t="s">
        <v>9625</v>
      </c>
      <c r="D3354" s="2" t="s">
        <v>9626</v>
      </c>
      <c r="E3354" s="2" t="s">
        <v>9627</v>
      </c>
      <c r="F3354" s="2" t="s">
        <v>16</v>
      </c>
      <c r="G3354" s="2" t="s">
        <v>97</v>
      </c>
      <c r="H3354" s="2" t="s">
        <v>1969</v>
      </c>
      <c r="I3354" s="3" t="n">
        <v>39783</v>
      </c>
      <c r="J3354" s="2" t="s">
        <v>19</v>
      </c>
      <c r="K3354" s="2" t="s">
        <v>20</v>
      </c>
      <c r="L3354" s="4" t="s">
        <v>9628</v>
      </c>
    </row>
    <row r="3355" customFormat="false" ht="15.65" hidden="false" customHeight="true" outlineLevel="0" collapsed="false">
      <c r="A3355" s="5" t="str">
        <f aca="false">HYPERLINK("https://www.fabsurplus.com/sdi_catalog/salesItemDetails.do?id=83838")</f>
        <v>https://www.fabsurplus.com/sdi_catalog/salesItemDetails.do?id=83838</v>
      </c>
      <c r="B3355" s="5" t="s">
        <v>9629</v>
      </c>
      <c r="C3355" s="5" t="s">
        <v>9630</v>
      </c>
      <c r="D3355" s="5" t="s">
        <v>9631</v>
      </c>
      <c r="E3355" s="5" t="s">
        <v>9632</v>
      </c>
      <c r="F3355" s="5" t="s">
        <v>60</v>
      </c>
      <c r="G3355" s="5" t="s">
        <v>104</v>
      </c>
      <c r="H3355" s="5" t="s">
        <v>1969</v>
      </c>
      <c r="I3355" s="5"/>
      <c r="J3355" s="5" t="s">
        <v>19</v>
      </c>
      <c r="K3355" s="5" t="s">
        <v>20</v>
      </c>
      <c r="L3355" s="7" t="s">
        <v>9633</v>
      </c>
    </row>
    <row r="3356" customFormat="false" ht="15.65" hidden="false" customHeight="true" outlineLevel="0" collapsed="false">
      <c r="A3356" s="2" t="str">
        <f aca="false">HYPERLINK("https://www.fabsurplus.com/sdi_catalog/salesItemDetails.do?id=84058")</f>
        <v>https://www.fabsurplus.com/sdi_catalog/salesItemDetails.do?id=84058</v>
      </c>
      <c r="B3356" s="2" t="s">
        <v>9634</v>
      </c>
      <c r="C3356" s="2" t="s">
        <v>9635</v>
      </c>
      <c r="D3356" s="2" t="s">
        <v>9636</v>
      </c>
      <c r="E3356" s="2" t="s">
        <v>9637</v>
      </c>
      <c r="F3356" s="2" t="s">
        <v>16</v>
      </c>
      <c r="G3356" s="2"/>
      <c r="H3356" s="2" t="s">
        <v>1395</v>
      </c>
      <c r="I3356" s="2"/>
      <c r="J3356" s="2"/>
      <c r="K3356" s="2" t="s">
        <v>20</v>
      </c>
      <c r="L3356" s="4" t="s">
        <v>9638</v>
      </c>
    </row>
    <row r="3357" customFormat="false" ht="15.65" hidden="false" customHeight="true" outlineLevel="0" collapsed="false">
      <c r="A3357" s="5" t="str">
        <f aca="false">HYPERLINK("https://www.fabsurplus.com/sdi_catalog/salesItemDetails.do?id=109514")</f>
        <v>https://www.fabsurplus.com/sdi_catalog/salesItemDetails.do?id=109514</v>
      </c>
      <c r="B3357" s="5" t="s">
        <v>9639</v>
      </c>
      <c r="C3357" s="5" t="s">
        <v>9640</v>
      </c>
      <c r="D3357" s="5" t="s">
        <v>9641</v>
      </c>
      <c r="E3357" s="5" t="s">
        <v>103</v>
      </c>
      <c r="F3357" s="5" t="s">
        <v>16</v>
      </c>
      <c r="G3357" s="5" t="s">
        <v>104</v>
      </c>
      <c r="H3357" s="5"/>
      <c r="I3357" s="5"/>
      <c r="J3357" s="5" t="s">
        <v>19</v>
      </c>
      <c r="K3357" s="5"/>
      <c r="L3357" s="5" t="s">
        <v>9642</v>
      </c>
    </row>
    <row r="3358" customFormat="false" ht="15.65" hidden="false" customHeight="true" outlineLevel="0" collapsed="false">
      <c r="A3358" s="2" t="str">
        <f aca="false">HYPERLINK("https://www.fabsurplus.com/sdi_catalog/salesItemDetails.do?id=109515")</f>
        <v>https://www.fabsurplus.com/sdi_catalog/salesItemDetails.do?id=109515</v>
      </c>
      <c r="B3358" s="2" t="s">
        <v>9643</v>
      </c>
      <c r="C3358" s="2" t="s">
        <v>9640</v>
      </c>
      <c r="D3358" s="2" t="s">
        <v>9644</v>
      </c>
      <c r="E3358" s="2" t="s">
        <v>103</v>
      </c>
      <c r="F3358" s="2" t="s">
        <v>16</v>
      </c>
      <c r="G3358" s="2" t="s">
        <v>104</v>
      </c>
      <c r="H3358" s="2"/>
      <c r="I3358" s="2"/>
      <c r="J3358" s="2" t="s">
        <v>19</v>
      </c>
      <c r="K3358" s="2"/>
      <c r="L3358" s="2" t="s">
        <v>9645</v>
      </c>
    </row>
    <row r="3359" customFormat="false" ht="15.65" hidden="false" customHeight="true" outlineLevel="0" collapsed="false">
      <c r="A3359" s="5" t="str">
        <f aca="false">HYPERLINK("https://www.fabsurplus.com/sdi_catalog/salesItemDetails.do?id=109516")</f>
        <v>https://www.fabsurplus.com/sdi_catalog/salesItemDetails.do?id=109516</v>
      </c>
      <c r="B3359" s="5" t="s">
        <v>9646</v>
      </c>
      <c r="C3359" s="5" t="s">
        <v>9640</v>
      </c>
      <c r="D3359" s="5" t="s">
        <v>9647</v>
      </c>
      <c r="E3359" s="5" t="s">
        <v>103</v>
      </c>
      <c r="F3359" s="5" t="s">
        <v>3051</v>
      </c>
      <c r="G3359" s="5" t="s">
        <v>104</v>
      </c>
      <c r="H3359" s="5"/>
      <c r="I3359" s="5"/>
      <c r="J3359" s="5" t="s">
        <v>19</v>
      </c>
      <c r="K3359" s="5"/>
      <c r="L3359" s="5"/>
    </row>
    <row r="3360" customFormat="false" ht="15.65" hidden="false" customHeight="true" outlineLevel="0" collapsed="false">
      <c r="A3360" s="2" t="str">
        <f aca="false">HYPERLINK("https://www.fabsurplus.com/sdi_catalog/salesItemDetails.do?id=109517")</f>
        <v>https://www.fabsurplus.com/sdi_catalog/salesItemDetails.do?id=109517</v>
      </c>
      <c r="B3360" s="2" t="s">
        <v>9648</v>
      </c>
      <c r="C3360" s="2" t="s">
        <v>9640</v>
      </c>
      <c r="D3360" s="2" t="s">
        <v>9649</v>
      </c>
      <c r="E3360" s="2" t="s">
        <v>103</v>
      </c>
      <c r="F3360" s="2" t="s">
        <v>16</v>
      </c>
      <c r="G3360" s="2" t="s">
        <v>104</v>
      </c>
      <c r="H3360" s="2"/>
      <c r="I3360" s="2"/>
      <c r="J3360" s="2" t="s">
        <v>19</v>
      </c>
      <c r="K3360" s="2"/>
      <c r="L3360" s="2"/>
    </row>
    <row r="3361" customFormat="false" ht="15.65" hidden="false" customHeight="true" outlineLevel="0" collapsed="false">
      <c r="A3361" s="5" t="str">
        <f aca="false">HYPERLINK("https://www.fabsurplus.com/sdi_catalog/salesItemDetails.do?id=109518")</f>
        <v>https://www.fabsurplus.com/sdi_catalog/salesItemDetails.do?id=109518</v>
      </c>
      <c r="B3361" s="5" t="s">
        <v>9650</v>
      </c>
      <c r="C3361" s="5" t="s">
        <v>9640</v>
      </c>
      <c r="D3361" s="5" t="s">
        <v>9651</v>
      </c>
      <c r="E3361" s="5" t="s">
        <v>103</v>
      </c>
      <c r="F3361" s="5" t="s">
        <v>3051</v>
      </c>
      <c r="G3361" s="5" t="s">
        <v>104</v>
      </c>
      <c r="H3361" s="5"/>
      <c r="I3361" s="5"/>
      <c r="J3361" s="5" t="s">
        <v>19</v>
      </c>
      <c r="K3361" s="5"/>
      <c r="L3361" s="5"/>
    </row>
    <row r="3362" customFormat="false" ht="15.65" hidden="false" customHeight="true" outlineLevel="0" collapsed="false">
      <c r="A3362" s="2" t="str">
        <f aca="false">HYPERLINK("https://www.fabsurplus.com/sdi_catalog/salesItemDetails.do?id=108861")</f>
        <v>https://www.fabsurplus.com/sdi_catalog/salesItemDetails.do?id=108861</v>
      </c>
      <c r="B3362" s="2" t="s">
        <v>9652</v>
      </c>
      <c r="C3362" s="2" t="s">
        <v>9653</v>
      </c>
      <c r="D3362" s="2" t="s">
        <v>9654</v>
      </c>
      <c r="E3362" s="2" t="s">
        <v>9655</v>
      </c>
      <c r="F3362" s="2" t="s">
        <v>16</v>
      </c>
      <c r="G3362" s="2" t="s">
        <v>165</v>
      </c>
      <c r="H3362" s="2"/>
      <c r="I3362" s="2"/>
      <c r="J3362" s="2" t="s">
        <v>42</v>
      </c>
      <c r="K3362" s="2"/>
      <c r="L3362" s="2" t="s">
        <v>131</v>
      </c>
    </row>
    <row r="3363" customFormat="false" ht="15.65" hidden="false" customHeight="true" outlineLevel="0" collapsed="false">
      <c r="A3363" s="5" t="str">
        <f aca="false">HYPERLINK("https://www.fabsurplus.com/sdi_catalog/salesItemDetails.do?id=84232")</f>
        <v>https://www.fabsurplus.com/sdi_catalog/salesItemDetails.do?id=84232</v>
      </c>
      <c r="B3363" s="5" t="s">
        <v>9656</v>
      </c>
      <c r="C3363" s="5" t="s">
        <v>9657</v>
      </c>
      <c r="D3363" s="5" t="s">
        <v>9658</v>
      </c>
      <c r="E3363" s="5" t="s">
        <v>9659</v>
      </c>
      <c r="F3363" s="5" t="s">
        <v>16</v>
      </c>
      <c r="G3363" s="5" t="s">
        <v>104</v>
      </c>
      <c r="H3363" s="5" t="s">
        <v>32</v>
      </c>
      <c r="I3363" s="5"/>
      <c r="J3363" s="5" t="s">
        <v>19</v>
      </c>
      <c r="K3363" s="5" t="s">
        <v>20</v>
      </c>
      <c r="L3363" s="5" t="s">
        <v>9660</v>
      </c>
    </row>
    <row r="3364" customFormat="false" ht="15.65" hidden="false" customHeight="true" outlineLevel="0" collapsed="false">
      <c r="A3364" s="2" t="str">
        <f aca="false">HYPERLINK("https://www.fabsurplus.com/sdi_catalog/salesItemDetails.do?id=84234")</f>
        <v>https://www.fabsurplus.com/sdi_catalog/salesItemDetails.do?id=84234</v>
      </c>
      <c r="B3364" s="2" t="s">
        <v>9661</v>
      </c>
      <c r="C3364" s="2" t="s">
        <v>9662</v>
      </c>
      <c r="D3364" s="2" t="s">
        <v>9663</v>
      </c>
      <c r="E3364" s="2" t="s">
        <v>9664</v>
      </c>
      <c r="F3364" s="2" t="s">
        <v>16</v>
      </c>
      <c r="G3364" s="2" t="s">
        <v>104</v>
      </c>
      <c r="H3364" s="2" t="s">
        <v>32</v>
      </c>
      <c r="I3364" s="2"/>
      <c r="J3364" s="2" t="s">
        <v>19</v>
      </c>
      <c r="K3364" s="2" t="s">
        <v>20</v>
      </c>
      <c r="L3364" s="2" t="s">
        <v>9665</v>
      </c>
    </row>
    <row r="3365" customFormat="false" ht="15.65" hidden="false" customHeight="true" outlineLevel="0" collapsed="false">
      <c r="A3365" s="5" t="str">
        <f aca="false">HYPERLINK("https://www.fabsurplus.com/sdi_catalog/salesItemDetails.do?id=108862")</f>
        <v>https://www.fabsurplus.com/sdi_catalog/salesItemDetails.do?id=108862</v>
      </c>
      <c r="B3365" s="5" t="s">
        <v>9666</v>
      </c>
      <c r="C3365" s="5" t="s">
        <v>9667</v>
      </c>
      <c r="D3365" s="5" t="s">
        <v>9668</v>
      </c>
      <c r="E3365" s="5" t="s">
        <v>9669</v>
      </c>
      <c r="F3365" s="5" t="s">
        <v>16</v>
      </c>
      <c r="G3365" s="5"/>
      <c r="H3365" s="5"/>
      <c r="I3365" s="5"/>
      <c r="J3365" s="5" t="s">
        <v>42</v>
      </c>
      <c r="K3365" s="5"/>
      <c r="L3365" s="5" t="s">
        <v>131</v>
      </c>
    </row>
    <row r="3366" customFormat="false" ht="15.65" hidden="false" customHeight="true" outlineLevel="0" collapsed="false">
      <c r="A3366" s="2" t="str">
        <f aca="false">HYPERLINK("https://www.fabsurplus.com/sdi_catalog/salesItemDetails.do?id=108636")</f>
        <v>https://www.fabsurplus.com/sdi_catalog/salesItemDetails.do?id=108636</v>
      </c>
      <c r="B3366" s="2" t="s">
        <v>9670</v>
      </c>
      <c r="C3366" s="2" t="s">
        <v>9671</v>
      </c>
      <c r="D3366" s="2" t="s">
        <v>9672</v>
      </c>
      <c r="E3366" s="2" t="s">
        <v>140</v>
      </c>
      <c r="F3366" s="2" t="s">
        <v>151</v>
      </c>
      <c r="G3366" s="2" t="s">
        <v>141</v>
      </c>
      <c r="H3366" s="2"/>
      <c r="I3366" s="2"/>
      <c r="J3366" s="2" t="s">
        <v>19</v>
      </c>
      <c r="K3366" s="2"/>
      <c r="L3366" s="2" t="s">
        <v>142</v>
      </c>
    </row>
    <row r="3367" customFormat="false" ht="15.65" hidden="false" customHeight="true" outlineLevel="0" collapsed="false">
      <c r="A3367" s="5" t="str">
        <f aca="false">HYPERLINK("https://www.fabsurplus.com/sdi_catalog/salesItemDetails.do?id=108637")</f>
        <v>https://www.fabsurplus.com/sdi_catalog/salesItemDetails.do?id=108637</v>
      </c>
      <c r="B3367" s="5" t="s">
        <v>9673</v>
      </c>
      <c r="C3367" s="5" t="s">
        <v>9671</v>
      </c>
      <c r="D3367" s="5" t="s">
        <v>9674</v>
      </c>
      <c r="E3367" s="5" t="s">
        <v>140</v>
      </c>
      <c r="F3367" s="5" t="s">
        <v>16</v>
      </c>
      <c r="G3367" s="5" t="s">
        <v>141</v>
      </c>
      <c r="H3367" s="5"/>
      <c r="I3367" s="5"/>
      <c r="J3367" s="5" t="s">
        <v>19</v>
      </c>
      <c r="K3367" s="5"/>
      <c r="L3367" s="5" t="s">
        <v>142</v>
      </c>
    </row>
    <row r="3368" customFormat="false" ht="15.65" hidden="false" customHeight="true" outlineLevel="0" collapsed="false">
      <c r="A3368" s="2" t="str">
        <f aca="false">HYPERLINK("https://www.fabsurplus.com/sdi_catalog/salesItemDetails.do?id=108638")</f>
        <v>https://www.fabsurplus.com/sdi_catalog/salesItemDetails.do?id=108638</v>
      </c>
      <c r="B3368" s="2" t="s">
        <v>9675</v>
      </c>
      <c r="C3368" s="2" t="s">
        <v>9671</v>
      </c>
      <c r="D3368" s="2" t="s">
        <v>9676</v>
      </c>
      <c r="E3368" s="2" t="s">
        <v>140</v>
      </c>
      <c r="F3368" s="2" t="s">
        <v>203</v>
      </c>
      <c r="G3368" s="2" t="s">
        <v>141</v>
      </c>
      <c r="H3368" s="2"/>
      <c r="I3368" s="2"/>
      <c r="J3368" s="2" t="s">
        <v>19</v>
      </c>
      <c r="K3368" s="2"/>
      <c r="L3368" s="2" t="s">
        <v>142</v>
      </c>
    </row>
    <row r="3369" customFormat="false" ht="15.65" hidden="false" customHeight="true" outlineLevel="0" collapsed="false">
      <c r="A3369" s="5" t="str">
        <f aca="false">HYPERLINK("https://www.fabsurplus.com/sdi_catalog/salesItemDetails.do?id=108639")</f>
        <v>https://www.fabsurplus.com/sdi_catalog/salesItemDetails.do?id=108639</v>
      </c>
      <c r="B3369" s="5" t="s">
        <v>9677</v>
      </c>
      <c r="C3369" s="5" t="s">
        <v>9671</v>
      </c>
      <c r="D3369" s="5" t="s">
        <v>147</v>
      </c>
      <c r="E3369" s="5" t="s">
        <v>140</v>
      </c>
      <c r="F3369" s="5" t="s">
        <v>9678</v>
      </c>
      <c r="G3369" s="5" t="s">
        <v>141</v>
      </c>
      <c r="H3369" s="5"/>
      <c r="I3369" s="5"/>
      <c r="J3369" s="5" t="s">
        <v>19</v>
      </c>
      <c r="K3369" s="5"/>
      <c r="L3369" s="5" t="s">
        <v>142</v>
      </c>
    </row>
    <row r="3370" customFormat="false" ht="15.65" hidden="false" customHeight="true" outlineLevel="0" collapsed="false">
      <c r="A3370" s="2" t="str">
        <f aca="false">HYPERLINK("https://www.fabsurplus.com/sdi_catalog/salesItemDetails.do?id=84073")</f>
        <v>https://www.fabsurplus.com/sdi_catalog/salesItemDetails.do?id=84073</v>
      </c>
      <c r="B3370" s="2" t="s">
        <v>9679</v>
      </c>
      <c r="C3370" s="2" t="s">
        <v>9680</v>
      </c>
      <c r="D3370" s="2" t="s">
        <v>9681</v>
      </c>
      <c r="E3370" s="2" t="s">
        <v>9682</v>
      </c>
      <c r="F3370" s="2" t="s">
        <v>151</v>
      </c>
      <c r="G3370" s="2" t="s">
        <v>104</v>
      </c>
      <c r="H3370" s="2" t="s">
        <v>32</v>
      </c>
      <c r="I3370" s="3" t="n">
        <v>37043</v>
      </c>
      <c r="J3370" s="2" t="s">
        <v>19</v>
      </c>
      <c r="K3370" s="2" t="s">
        <v>20</v>
      </c>
      <c r="L3370" s="4" t="s">
        <v>9683</v>
      </c>
    </row>
    <row r="3371" customFormat="false" ht="15.65" hidden="false" customHeight="true" outlineLevel="0" collapsed="false">
      <c r="A3371" s="5" t="str">
        <f aca="false">HYPERLINK("https://www.fabsurplus.com/sdi_catalog/salesItemDetails.do?id=109559")</f>
        <v>https://www.fabsurplus.com/sdi_catalog/salesItemDetails.do?id=109559</v>
      </c>
      <c r="B3371" s="5" t="s">
        <v>9684</v>
      </c>
      <c r="C3371" s="5" t="s">
        <v>9685</v>
      </c>
      <c r="D3371" s="5" t="s">
        <v>9686</v>
      </c>
      <c r="E3371" s="5" t="s">
        <v>9687</v>
      </c>
      <c r="F3371" s="5" t="s">
        <v>16</v>
      </c>
      <c r="G3371" s="5" t="s">
        <v>3031</v>
      </c>
      <c r="H3371" s="5" t="s">
        <v>32</v>
      </c>
      <c r="I3371" s="6" t="n">
        <v>35916</v>
      </c>
      <c r="J3371" s="5" t="s">
        <v>19</v>
      </c>
      <c r="K3371" s="5" t="s">
        <v>20</v>
      </c>
      <c r="L3371" s="7" t="s">
        <v>9688</v>
      </c>
    </row>
    <row r="3372" customFormat="false" ht="15.65" hidden="false" customHeight="true" outlineLevel="0" collapsed="false">
      <c r="A3372" s="2" t="str">
        <f aca="false">HYPERLINK("https://www.fabsurplus.com/sdi_catalog/salesItemDetails.do?id=109077")</f>
        <v>https://www.fabsurplus.com/sdi_catalog/salesItemDetails.do?id=109077</v>
      </c>
      <c r="B3372" s="2" t="s">
        <v>9689</v>
      </c>
      <c r="C3372" s="2" t="s">
        <v>9690</v>
      </c>
      <c r="D3372" s="2" t="s">
        <v>9691</v>
      </c>
      <c r="E3372" s="2" t="s">
        <v>9692</v>
      </c>
      <c r="F3372" s="2" t="s">
        <v>16</v>
      </c>
      <c r="G3372" s="2" t="s">
        <v>9693</v>
      </c>
      <c r="H3372" s="2" t="s">
        <v>1395</v>
      </c>
      <c r="I3372" s="3" t="n">
        <v>43983</v>
      </c>
      <c r="J3372" s="2" t="s">
        <v>19</v>
      </c>
      <c r="K3372" s="2" t="s">
        <v>20</v>
      </c>
      <c r="L3372" s="4" t="s">
        <v>9694</v>
      </c>
    </row>
    <row r="3373" customFormat="false" ht="15.65" hidden="false" customHeight="true" outlineLevel="0" collapsed="false">
      <c r="A3373" s="5" t="str">
        <f aca="false">HYPERLINK("https://www.fabsurplus.com/sdi_catalog/salesItemDetails.do?id=110598")</f>
        <v>https://www.fabsurplus.com/sdi_catalog/salesItemDetails.do?id=110598</v>
      </c>
      <c r="B3373" s="5" t="s">
        <v>9695</v>
      </c>
      <c r="C3373" s="5" t="s">
        <v>9696</v>
      </c>
      <c r="D3373" s="5" t="s">
        <v>9697</v>
      </c>
      <c r="E3373" s="5" t="s">
        <v>9698</v>
      </c>
      <c r="F3373" s="5" t="s">
        <v>16</v>
      </c>
      <c r="G3373" s="5" t="s">
        <v>1362</v>
      </c>
      <c r="H3373" s="5" t="s">
        <v>18</v>
      </c>
      <c r="I3373" s="6" t="n">
        <v>41426</v>
      </c>
      <c r="J3373" s="5" t="s">
        <v>19</v>
      </c>
      <c r="K3373" s="5" t="s">
        <v>20</v>
      </c>
      <c r="L3373" s="7" t="s">
        <v>9699</v>
      </c>
    </row>
    <row r="3374" customFormat="false" ht="15.65" hidden="false" customHeight="true" outlineLevel="0" collapsed="false">
      <c r="A3374" s="2" t="str">
        <f aca="false">HYPERLINK("https://www.fabsurplus.com/sdi_catalog/salesItemDetails.do?id=83587")</f>
        <v>https://www.fabsurplus.com/sdi_catalog/salesItemDetails.do?id=83587</v>
      </c>
      <c r="B3374" s="2" t="s">
        <v>9700</v>
      </c>
      <c r="C3374" s="2" t="s">
        <v>9701</v>
      </c>
      <c r="D3374" s="2" t="s">
        <v>9702</v>
      </c>
      <c r="E3374" s="2" t="s">
        <v>9703</v>
      </c>
      <c r="F3374" s="2" t="s">
        <v>16</v>
      </c>
      <c r="G3374" s="2" t="s">
        <v>104</v>
      </c>
      <c r="H3374" s="2" t="s">
        <v>32</v>
      </c>
      <c r="I3374" s="2"/>
      <c r="J3374" s="2" t="s">
        <v>19</v>
      </c>
      <c r="K3374" s="2" t="s">
        <v>20</v>
      </c>
      <c r="L3374" s="4" t="s">
        <v>9704</v>
      </c>
    </row>
    <row r="3375" customFormat="false" ht="15.65" hidden="false" customHeight="true" outlineLevel="0" collapsed="false">
      <c r="A3375" s="5" t="str">
        <f aca="false">HYPERLINK("https://www.fabsurplus.com/sdi_catalog/salesItemDetails.do?id=91330")</f>
        <v>https://www.fabsurplus.com/sdi_catalog/salesItemDetails.do?id=91330</v>
      </c>
      <c r="B3375" s="5" t="s">
        <v>9705</v>
      </c>
      <c r="C3375" s="5" t="s">
        <v>9706</v>
      </c>
      <c r="D3375" s="5" t="s">
        <v>9707</v>
      </c>
      <c r="E3375" s="5" t="s">
        <v>9708</v>
      </c>
      <c r="F3375" s="5" t="s">
        <v>16</v>
      </c>
      <c r="G3375" s="5" t="s">
        <v>9709</v>
      </c>
      <c r="H3375" s="5"/>
      <c r="I3375" s="5"/>
      <c r="J3375" s="5" t="s">
        <v>19</v>
      </c>
      <c r="K3375" s="5"/>
      <c r="L3375" s="5" t="s">
        <v>142</v>
      </c>
    </row>
    <row r="3376" customFormat="false" ht="15.65" hidden="false" customHeight="true" outlineLevel="0" collapsed="false">
      <c r="A3376" s="2" t="str">
        <f aca="false">HYPERLINK("https://www.fabsurplus.com/sdi_catalog/salesItemDetails.do?id=91331")</f>
        <v>https://www.fabsurplus.com/sdi_catalog/salesItemDetails.do?id=91331</v>
      </c>
      <c r="B3376" s="2" t="s">
        <v>9710</v>
      </c>
      <c r="C3376" s="2" t="s">
        <v>9706</v>
      </c>
      <c r="D3376" s="2" t="s">
        <v>9707</v>
      </c>
      <c r="E3376" s="2" t="s">
        <v>9708</v>
      </c>
      <c r="F3376" s="2" t="s">
        <v>16</v>
      </c>
      <c r="G3376" s="2" t="s">
        <v>9709</v>
      </c>
      <c r="H3376" s="2"/>
      <c r="I3376" s="2"/>
      <c r="J3376" s="2" t="s">
        <v>19</v>
      </c>
      <c r="K3376" s="2"/>
      <c r="L3376" s="2" t="s">
        <v>142</v>
      </c>
    </row>
    <row r="3377" customFormat="false" ht="15.65" hidden="false" customHeight="true" outlineLevel="0" collapsed="false">
      <c r="A3377" s="5" t="str">
        <f aca="false">HYPERLINK("https://www.fabsurplus.com/sdi_catalog/salesItemDetails.do?id=108863")</f>
        <v>https://www.fabsurplus.com/sdi_catalog/salesItemDetails.do?id=108863</v>
      </c>
      <c r="B3377" s="5" t="s">
        <v>9711</v>
      </c>
      <c r="C3377" s="5" t="s">
        <v>9712</v>
      </c>
      <c r="D3377" s="5" t="s">
        <v>9713</v>
      </c>
      <c r="E3377" s="5" t="s">
        <v>9714</v>
      </c>
      <c r="F3377" s="5" t="s">
        <v>16</v>
      </c>
      <c r="G3377" s="5"/>
      <c r="H3377" s="5"/>
      <c r="I3377" s="5"/>
      <c r="J3377" s="5" t="s">
        <v>42</v>
      </c>
      <c r="K3377" s="5"/>
      <c r="L3377" s="5" t="s">
        <v>131</v>
      </c>
    </row>
    <row r="3378" customFormat="false" ht="15.65" hidden="false" customHeight="true" outlineLevel="0" collapsed="false">
      <c r="A3378" s="2" t="str">
        <f aca="false">HYPERLINK("https://www.fabsurplus.com/sdi_catalog/salesItemDetails.do?id=108864")</f>
        <v>https://www.fabsurplus.com/sdi_catalog/salesItemDetails.do?id=108864</v>
      </c>
      <c r="B3378" s="2" t="s">
        <v>9715</v>
      </c>
      <c r="C3378" s="2" t="s">
        <v>9712</v>
      </c>
      <c r="D3378" s="2" t="s">
        <v>9716</v>
      </c>
      <c r="E3378" s="2" t="s">
        <v>9717</v>
      </c>
      <c r="F3378" s="2" t="s">
        <v>16</v>
      </c>
      <c r="G3378" s="2"/>
      <c r="H3378" s="2" t="s">
        <v>275</v>
      </c>
      <c r="I3378" s="2"/>
      <c r="J3378" s="2" t="s">
        <v>286</v>
      </c>
      <c r="K3378" s="2" t="s">
        <v>20</v>
      </c>
      <c r="L3378" s="2" t="s">
        <v>131</v>
      </c>
    </row>
    <row r="3379" customFormat="false" ht="15.65" hidden="false" customHeight="true" outlineLevel="0" collapsed="false">
      <c r="A3379" s="5" t="str">
        <f aca="false">HYPERLINK("https://www.fabsurplus.com/sdi_catalog/salesItemDetails.do?id=109519")</f>
        <v>https://www.fabsurplus.com/sdi_catalog/salesItemDetails.do?id=109519</v>
      </c>
      <c r="B3379" s="5" t="s">
        <v>9718</v>
      </c>
      <c r="C3379" s="5" t="s">
        <v>9719</v>
      </c>
      <c r="D3379" s="5" t="s">
        <v>9720</v>
      </c>
      <c r="E3379" s="5" t="s">
        <v>103</v>
      </c>
      <c r="F3379" s="5" t="s">
        <v>236</v>
      </c>
      <c r="G3379" s="5" t="s">
        <v>104</v>
      </c>
      <c r="H3379" s="5"/>
      <c r="I3379" s="5"/>
      <c r="J3379" s="5" t="s">
        <v>19</v>
      </c>
      <c r="K3379" s="5"/>
      <c r="L3379" s="5" t="s">
        <v>9721</v>
      </c>
    </row>
    <row r="3380" customFormat="false" ht="15.65" hidden="false" customHeight="true" outlineLevel="0" collapsed="false">
      <c r="A3380" s="2" t="str">
        <f aca="false">HYPERLINK("https://www.fabsurplus.com/sdi_catalog/salesItemDetails.do?id=109520")</f>
        <v>https://www.fabsurplus.com/sdi_catalog/salesItemDetails.do?id=109520</v>
      </c>
      <c r="B3380" s="2" t="s">
        <v>9722</v>
      </c>
      <c r="C3380" s="2" t="s">
        <v>9719</v>
      </c>
      <c r="D3380" s="2" t="s">
        <v>9720</v>
      </c>
      <c r="E3380" s="2" t="s">
        <v>103</v>
      </c>
      <c r="F3380" s="2" t="s">
        <v>16</v>
      </c>
      <c r="G3380" s="2" t="s">
        <v>104</v>
      </c>
      <c r="H3380" s="2"/>
      <c r="I3380" s="2"/>
      <c r="J3380" s="2" t="s">
        <v>19</v>
      </c>
      <c r="K3380" s="2"/>
      <c r="L3380" s="2" t="s">
        <v>9723</v>
      </c>
    </row>
    <row r="3381" customFormat="false" ht="15.65" hidden="false" customHeight="true" outlineLevel="0" collapsed="false">
      <c r="A3381" s="5" t="str">
        <f aca="false">HYPERLINK("https://www.fabsurplus.com/sdi_catalog/salesItemDetails.do?id=109521")</f>
        <v>https://www.fabsurplus.com/sdi_catalog/salesItemDetails.do?id=109521</v>
      </c>
      <c r="B3381" s="5" t="s">
        <v>9724</v>
      </c>
      <c r="C3381" s="5" t="s">
        <v>9719</v>
      </c>
      <c r="D3381" s="5" t="s">
        <v>9725</v>
      </c>
      <c r="E3381" s="5" t="s">
        <v>103</v>
      </c>
      <c r="F3381" s="5" t="s">
        <v>16</v>
      </c>
      <c r="G3381" s="5" t="s">
        <v>104</v>
      </c>
      <c r="H3381" s="5"/>
      <c r="I3381" s="5"/>
      <c r="J3381" s="5" t="s">
        <v>19</v>
      </c>
      <c r="K3381" s="5"/>
      <c r="L3381" s="5" t="s">
        <v>9726</v>
      </c>
    </row>
    <row r="3382" customFormat="false" ht="15.65" hidden="false" customHeight="true" outlineLevel="0" collapsed="false">
      <c r="A3382" s="2" t="str">
        <f aca="false">HYPERLINK("https://www.fabsurplus.com/sdi_catalog/salesItemDetails.do?id=106759")</f>
        <v>https://www.fabsurplus.com/sdi_catalog/salesItemDetails.do?id=106759</v>
      </c>
      <c r="B3382" s="2" t="s">
        <v>9727</v>
      </c>
      <c r="C3382" s="2" t="s">
        <v>9728</v>
      </c>
      <c r="D3382" s="2" t="s">
        <v>9729</v>
      </c>
      <c r="E3382" s="2" t="s">
        <v>9730</v>
      </c>
      <c r="F3382" s="2" t="s">
        <v>16</v>
      </c>
      <c r="G3382" s="2" t="s">
        <v>38</v>
      </c>
      <c r="H3382" s="2" t="s">
        <v>32</v>
      </c>
      <c r="I3382" s="3" t="n">
        <v>34486</v>
      </c>
      <c r="J3382" s="2" t="s">
        <v>19</v>
      </c>
      <c r="K3382" s="2" t="s">
        <v>20</v>
      </c>
      <c r="L3382" s="4" t="s">
        <v>9731</v>
      </c>
    </row>
    <row r="3383" customFormat="false" ht="15.65" hidden="false" customHeight="true" outlineLevel="0" collapsed="false">
      <c r="A3383" s="5" t="str">
        <f aca="false">HYPERLINK("https://www.fabsurplus.com/sdi_catalog/salesItemDetails.do?id=109586")</f>
        <v>https://www.fabsurplus.com/sdi_catalog/salesItemDetails.do?id=109586</v>
      </c>
      <c r="B3383" s="5" t="s">
        <v>9732</v>
      </c>
      <c r="C3383" s="5" t="s">
        <v>9728</v>
      </c>
      <c r="D3383" s="5" t="s">
        <v>9733</v>
      </c>
      <c r="E3383" s="5" t="s">
        <v>9734</v>
      </c>
      <c r="F3383" s="5" t="s">
        <v>16</v>
      </c>
      <c r="G3383" s="5" t="s">
        <v>1293</v>
      </c>
      <c r="H3383" s="5"/>
      <c r="I3383" s="5"/>
      <c r="J3383" s="5" t="s">
        <v>42</v>
      </c>
      <c r="K3383" s="5"/>
      <c r="L3383" s="5" t="s">
        <v>5550</v>
      </c>
    </row>
    <row r="3384" customFormat="false" ht="15.65" hidden="false" customHeight="true" outlineLevel="0" collapsed="false">
      <c r="A3384" s="2" t="str">
        <f aca="false">HYPERLINK("https://www.fabsurplus.com/sdi_catalog/salesItemDetails.do?id=110613")</f>
        <v>https://www.fabsurplus.com/sdi_catalog/salesItemDetails.do?id=110613</v>
      </c>
      <c r="B3384" s="2" t="s">
        <v>9735</v>
      </c>
      <c r="C3384" s="2" t="s">
        <v>9736</v>
      </c>
      <c r="D3384" s="2" t="s">
        <v>9737</v>
      </c>
      <c r="E3384" s="2" t="s">
        <v>9738</v>
      </c>
      <c r="F3384" s="2" t="s">
        <v>16</v>
      </c>
      <c r="G3384" s="2" t="s">
        <v>70</v>
      </c>
      <c r="H3384" s="2" t="s">
        <v>32</v>
      </c>
      <c r="I3384" s="3" t="n">
        <v>36251</v>
      </c>
      <c r="J3384" s="2" t="s">
        <v>19</v>
      </c>
      <c r="K3384" s="2" t="s">
        <v>20</v>
      </c>
      <c r="L3384" s="4" t="s">
        <v>9739</v>
      </c>
    </row>
    <row r="3385" customFormat="false" ht="15.65" hidden="false" customHeight="true" outlineLevel="0" collapsed="false">
      <c r="A3385" s="5" t="str">
        <f aca="false">HYPERLINK("https://www.fabsurplus.com/sdi_catalog/salesItemDetails.do?id=109599")</f>
        <v>https://www.fabsurplus.com/sdi_catalog/salesItemDetails.do?id=109599</v>
      </c>
      <c r="B3385" s="5" t="s">
        <v>9740</v>
      </c>
      <c r="C3385" s="5" t="s">
        <v>9728</v>
      </c>
      <c r="D3385" s="5" t="s">
        <v>9713</v>
      </c>
      <c r="E3385" s="5" t="s">
        <v>9741</v>
      </c>
      <c r="F3385" s="5" t="s">
        <v>16</v>
      </c>
      <c r="G3385" s="5" t="s">
        <v>38</v>
      </c>
      <c r="H3385" s="5"/>
      <c r="I3385" s="5"/>
      <c r="J3385" s="5" t="s">
        <v>42</v>
      </c>
      <c r="K3385" s="5"/>
      <c r="L3385" s="5" t="s">
        <v>5550</v>
      </c>
    </row>
    <row r="3386" customFormat="false" ht="15.65" hidden="false" customHeight="true" outlineLevel="0" collapsed="false">
      <c r="A3386" s="2" t="str">
        <f aca="false">HYPERLINK("https://www.fabsurplus.com/sdi_catalog/salesItemDetails.do?id=106953")</f>
        <v>https://www.fabsurplus.com/sdi_catalog/salesItemDetails.do?id=106953</v>
      </c>
      <c r="B3386" s="2" t="s">
        <v>9742</v>
      </c>
      <c r="C3386" s="2" t="s">
        <v>9743</v>
      </c>
      <c r="D3386" s="2" t="s">
        <v>9744</v>
      </c>
      <c r="E3386" s="2" t="s">
        <v>9745</v>
      </c>
      <c r="F3386" s="2" t="s">
        <v>108</v>
      </c>
      <c r="G3386" s="2" t="s">
        <v>1293</v>
      </c>
      <c r="H3386" s="2" t="s">
        <v>18</v>
      </c>
      <c r="I3386" s="3" t="n">
        <v>42156</v>
      </c>
      <c r="J3386" s="2" t="s">
        <v>19</v>
      </c>
      <c r="K3386" s="2" t="s">
        <v>20</v>
      </c>
      <c r="L3386" s="4" t="s">
        <v>9746</v>
      </c>
    </row>
    <row r="3387" customFormat="false" ht="15.65" hidden="false" customHeight="true" outlineLevel="0" collapsed="false">
      <c r="A3387" s="5" t="str">
        <f aca="false">HYPERLINK("https://www.fabsurplus.com/sdi_catalog/salesItemDetails.do?id=83933")</f>
        <v>https://www.fabsurplus.com/sdi_catalog/salesItemDetails.do?id=83933</v>
      </c>
      <c r="B3387" s="5" t="s">
        <v>9747</v>
      </c>
      <c r="C3387" s="5" t="s">
        <v>9748</v>
      </c>
      <c r="D3387" s="5" t="s">
        <v>9749</v>
      </c>
      <c r="E3387" s="5" t="s">
        <v>1798</v>
      </c>
      <c r="F3387" s="5" t="s">
        <v>16</v>
      </c>
      <c r="G3387" s="5"/>
      <c r="H3387" s="5" t="s">
        <v>32</v>
      </c>
      <c r="I3387" s="5"/>
      <c r="J3387" s="5" t="s">
        <v>19</v>
      </c>
      <c r="K3387" s="5" t="s">
        <v>20</v>
      </c>
      <c r="L3387" s="7" t="s">
        <v>9750</v>
      </c>
    </row>
    <row r="3388" customFormat="false" ht="15.65" hidden="false" customHeight="true" outlineLevel="0" collapsed="false">
      <c r="A3388" s="2" t="str">
        <f aca="false">HYPERLINK("https://www.fabsurplus.com/sdi_catalog/salesItemDetails.do?id=31246")</f>
        <v>https://www.fabsurplus.com/sdi_catalog/salesItemDetails.do?id=31246</v>
      </c>
      <c r="B3388" s="2" t="s">
        <v>9751</v>
      </c>
      <c r="C3388" s="2" t="s">
        <v>9752</v>
      </c>
      <c r="D3388" s="2" t="s">
        <v>9753</v>
      </c>
      <c r="E3388" s="2" t="s">
        <v>9754</v>
      </c>
      <c r="F3388" s="2" t="s">
        <v>16</v>
      </c>
      <c r="G3388" s="2" t="s">
        <v>4519</v>
      </c>
      <c r="H3388" s="2" t="s">
        <v>18</v>
      </c>
      <c r="I3388" s="3" t="n">
        <v>36434</v>
      </c>
      <c r="J3388" s="2" t="s">
        <v>19</v>
      </c>
      <c r="K3388" s="2" t="s">
        <v>20</v>
      </c>
      <c r="L3388" s="4" t="s">
        <v>9755</v>
      </c>
    </row>
    <row r="3389" customFormat="false" ht="15.65" hidden="false" customHeight="true" outlineLevel="0" collapsed="false">
      <c r="A3389" s="5" t="str">
        <f aca="false">HYPERLINK("https://www.fabsurplus.com/sdi_catalog/salesItemDetails.do?id=83615")</f>
        <v>https://www.fabsurplus.com/sdi_catalog/salesItemDetails.do?id=83615</v>
      </c>
      <c r="B3389" s="5" t="s">
        <v>9756</v>
      </c>
      <c r="C3389" s="5" t="s">
        <v>9752</v>
      </c>
      <c r="D3389" s="5" t="s">
        <v>9757</v>
      </c>
      <c r="E3389" s="5" t="s">
        <v>9758</v>
      </c>
      <c r="F3389" s="5" t="s">
        <v>16</v>
      </c>
      <c r="G3389" s="5" t="s">
        <v>9759</v>
      </c>
      <c r="H3389" s="5" t="s">
        <v>1772</v>
      </c>
      <c r="I3389" s="6" t="n">
        <v>32539.9583333333</v>
      </c>
      <c r="J3389" s="5" t="s">
        <v>19</v>
      </c>
      <c r="K3389" s="5" t="s">
        <v>20</v>
      </c>
      <c r="L3389" s="7" t="s">
        <v>9760</v>
      </c>
    </row>
    <row r="3390" customFormat="false" ht="15.65" hidden="false" customHeight="true" outlineLevel="0" collapsed="false">
      <c r="A3390" s="2" t="str">
        <f aca="false">HYPERLINK("https://www.fabsurplus.com/sdi_catalog/salesItemDetails.do?id=54210")</f>
        <v>https://www.fabsurplus.com/sdi_catalog/salesItemDetails.do?id=54210</v>
      </c>
      <c r="B3390" s="2" t="s">
        <v>9761</v>
      </c>
      <c r="C3390" s="2" t="s">
        <v>9762</v>
      </c>
      <c r="D3390" s="2" t="s">
        <v>3932</v>
      </c>
      <c r="E3390" s="2" t="s">
        <v>9763</v>
      </c>
      <c r="F3390" s="2" t="s">
        <v>16</v>
      </c>
      <c r="G3390" s="2" t="s">
        <v>38</v>
      </c>
      <c r="H3390" s="2" t="s">
        <v>18</v>
      </c>
      <c r="I3390" s="3" t="n">
        <v>38503.9166666667</v>
      </c>
      <c r="J3390" s="2" t="s">
        <v>19</v>
      </c>
      <c r="K3390" s="2" t="s">
        <v>20</v>
      </c>
      <c r="L3390" s="4" t="s">
        <v>9764</v>
      </c>
    </row>
    <row r="3391" customFormat="false" ht="15.65" hidden="false" customHeight="true" outlineLevel="0" collapsed="false">
      <c r="A3391" s="5" t="str">
        <f aca="false">HYPERLINK("https://www.fabsurplus.com/sdi_catalog/salesItemDetails.do?id=108714")</f>
        <v>https://www.fabsurplus.com/sdi_catalog/salesItemDetails.do?id=108714</v>
      </c>
      <c r="B3391" s="5" t="s">
        <v>9765</v>
      </c>
      <c r="C3391" s="5" t="s">
        <v>9766</v>
      </c>
      <c r="D3391" s="5" t="s">
        <v>9767</v>
      </c>
      <c r="E3391" s="5" t="s">
        <v>9768</v>
      </c>
      <c r="F3391" s="5" t="s">
        <v>16</v>
      </c>
      <c r="G3391" s="5" t="s">
        <v>38</v>
      </c>
      <c r="H3391" s="5" t="s">
        <v>18</v>
      </c>
      <c r="I3391" s="5"/>
      <c r="J3391" s="5" t="s">
        <v>19</v>
      </c>
      <c r="K3391" s="5" t="s">
        <v>20</v>
      </c>
      <c r="L3391" s="7" t="s">
        <v>9769</v>
      </c>
    </row>
    <row r="3392" customFormat="false" ht="15.65" hidden="false" customHeight="true" outlineLevel="0" collapsed="false">
      <c r="A3392" s="2" t="str">
        <f aca="false">HYPERLINK("https://www.fabsurplus.com/sdi_catalog/salesItemDetails.do?id=83565")</f>
        <v>https://www.fabsurplus.com/sdi_catalog/salesItemDetails.do?id=83565</v>
      </c>
      <c r="B3392" s="2" t="s">
        <v>9770</v>
      </c>
      <c r="C3392" s="2" t="s">
        <v>9771</v>
      </c>
      <c r="D3392" s="2" t="s">
        <v>9772</v>
      </c>
      <c r="E3392" s="2" t="s">
        <v>9773</v>
      </c>
      <c r="F3392" s="2" t="s">
        <v>151</v>
      </c>
      <c r="G3392" s="2"/>
      <c r="H3392" s="2" t="s">
        <v>18</v>
      </c>
      <c r="I3392" s="3" t="n">
        <v>39814</v>
      </c>
      <c r="J3392" s="2" t="s">
        <v>19</v>
      </c>
      <c r="K3392" s="2" t="s">
        <v>20</v>
      </c>
      <c r="L3392" s="4" t="s">
        <v>9774</v>
      </c>
    </row>
    <row r="3393" customFormat="false" ht="15.65" hidden="false" customHeight="true" outlineLevel="0" collapsed="false">
      <c r="A3393" s="5" t="str">
        <f aca="false">HYPERLINK("https://www.fabsurplus.com/sdi_catalog/salesItemDetails.do?id=69870")</f>
        <v>https://www.fabsurplus.com/sdi_catalog/salesItemDetails.do?id=69870</v>
      </c>
      <c r="B3393" s="5" t="s">
        <v>9775</v>
      </c>
      <c r="C3393" s="5" t="s">
        <v>9776</v>
      </c>
      <c r="D3393" s="5" t="s">
        <v>9777</v>
      </c>
      <c r="E3393" s="5" t="s">
        <v>9778</v>
      </c>
      <c r="F3393" s="5" t="s">
        <v>145</v>
      </c>
      <c r="G3393" s="5" t="s">
        <v>392</v>
      </c>
      <c r="H3393" s="5" t="s">
        <v>32</v>
      </c>
      <c r="I3393" s="6" t="n">
        <v>35946.9166666667</v>
      </c>
      <c r="J3393" s="5" t="s">
        <v>19</v>
      </c>
      <c r="K3393" s="5" t="s">
        <v>20</v>
      </c>
      <c r="L3393" s="7" t="s">
        <v>9779</v>
      </c>
    </row>
    <row r="3394" customFormat="false" ht="15.65" hidden="false" customHeight="true" outlineLevel="0" collapsed="false">
      <c r="A3394" s="2" t="str">
        <f aca="false">HYPERLINK("https://www.fabsurplus.com/sdi_catalog/salesItemDetails.do?id=69872")</f>
        <v>https://www.fabsurplus.com/sdi_catalog/salesItemDetails.do?id=69872</v>
      </c>
      <c r="B3394" s="2" t="s">
        <v>9780</v>
      </c>
      <c r="C3394" s="2" t="s">
        <v>9776</v>
      </c>
      <c r="D3394" s="2" t="s">
        <v>9781</v>
      </c>
      <c r="E3394" s="2" t="s">
        <v>9782</v>
      </c>
      <c r="F3394" s="2" t="s">
        <v>16</v>
      </c>
      <c r="G3394" s="2" t="s">
        <v>392</v>
      </c>
      <c r="H3394" s="2" t="s">
        <v>32</v>
      </c>
      <c r="I3394" s="3" t="n">
        <v>35947</v>
      </c>
      <c r="J3394" s="2" t="s">
        <v>19</v>
      </c>
      <c r="K3394" s="2" t="s">
        <v>20</v>
      </c>
      <c r="L3394" s="4" t="s">
        <v>9783</v>
      </c>
    </row>
    <row r="3395" customFormat="false" ht="15.65" hidden="false" customHeight="true" outlineLevel="0" collapsed="false">
      <c r="A3395" s="5" t="str">
        <f aca="false">HYPERLINK("https://www.fabsurplus.com/sdi_catalog/salesItemDetails.do?id=69873")</f>
        <v>https://www.fabsurplus.com/sdi_catalog/salesItemDetails.do?id=69873</v>
      </c>
      <c r="B3395" s="5" t="s">
        <v>9784</v>
      </c>
      <c r="C3395" s="5" t="s">
        <v>9776</v>
      </c>
      <c r="D3395" s="5" t="s">
        <v>9785</v>
      </c>
      <c r="E3395" s="5" t="s">
        <v>9786</v>
      </c>
      <c r="F3395" s="5" t="s">
        <v>151</v>
      </c>
      <c r="G3395" s="5" t="s">
        <v>392</v>
      </c>
      <c r="H3395" s="5" t="s">
        <v>32</v>
      </c>
      <c r="I3395" s="6" t="n">
        <v>35947</v>
      </c>
      <c r="J3395" s="5" t="s">
        <v>19</v>
      </c>
      <c r="K3395" s="5" t="s">
        <v>20</v>
      </c>
      <c r="L3395" s="7" t="s">
        <v>9787</v>
      </c>
    </row>
    <row r="3396" customFormat="false" ht="15.65" hidden="false" customHeight="true" outlineLevel="0" collapsed="false">
      <c r="A3396" s="2" t="str">
        <f aca="false">HYPERLINK("https://www.fabsurplus.com/sdi_catalog/salesItemDetails.do?id=69874")</f>
        <v>https://www.fabsurplus.com/sdi_catalog/salesItemDetails.do?id=69874</v>
      </c>
      <c r="B3396" s="2" t="s">
        <v>9788</v>
      </c>
      <c r="C3396" s="2" t="s">
        <v>9776</v>
      </c>
      <c r="D3396" s="2" t="s">
        <v>9789</v>
      </c>
      <c r="E3396" s="2" t="s">
        <v>9790</v>
      </c>
      <c r="F3396" s="2" t="s">
        <v>151</v>
      </c>
      <c r="G3396" s="2" t="s">
        <v>392</v>
      </c>
      <c r="H3396" s="2" t="s">
        <v>32</v>
      </c>
      <c r="I3396" s="3" t="n">
        <v>35946.9166666667</v>
      </c>
      <c r="J3396" s="2" t="s">
        <v>19</v>
      </c>
      <c r="K3396" s="2" t="s">
        <v>20</v>
      </c>
      <c r="L3396" s="4" t="s">
        <v>9791</v>
      </c>
    </row>
    <row r="3397" customFormat="false" ht="15.65" hidden="false" customHeight="true" outlineLevel="0" collapsed="false">
      <c r="A3397" s="5" t="str">
        <f aca="false">HYPERLINK("https://www.fabsurplus.com/sdi_catalog/salesItemDetails.do?id=69875")</f>
        <v>https://www.fabsurplus.com/sdi_catalog/salesItemDetails.do?id=69875</v>
      </c>
      <c r="B3397" s="5" t="s">
        <v>9792</v>
      </c>
      <c r="C3397" s="5" t="s">
        <v>9776</v>
      </c>
      <c r="D3397" s="5" t="s">
        <v>9793</v>
      </c>
      <c r="E3397" s="5" t="s">
        <v>9790</v>
      </c>
      <c r="F3397" s="5" t="s">
        <v>16</v>
      </c>
      <c r="G3397" s="5" t="s">
        <v>392</v>
      </c>
      <c r="H3397" s="5" t="s">
        <v>32</v>
      </c>
      <c r="I3397" s="6" t="n">
        <v>35946.9166666667</v>
      </c>
      <c r="J3397" s="5" t="s">
        <v>19</v>
      </c>
      <c r="K3397" s="5" t="s">
        <v>20</v>
      </c>
      <c r="L3397" s="7" t="s">
        <v>9794</v>
      </c>
    </row>
    <row r="3398" customFormat="false" ht="15.65" hidden="false" customHeight="true" outlineLevel="0" collapsed="false">
      <c r="A3398" s="2" t="str">
        <f aca="false">HYPERLINK("https://www.fabsurplus.com/sdi_catalog/salesItemDetails.do?id=83506")</f>
        <v>https://www.fabsurplus.com/sdi_catalog/salesItemDetails.do?id=83506</v>
      </c>
      <c r="B3398" s="2" t="s">
        <v>9795</v>
      </c>
      <c r="C3398" s="2" t="s">
        <v>9796</v>
      </c>
      <c r="D3398" s="2" t="s">
        <v>9797</v>
      </c>
      <c r="E3398" s="2" t="s">
        <v>9798</v>
      </c>
      <c r="F3398" s="2" t="s">
        <v>16</v>
      </c>
      <c r="G3398" s="2" t="s">
        <v>9799</v>
      </c>
      <c r="H3398" s="2" t="s">
        <v>18</v>
      </c>
      <c r="I3398" s="3" t="n">
        <v>34454.9166666667</v>
      </c>
      <c r="J3398" s="2" t="s">
        <v>19</v>
      </c>
      <c r="K3398" s="2" t="s">
        <v>20</v>
      </c>
      <c r="L3398" s="4" t="s">
        <v>9800</v>
      </c>
    </row>
    <row r="3399" customFormat="false" ht="15.65" hidden="false" customHeight="true" outlineLevel="0" collapsed="false">
      <c r="A3399" s="5" t="str">
        <f aca="false">HYPERLINK("https://www.fabsurplus.com/sdi_catalog/salesItemDetails.do?id=83507")</f>
        <v>https://www.fabsurplus.com/sdi_catalog/salesItemDetails.do?id=83507</v>
      </c>
      <c r="B3399" s="5" t="s">
        <v>9801</v>
      </c>
      <c r="C3399" s="5" t="s">
        <v>9802</v>
      </c>
      <c r="D3399" s="5" t="s">
        <v>9803</v>
      </c>
      <c r="E3399" s="5" t="s">
        <v>9798</v>
      </c>
      <c r="F3399" s="5" t="s">
        <v>16</v>
      </c>
      <c r="G3399" s="5" t="s">
        <v>9799</v>
      </c>
      <c r="H3399" s="5" t="s">
        <v>18</v>
      </c>
      <c r="I3399" s="6" t="n">
        <v>34365.9583333333</v>
      </c>
      <c r="J3399" s="5" t="s">
        <v>19</v>
      </c>
      <c r="K3399" s="5" t="s">
        <v>20</v>
      </c>
      <c r="L3399" s="7" t="s">
        <v>9800</v>
      </c>
    </row>
    <row r="3400" customFormat="false" ht="15.65" hidden="false" customHeight="true" outlineLevel="0" collapsed="false">
      <c r="A3400" s="2" t="str">
        <f aca="false">HYPERLINK("https://www.fabsurplus.com/sdi_catalog/salesItemDetails.do?id=83508")</f>
        <v>https://www.fabsurplus.com/sdi_catalog/salesItemDetails.do?id=83508</v>
      </c>
      <c r="B3400" s="2" t="s">
        <v>9804</v>
      </c>
      <c r="C3400" s="2" t="s">
        <v>9802</v>
      </c>
      <c r="D3400" s="2" t="s">
        <v>2489</v>
      </c>
      <c r="E3400" s="2" t="s">
        <v>9798</v>
      </c>
      <c r="F3400" s="2" t="s">
        <v>16</v>
      </c>
      <c r="G3400" s="2" t="s">
        <v>9799</v>
      </c>
      <c r="H3400" s="2" t="s">
        <v>18</v>
      </c>
      <c r="I3400" s="3" t="n">
        <v>34454.9166666667</v>
      </c>
      <c r="J3400" s="2" t="s">
        <v>19</v>
      </c>
      <c r="K3400" s="2" t="s">
        <v>20</v>
      </c>
      <c r="L3400" s="4" t="s">
        <v>9805</v>
      </c>
    </row>
    <row r="3401" customFormat="false" ht="15.65" hidden="false" customHeight="true" outlineLevel="0" collapsed="false">
      <c r="A3401" s="5" t="str">
        <f aca="false">HYPERLINK("https://www.fabsurplus.com/sdi_catalog/salesItemDetails.do?id=83509")</f>
        <v>https://www.fabsurplus.com/sdi_catalog/salesItemDetails.do?id=83509</v>
      </c>
      <c r="B3401" s="5" t="s">
        <v>9806</v>
      </c>
      <c r="C3401" s="5" t="s">
        <v>9802</v>
      </c>
      <c r="D3401" s="5" t="s">
        <v>9807</v>
      </c>
      <c r="E3401" s="5" t="s">
        <v>9798</v>
      </c>
      <c r="F3401" s="5" t="s">
        <v>16</v>
      </c>
      <c r="G3401" s="5" t="s">
        <v>9799</v>
      </c>
      <c r="H3401" s="5" t="s">
        <v>18</v>
      </c>
      <c r="I3401" s="6" t="n">
        <v>34485.9166666667</v>
      </c>
      <c r="J3401" s="5" t="s">
        <v>19</v>
      </c>
      <c r="K3401" s="5" t="s">
        <v>20</v>
      </c>
      <c r="L3401" s="7" t="s">
        <v>9808</v>
      </c>
    </row>
    <row r="3402" customFormat="false" ht="15.65" hidden="false" customHeight="true" outlineLevel="0" collapsed="false">
      <c r="A3402" s="2" t="str">
        <f aca="false">HYPERLINK("https://www.fabsurplus.com/sdi_catalog/salesItemDetails.do?id=83510")</f>
        <v>https://www.fabsurplus.com/sdi_catalog/salesItemDetails.do?id=83510</v>
      </c>
      <c r="B3402" s="2" t="s">
        <v>9809</v>
      </c>
      <c r="C3402" s="2" t="s">
        <v>9802</v>
      </c>
      <c r="D3402" s="2" t="s">
        <v>9810</v>
      </c>
      <c r="E3402" s="2" t="s">
        <v>9798</v>
      </c>
      <c r="F3402" s="2" t="s">
        <v>16</v>
      </c>
      <c r="G3402" s="2" t="s">
        <v>9799</v>
      </c>
      <c r="H3402" s="2" t="s">
        <v>18</v>
      </c>
      <c r="I3402" s="3" t="n">
        <v>34515.9166666667</v>
      </c>
      <c r="J3402" s="2" t="s">
        <v>19</v>
      </c>
      <c r="K3402" s="2" t="s">
        <v>20</v>
      </c>
      <c r="L3402" s="4" t="s">
        <v>9811</v>
      </c>
    </row>
    <row r="3403" customFormat="false" ht="15.65" hidden="false" customHeight="true" outlineLevel="0" collapsed="false">
      <c r="A3403" s="5" t="str">
        <f aca="false">HYPERLINK("https://www.fabsurplus.com/sdi_catalog/salesItemDetails.do?id=91356")</f>
        <v>https://www.fabsurplus.com/sdi_catalog/salesItemDetails.do?id=91356</v>
      </c>
      <c r="B3403" s="5" t="s">
        <v>9812</v>
      </c>
      <c r="C3403" s="5" t="s">
        <v>9813</v>
      </c>
      <c r="D3403" s="5" t="s">
        <v>9814</v>
      </c>
      <c r="E3403" s="5" t="s">
        <v>9815</v>
      </c>
      <c r="F3403" s="5" t="s">
        <v>16</v>
      </c>
      <c r="G3403" s="5" t="s">
        <v>38</v>
      </c>
      <c r="H3403" s="5" t="s">
        <v>32</v>
      </c>
      <c r="I3403" s="5"/>
      <c r="J3403" s="5" t="s">
        <v>19</v>
      </c>
      <c r="K3403" s="5" t="s">
        <v>20</v>
      </c>
      <c r="L3403" s="7" t="s">
        <v>9816</v>
      </c>
    </row>
    <row r="3404" customFormat="false" ht="15.65" hidden="false" customHeight="true" outlineLevel="0" collapsed="false">
      <c r="A3404" s="2" t="str">
        <f aca="false">HYPERLINK("https://www.fabsurplus.com/sdi_catalog/salesItemDetails.do?id=94477")</f>
        <v>https://www.fabsurplus.com/sdi_catalog/salesItemDetails.do?id=94477</v>
      </c>
      <c r="B3404" s="2" t="s">
        <v>9817</v>
      </c>
      <c r="C3404" s="2" t="s">
        <v>9818</v>
      </c>
      <c r="D3404" s="2" t="s">
        <v>9819</v>
      </c>
      <c r="E3404" s="2" t="s">
        <v>9820</v>
      </c>
      <c r="F3404" s="2" t="s">
        <v>16</v>
      </c>
      <c r="G3404" s="2" t="s">
        <v>61</v>
      </c>
      <c r="H3404" s="2"/>
      <c r="I3404" s="3" t="n">
        <v>37407.9166666667</v>
      </c>
      <c r="J3404" s="2" t="s">
        <v>19</v>
      </c>
      <c r="K3404" s="2"/>
      <c r="L3404" s="2" t="s">
        <v>2868</v>
      </c>
    </row>
    <row r="3405" customFormat="false" ht="15.65" hidden="false" customHeight="true" outlineLevel="0" collapsed="false">
      <c r="A3405" s="5" t="str">
        <f aca="false">HYPERLINK("https://www.fabsurplus.com/sdi_catalog/salesItemDetails.do?id=98833")</f>
        <v>https://www.fabsurplus.com/sdi_catalog/salesItemDetails.do?id=98833</v>
      </c>
      <c r="B3405" s="5" t="s">
        <v>9821</v>
      </c>
      <c r="C3405" s="5" t="s">
        <v>9818</v>
      </c>
      <c r="D3405" s="5" t="s">
        <v>9822</v>
      </c>
      <c r="E3405" s="5" t="s">
        <v>9823</v>
      </c>
      <c r="F3405" s="5" t="s">
        <v>16</v>
      </c>
      <c r="G3405" s="5" t="s">
        <v>61</v>
      </c>
      <c r="H3405" s="5"/>
      <c r="I3405" s="6" t="n">
        <v>39021.9583333333</v>
      </c>
      <c r="J3405" s="5" t="s">
        <v>19</v>
      </c>
      <c r="K3405" s="5"/>
      <c r="L3405" s="7" t="s">
        <v>6615</v>
      </c>
    </row>
    <row r="3406" customFormat="false" ht="15.65" hidden="false" customHeight="true" outlineLevel="0" collapsed="false">
      <c r="A3406" s="2" t="str">
        <f aca="false">HYPERLINK("https://www.fabsurplus.com/sdi_catalog/salesItemDetails.do?id=108584")</f>
        <v>https://www.fabsurplus.com/sdi_catalog/salesItemDetails.do?id=108584</v>
      </c>
      <c r="B3406" s="2" t="s">
        <v>9824</v>
      </c>
      <c r="C3406" s="2" t="s">
        <v>9818</v>
      </c>
      <c r="D3406" s="2" t="s">
        <v>9819</v>
      </c>
      <c r="E3406" s="2" t="s">
        <v>2626</v>
      </c>
      <c r="F3406" s="2" t="s">
        <v>16</v>
      </c>
      <c r="G3406" s="2" t="s">
        <v>61</v>
      </c>
      <c r="H3406" s="2" t="s">
        <v>32</v>
      </c>
      <c r="I3406" s="3" t="n">
        <v>38838</v>
      </c>
      <c r="J3406" s="2" t="s">
        <v>19</v>
      </c>
      <c r="K3406" s="2" t="s">
        <v>20</v>
      </c>
      <c r="L3406" s="2" t="s">
        <v>6838</v>
      </c>
    </row>
    <row r="3407" customFormat="false" ht="15.65" hidden="false" customHeight="true" outlineLevel="0" collapsed="false">
      <c r="A3407" s="5" t="str">
        <f aca="false">HYPERLINK("https://www.fabsurplus.com/sdi_catalog/salesItemDetails.do?id=108586")</f>
        <v>https://www.fabsurplus.com/sdi_catalog/salesItemDetails.do?id=108586</v>
      </c>
      <c r="B3407" s="5" t="s">
        <v>9825</v>
      </c>
      <c r="C3407" s="5" t="s">
        <v>9818</v>
      </c>
      <c r="D3407" s="5" t="s">
        <v>9826</v>
      </c>
      <c r="E3407" s="5" t="s">
        <v>2626</v>
      </c>
      <c r="F3407" s="5" t="s">
        <v>16</v>
      </c>
      <c r="G3407" s="5" t="s">
        <v>38</v>
      </c>
      <c r="H3407" s="5" t="s">
        <v>32</v>
      </c>
      <c r="I3407" s="6" t="n">
        <v>38108</v>
      </c>
      <c r="J3407" s="5" t="s">
        <v>19</v>
      </c>
      <c r="K3407" s="5" t="s">
        <v>20</v>
      </c>
      <c r="L3407" s="5"/>
    </row>
    <row r="3408" customFormat="false" ht="15.65" hidden="false" customHeight="true" outlineLevel="0" collapsed="false">
      <c r="A3408" s="2" t="str">
        <f aca="false">HYPERLINK("https://www.fabsurplus.com/sdi_catalog/salesItemDetails.do?id=100927")</f>
        <v>https://www.fabsurplus.com/sdi_catalog/salesItemDetails.do?id=100927</v>
      </c>
      <c r="B3408" s="2" t="s">
        <v>9827</v>
      </c>
      <c r="C3408" s="2" t="s">
        <v>9818</v>
      </c>
      <c r="D3408" s="2" t="s">
        <v>9819</v>
      </c>
      <c r="E3408" s="2" t="s">
        <v>8115</v>
      </c>
      <c r="F3408" s="2" t="s">
        <v>16</v>
      </c>
      <c r="G3408" s="2" t="s">
        <v>61</v>
      </c>
      <c r="H3408" s="2"/>
      <c r="I3408" s="3" t="n">
        <v>38868.9166666667</v>
      </c>
      <c r="J3408" s="2" t="s">
        <v>19</v>
      </c>
      <c r="K3408" s="2"/>
      <c r="L3408" s="2" t="s">
        <v>1539</v>
      </c>
    </row>
    <row r="3409" customFormat="false" ht="15.65" hidden="false" customHeight="true" outlineLevel="0" collapsed="false">
      <c r="A3409" s="5" t="str">
        <f aca="false">HYPERLINK("https://www.fabsurplus.com/sdi_catalog/salesItemDetails.do?id=103548")</f>
        <v>https://www.fabsurplus.com/sdi_catalog/salesItemDetails.do?id=103548</v>
      </c>
      <c r="B3409" s="5" t="s">
        <v>9828</v>
      </c>
      <c r="C3409" s="5" t="s">
        <v>9818</v>
      </c>
      <c r="D3409" s="5" t="s">
        <v>9822</v>
      </c>
      <c r="E3409" s="5" t="s">
        <v>8381</v>
      </c>
      <c r="F3409" s="5" t="s">
        <v>16</v>
      </c>
      <c r="G3409" s="5" t="s">
        <v>61</v>
      </c>
      <c r="H3409" s="5"/>
      <c r="I3409" s="6" t="n">
        <v>38868.9166666667</v>
      </c>
      <c r="J3409" s="5" t="s">
        <v>19</v>
      </c>
      <c r="K3409" s="5"/>
      <c r="L3409" s="7" t="s">
        <v>1682</v>
      </c>
    </row>
    <row r="3410" customFormat="false" ht="15.65" hidden="false" customHeight="true" outlineLevel="0" collapsed="false">
      <c r="A3410" s="2" t="str">
        <f aca="false">HYPERLINK("https://www.fabsurplus.com/sdi_catalog/salesItemDetails.do?id=103549")</f>
        <v>https://www.fabsurplus.com/sdi_catalog/salesItemDetails.do?id=103549</v>
      </c>
      <c r="B3410" s="2" t="s">
        <v>9829</v>
      </c>
      <c r="C3410" s="2" t="s">
        <v>9818</v>
      </c>
      <c r="D3410" s="2" t="s">
        <v>9819</v>
      </c>
      <c r="E3410" s="2" t="s">
        <v>9830</v>
      </c>
      <c r="F3410" s="2" t="s">
        <v>16</v>
      </c>
      <c r="G3410" s="2" t="s">
        <v>61</v>
      </c>
      <c r="H3410" s="2"/>
      <c r="I3410" s="2"/>
      <c r="J3410" s="2" t="s">
        <v>19</v>
      </c>
      <c r="K3410" s="2"/>
      <c r="L3410" s="4" t="s">
        <v>1682</v>
      </c>
    </row>
    <row r="3411" customFormat="false" ht="15.65" hidden="false" customHeight="true" outlineLevel="0" collapsed="false">
      <c r="A3411" s="5" t="str">
        <f aca="false">HYPERLINK("https://www.fabsurplus.com/sdi_catalog/salesItemDetails.do?id=103550")</f>
        <v>https://www.fabsurplus.com/sdi_catalog/salesItemDetails.do?id=103550</v>
      </c>
      <c r="B3411" s="5" t="s">
        <v>9831</v>
      </c>
      <c r="C3411" s="5" t="s">
        <v>9818</v>
      </c>
      <c r="D3411" s="5" t="s">
        <v>9819</v>
      </c>
      <c r="E3411" s="5" t="s">
        <v>9830</v>
      </c>
      <c r="F3411" s="5" t="s">
        <v>16</v>
      </c>
      <c r="G3411" s="5" t="s">
        <v>61</v>
      </c>
      <c r="H3411" s="5"/>
      <c r="I3411" s="5"/>
      <c r="J3411" s="5" t="s">
        <v>19</v>
      </c>
      <c r="K3411" s="5"/>
      <c r="L3411" s="7" t="s">
        <v>1682</v>
      </c>
    </row>
    <row r="3412" customFormat="false" ht="15.65" hidden="false" customHeight="true" outlineLevel="0" collapsed="false">
      <c r="A3412" s="2" t="str">
        <f aca="false">HYPERLINK("https://www.fabsurplus.com/sdi_catalog/salesItemDetails.do?id=103551")</f>
        <v>https://www.fabsurplus.com/sdi_catalog/salesItemDetails.do?id=103551</v>
      </c>
      <c r="B3412" s="2" t="s">
        <v>9832</v>
      </c>
      <c r="C3412" s="2" t="s">
        <v>9818</v>
      </c>
      <c r="D3412" s="2" t="s">
        <v>9819</v>
      </c>
      <c r="E3412" s="2" t="s">
        <v>9830</v>
      </c>
      <c r="F3412" s="2" t="s">
        <v>16</v>
      </c>
      <c r="G3412" s="2" t="s">
        <v>61</v>
      </c>
      <c r="H3412" s="2"/>
      <c r="I3412" s="2"/>
      <c r="J3412" s="2" t="s">
        <v>19</v>
      </c>
      <c r="K3412" s="2"/>
      <c r="L3412" s="4" t="s">
        <v>1682</v>
      </c>
    </row>
    <row r="3413" customFormat="false" ht="15.65" hidden="false" customHeight="true" outlineLevel="0" collapsed="false">
      <c r="A3413" s="5" t="str">
        <f aca="false">HYPERLINK("https://www.fabsurplus.com/sdi_catalog/salesItemDetails.do?id=108193")</f>
        <v>https://www.fabsurplus.com/sdi_catalog/salesItemDetails.do?id=108193</v>
      </c>
      <c r="B3413" s="5" t="s">
        <v>9833</v>
      </c>
      <c r="C3413" s="5" t="s">
        <v>9818</v>
      </c>
      <c r="D3413" s="5" t="s">
        <v>9819</v>
      </c>
      <c r="E3413" s="5" t="s">
        <v>9830</v>
      </c>
      <c r="F3413" s="5" t="s">
        <v>16</v>
      </c>
      <c r="G3413" s="5" t="s">
        <v>61</v>
      </c>
      <c r="H3413" s="5"/>
      <c r="I3413" s="6" t="n">
        <v>37773</v>
      </c>
      <c r="J3413" s="5" t="s">
        <v>19</v>
      </c>
      <c r="K3413" s="5"/>
      <c r="L3413" s="5" t="s">
        <v>1950</v>
      </c>
    </row>
    <row r="3414" customFormat="false" ht="15.65" hidden="false" customHeight="true" outlineLevel="0" collapsed="false">
      <c r="A3414" s="2" t="str">
        <f aca="false">HYPERLINK("https://www.fabsurplus.com/sdi_catalog/salesItemDetails.do?id=109225")</f>
        <v>https://www.fabsurplus.com/sdi_catalog/salesItemDetails.do?id=109225</v>
      </c>
      <c r="B3414" s="2" t="s">
        <v>9834</v>
      </c>
      <c r="C3414" s="2" t="s">
        <v>9818</v>
      </c>
      <c r="D3414" s="2" t="s">
        <v>9835</v>
      </c>
      <c r="E3414" s="2" t="s">
        <v>9836</v>
      </c>
      <c r="F3414" s="2" t="s">
        <v>16</v>
      </c>
      <c r="G3414" s="2" t="s">
        <v>84</v>
      </c>
      <c r="H3414" s="2"/>
      <c r="I3414" s="2"/>
      <c r="J3414" s="2" t="s">
        <v>19</v>
      </c>
      <c r="K3414" s="2"/>
      <c r="L3414" s="2"/>
    </row>
    <row r="3415" customFormat="false" ht="15.65" hidden="false" customHeight="true" outlineLevel="0" collapsed="false">
      <c r="A3415" s="5" t="str">
        <f aca="false">HYPERLINK("https://www.fabsurplus.com/sdi_catalog/salesItemDetails.do?id=109226")</f>
        <v>https://www.fabsurplus.com/sdi_catalog/salesItemDetails.do?id=109226</v>
      </c>
      <c r="B3415" s="5" t="s">
        <v>9837</v>
      </c>
      <c r="C3415" s="5" t="s">
        <v>9818</v>
      </c>
      <c r="D3415" s="5" t="s">
        <v>9835</v>
      </c>
      <c r="E3415" s="5" t="s">
        <v>9836</v>
      </c>
      <c r="F3415" s="5" t="s">
        <v>16</v>
      </c>
      <c r="G3415" s="5" t="s">
        <v>84</v>
      </c>
      <c r="H3415" s="5"/>
      <c r="I3415" s="5"/>
      <c r="J3415" s="5" t="s">
        <v>19</v>
      </c>
      <c r="K3415" s="5"/>
      <c r="L3415" s="5"/>
    </row>
    <row r="3416" customFormat="false" ht="15.65" hidden="false" customHeight="true" outlineLevel="0" collapsed="false">
      <c r="A3416" s="2" t="str">
        <f aca="false">HYPERLINK("https://www.fabsurplus.com/sdi_catalog/salesItemDetails.do?id=109227")</f>
        <v>https://www.fabsurplus.com/sdi_catalog/salesItemDetails.do?id=109227</v>
      </c>
      <c r="B3416" s="2" t="s">
        <v>9838</v>
      </c>
      <c r="C3416" s="2" t="s">
        <v>9818</v>
      </c>
      <c r="D3416" s="2" t="s">
        <v>9835</v>
      </c>
      <c r="E3416" s="2" t="s">
        <v>9836</v>
      </c>
      <c r="F3416" s="2" t="s">
        <v>16</v>
      </c>
      <c r="G3416" s="2" t="s">
        <v>84</v>
      </c>
      <c r="H3416" s="2"/>
      <c r="I3416" s="2"/>
      <c r="J3416" s="2" t="s">
        <v>19</v>
      </c>
      <c r="K3416" s="2"/>
      <c r="L3416" s="2"/>
    </row>
    <row r="3417" customFormat="false" ht="15.65" hidden="false" customHeight="true" outlineLevel="0" collapsed="false">
      <c r="A3417" s="5" t="str">
        <f aca="false">HYPERLINK("https://www.fabsurplus.com/sdi_catalog/salesItemDetails.do?id=109228")</f>
        <v>https://www.fabsurplus.com/sdi_catalog/salesItemDetails.do?id=109228</v>
      </c>
      <c r="B3417" s="5" t="s">
        <v>9839</v>
      </c>
      <c r="C3417" s="5" t="s">
        <v>9818</v>
      </c>
      <c r="D3417" s="5" t="s">
        <v>9835</v>
      </c>
      <c r="E3417" s="5" t="s">
        <v>9836</v>
      </c>
      <c r="F3417" s="5" t="s">
        <v>16</v>
      </c>
      <c r="G3417" s="5" t="s">
        <v>84</v>
      </c>
      <c r="H3417" s="5"/>
      <c r="I3417" s="5"/>
      <c r="J3417" s="5" t="s">
        <v>19</v>
      </c>
      <c r="K3417" s="5"/>
      <c r="L3417" s="5"/>
    </row>
    <row r="3418" customFormat="false" ht="15.65" hidden="false" customHeight="true" outlineLevel="0" collapsed="false">
      <c r="A3418" s="2" t="str">
        <f aca="false">HYPERLINK("https://www.fabsurplus.com/sdi_catalog/salesItemDetails.do?id=109564")</f>
        <v>https://www.fabsurplus.com/sdi_catalog/salesItemDetails.do?id=109564</v>
      </c>
      <c r="B3418" s="2" t="s">
        <v>9840</v>
      </c>
      <c r="C3418" s="2" t="s">
        <v>9818</v>
      </c>
      <c r="D3418" s="2" t="s">
        <v>9841</v>
      </c>
      <c r="E3418" s="2" t="s">
        <v>9842</v>
      </c>
      <c r="F3418" s="2" t="s">
        <v>16</v>
      </c>
      <c r="G3418" s="2" t="s">
        <v>61</v>
      </c>
      <c r="H3418" s="2" t="s">
        <v>32</v>
      </c>
      <c r="I3418" s="3" t="n">
        <v>38838</v>
      </c>
      <c r="J3418" s="2" t="s">
        <v>19</v>
      </c>
      <c r="K3418" s="2" t="s">
        <v>20</v>
      </c>
      <c r="L3418" s="2"/>
    </row>
    <row r="3419" customFormat="false" ht="15.65" hidden="false" customHeight="true" outlineLevel="0" collapsed="false">
      <c r="A3419" s="5" t="str">
        <f aca="false">HYPERLINK("https://www.fabsurplus.com/sdi_catalog/salesItemDetails.do?id=83928")</f>
        <v>https://www.fabsurplus.com/sdi_catalog/salesItemDetails.do?id=83928</v>
      </c>
      <c r="B3419" s="5" t="s">
        <v>9843</v>
      </c>
      <c r="C3419" s="5" t="s">
        <v>9844</v>
      </c>
      <c r="D3419" s="5" t="s">
        <v>9845</v>
      </c>
      <c r="E3419" s="5" t="s">
        <v>9846</v>
      </c>
      <c r="F3419" s="5" t="s">
        <v>16</v>
      </c>
      <c r="G3419" s="5"/>
      <c r="H3419" s="5" t="s">
        <v>18</v>
      </c>
      <c r="I3419" s="6" t="n">
        <v>36130</v>
      </c>
      <c r="J3419" s="5" t="s">
        <v>19</v>
      </c>
      <c r="K3419" s="5" t="s">
        <v>20</v>
      </c>
      <c r="L3419" s="7" t="s">
        <v>9847</v>
      </c>
    </row>
    <row r="3420" customFormat="false" ht="15.65" hidden="false" customHeight="true" outlineLevel="0" collapsed="false">
      <c r="A3420" s="2" t="str">
        <f aca="false">HYPERLINK("https://www.fabsurplus.com/sdi_catalog/salesItemDetails.do?id=74251")</f>
        <v>https://www.fabsurplus.com/sdi_catalog/salesItemDetails.do?id=74251</v>
      </c>
      <c r="B3420" s="2" t="s">
        <v>9848</v>
      </c>
      <c r="C3420" s="2" t="s">
        <v>9849</v>
      </c>
      <c r="D3420" s="2" t="s">
        <v>9850</v>
      </c>
      <c r="E3420" s="2" t="s">
        <v>9851</v>
      </c>
      <c r="F3420" s="2" t="s">
        <v>16</v>
      </c>
      <c r="G3420" s="2" t="s">
        <v>97</v>
      </c>
      <c r="H3420" s="2" t="s">
        <v>32</v>
      </c>
      <c r="I3420" s="3" t="n">
        <v>40118</v>
      </c>
      <c r="J3420" s="2" t="s">
        <v>19</v>
      </c>
      <c r="K3420" s="2" t="s">
        <v>20</v>
      </c>
      <c r="L3420" s="4" t="s">
        <v>9852</v>
      </c>
    </row>
    <row r="3421" customFormat="false" ht="15.65" hidden="false" customHeight="true" outlineLevel="0" collapsed="false">
      <c r="A3421" s="5" t="str">
        <f aca="false">HYPERLINK("https://www.fabsurplus.com/sdi_catalog/salesItemDetails.do?id=91552")</f>
        <v>https://www.fabsurplus.com/sdi_catalog/salesItemDetails.do?id=91552</v>
      </c>
      <c r="B3421" s="5" t="s">
        <v>9853</v>
      </c>
      <c r="C3421" s="5" t="s">
        <v>9854</v>
      </c>
      <c r="D3421" s="5" t="s">
        <v>9855</v>
      </c>
      <c r="E3421" s="5" t="s">
        <v>9856</v>
      </c>
      <c r="F3421" s="5" t="s">
        <v>16</v>
      </c>
      <c r="G3421" s="5" t="s">
        <v>38</v>
      </c>
      <c r="H3421" s="5"/>
      <c r="I3421" s="6" t="n">
        <v>39599.9166666667</v>
      </c>
      <c r="J3421" s="5" t="s">
        <v>19</v>
      </c>
      <c r="K3421" s="5"/>
      <c r="L3421" s="5" t="s">
        <v>142</v>
      </c>
    </row>
    <row r="3422" customFormat="false" ht="15.65" hidden="false" customHeight="true" outlineLevel="0" collapsed="false">
      <c r="A3422" s="2" t="str">
        <f aca="false">HYPERLINK("https://www.fabsurplus.com/sdi_catalog/salesItemDetails.do?id=98489")</f>
        <v>https://www.fabsurplus.com/sdi_catalog/salesItemDetails.do?id=98489</v>
      </c>
      <c r="B3422" s="2" t="s">
        <v>9857</v>
      </c>
      <c r="C3422" s="2" t="s">
        <v>9858</v>
      </c>
      <c r="D3422" s="2" t="s">
        <v>9859</v>
      </c>
      <c r="E3422" s="2" t="s">
        <v>9860</v>
      </c>
      <c r="F3422" s="2" t="s">
        <v>16</v>
      </c>
      <c r="G3422" s="2" t="s">
        <v>1803</v>
      </c>
      <c r="H3422" s="2"/>
      <c r="I3422" s="2"/>
      <c r="J3422" s="2" t="s">
        <v>19</v>
      </c>
      <c r="K3422" s="2"/>
      <c r="L3422" s="2" t="s">
        <v>518</v>
      </c>
    </row>
    <row r="3423" customFormat="false" ht="15.65" hidden="false" customHeight="true" outlineLevel="0" collapsed="false">
      <c r="A3423" s="5" t="str">
        <f aca="false">HYPERLINK("https://www.fabsurplus.com/sdi_catalog/salesItemDetails.do?id=108479")</f>
        <v>https://www.fabsurplus.com/sdi_catalog/salesItemDetails.do?id=108479</v>
      </c>
      <c r="B3423" s="5" t="s">
        <v>9861</v>
      </c>
      <c r="C3423" s="5" t="s">
        <v>9858</v>
      </c>
      <c r="D3423" s="5" t="s">
        <v>9862</v>
      </c>
      <c r="E3423" s="5" t="s">
        <v>7103</v>
      </c>
      <c r="F3423" s="5" t="s">
        <v>16</v>
      </c>
      <c r="G3423" s="5"/>
      <c r="H3423" s="5"/>
      <c r="I3423" s="5"/>
      <c r="J3423" s="5" t="s">
        <v>19</v>
      </c>
      <c r="K3423" s="5"/>
      <c r="L3423" s="5"/>
    </row>
    <row r="3424" customFormat="false" ht="15.65" hidden="false" customHeight="true" outlineLevel="0" collapsed="false">
      <c r="A3424" s="2" t="str">
        <f aca="false">HYPERLINK("https://www.fabsurplus.com/sdi_catalog/salesItemDetails.do?id=84239")</f>
        <v>https://www.fabsurplus.com/sdi_catalog/salesItemDetails.do?id=84239</v>
      </c>
      <c r="B3424" s="2" t="s">
        <v>9863</v>
      </c>
      <c r="C3424" s="2" t="s">
        <v>9864</v>
      </c>
      <c r="D3424" s="2" t="s">
        <v>9865</v>
      </c>
      <c r="E3424" s="2" t="s">
        <v>9866</v>
      </c>
      <c r="F3424" s="2" t="s">
        <v>16</v>
      </c>
      <c r="G3424" s="2" t="s">
        <v>104</v>
      </c>
      <c r="H3424" s="2" t="s">
        <v>32</v>
      </c>
      <c r="I3424" s="2"/>
      <c r="J3424" s="2" t="s">
        <v>19</v>
      </c>
      <c r="K3424" s="2" t="s">
        <v>20</v>
      </c>
      <c r="L3424" s="4" t="s">
        <v>9867</v>
      </c>
    </row>
    <row r="3425" customFormat="false" ht="15.65" hidden="false" customHeight="true" outlineLevel="0" collapsed="false">
      <c r="A3425" s="5" t="str">
        <f aca="false">HYPERLINK("https://www.fabsurplus.com/sdi_catalog/salesItemDetails.do?id=108787")</f>
        <v>https://www.fabsurplus.com/sdi_catalog/salesItemDetails.do?id=108787</v>
      </c>
      <c r="B3425" s="5" t="s">
        <v>9868</v>
      </c>
      <c r="C3425" s="5" t="s">
        <v>9869</v>
      </c>
      <c r="D3425" s="5" t="s">
        <v>9870</v>
      </c>
      <c r="E3425" s="5" t="s">
        <v>9871</v>
      </c>
      <c r="F3425" s="5" t="s">
        <v>151</v>
      </c>
      <c r="G3425" s="5" t="s">
        <v>70</v>
      </c>
      <c r="H3425" s="5" t="s">
        <v>18</v>
      </c>
      <c r="I3425" s="5"/>
      <c r="J3425" s="5" t="s">
        <v>19</v>
      </c>
      <c r="K3425" s="5" t="s">
        <v>20</v>
      </c>
      <c r="L3425" s="7" t="s">
        <v>9872</v>
      </c>
    </row>
    <row r="3426" customFormat="false" ht="15.65" hidden="false" customHeight="true" outlineLevel="0" collapsed="false">
      <c r="A3426" s="2" t="str">
        <f aca="false">HYPERLINK("https://www.fabsurplus.com/sdi_catalog/salesItemDetails.do?id=108788")</f>
        <v>https://www.fabsurplus.com/sdi_catalog/salesItemDetails.do?id=108788</v>
      </c>
      <c r="B3426" s="2" t="s">
        <v>9873</v>
      </c>
      <c r="C3426" s="2" t="s">
        <v>9869</v>
      </c>
      <c r="D3426" s="2" t="s">
        <v>9874</v>
      </c>
      <c r="E3426" s="2" t="s">
        <v>9875</v>
      </c>
      <c r="F3426" s="2" t="s">
        <v>16</v>
      </c>
      <c r="G3426" s="2" t="s">
        <v>388</v>
      </c>
      <c r="H3426" s="2" t="s">
        <v>18</v>
      </c>
      <c r="I3426" s="2"/>
      <c r="J3426" s="2" t="s">
        <v>19</v>
      </c>
      <c r="K3426" s="2" t="s">
        <v>20</v>
      </c>
      <c r="L3426" s="2"/>
    </row>
    <row r="3427" customFormat="false" ht="15.65" hidden="false" customHeight="true" outlineLevel="0" collapsed="false">
      <c r="A3427" s="5" t="str">
        <f aca="false">HYPERLINK("https://www.fabsurplus.com/sdi_catalog/salesItemDetails.do?id=109119")</f>
        <v>https://www.fabsurplus.com/sdi_catalog/salesItemDetails.do?id=109119</v>
      </c>
      <c r="B3427" s="5" t="s">
        <v>9876</v>
      </c>
      <c r="C3427" s="5" t="s">
        <v>9877</v>
      </c>
      <c r="D3427" s="5" t="s">
        <v>9878</v>
      </c>
      <c r="E3427" s="5" t="s">
        <v>9879</v>
      </c>
      <c r="F3427" s="5" t="s">
        <v>5998</v>
      </c>
      <c r="G3427" s="5" t="s">
        <v>61</v>
      </c>
      <c r="H3427" s="5" t="s">
        <v>18</v>
      </c>
      <c r="I3427" s="6" t="n">
        <v>40330</v>
      </c>
      <c r="J3427" s="5" t="s">
        <v>19</v>
      </c>
      <c r="K3427" s="5" t="s">
        <v>20</v>
      </c>
      <c r="L3427" s="5"/>
    </row>
    <row r="3428" customFormat="false" ht="15.65" hidden="false" customHeight="true" outlineLevel="0" collapsed="false">
      <c r="A3428" s="2" t="str">
        <f aca="false">HYPERLINK("https://www.fabsurplus.com/sdi_catalog/salesItemDetails.do?id=77159")</f>
        <v>https://www.fabsurplus.com/sdi_catalog/salesItemDetails.do?id=77159</v>
      </c>
      <c r="B3428" s="2" t="s">
        <v>9880</v>
      </c>
      <c r="C3428" s="2" t="s">
        <v>9881</v>
      </c>
      <c r="D3428" s="2" t="s">
        <v>9882</v>
      </c>
      <c r="E3428" s="2" t="s">
        <v>9883</v>
      </c>
      <c r="F3428" s="2" t="s">
        <v>16</v>
      </c>
      <c r="G3428" s="2" t="s">
        <v>104</v>
      </c>
      <c r="H3428" s="2" t="s">
        <v>1395</v>
      </c>
      <c r="I3428" s="2"/>
      <c r="J3428" s="2" t="s">
        <v>19</v>
      </c>
      <c r="K3428" s="2" t="s">
        <v>20</v>
      </c>
      <c r="L3428" s="4" t="s">
        <v>9884</v>
      </c>
    </row>
    <row r="3429" customFormat="false" ht="15.65" hidden="false" customHeight="true" outlineLevel="0" collapsed="false">
      <c r="A3429" s="5" t="str">
        <f aca="false">HYPERLINK("https://www.fabsurplus.com/sdi_catalog/salesItemDetails.do?id=108329")</f>
        <v>https://www.fabsurplus.com/sdi_catalog/salesItemDetails.do?id=108329</v>
      </c>
      <c r="B3429" s="5" t="s">
        <v>9885</v>
      </c>
      <c r="C3429" s="5" t="s">
        <v>9886</v>
      </c>
      <c r="D3429" s="5" t="s">
        <v>9887</v>
      </c>
      <c r="E3429" s="5" t="s">
        <v>7067</v>
      </c>
      <c r="F3429" s="5" t="s">
        <v>16</v>
      </c>
      <c r="G3429" s="5" t="s">
        <v>61</v>
      </c>
      <c r="H3429" s="5"/>
      <c r="I3429" s="5"/>
      <c r="J3429" s="5" t="s">
        <v>19</v>
      </c>
      <c r="K3429" s="5" t="s">
        <v>20</v>
      </c>
      <c r="L3429" s="7" t="s">
        <v>9888</v>
      </c>
    </row>
    <row r="3430" customFormat="false" ht="15.65" hidden="false" customHeight="true" outlineLevel="0" collapsed="false">
      <c r="A3430" s="2" t="str">
        <f aca="false">HYPERLINK("https://www.fabsurplus.com/sdi_catalog/salesItemDetails.do?id=108480")</f>
        <v>https://www.fabsurplus.com/sdi_catalog/salesItemDetails.do?id=108480</v>
      </c>
      <c r="B3430" s="2" t="s">
        <v>9889</v>
      </c>
      <c r="C3430" s="2" t="s">
        <v>9886</v>
      </c>
      <c r="D3430" s="2" t="s">
        <v>9887</v>
      </c>
      <c r="E3430" s="2" t="s">
        <v>7067</v>
      </c>
      <c r="F3430" s="2" t="s">
        <v>16</v>
      </c>
      <c r="G3430" s="2"/>
      <c r="H3430" s="2"/>
      <c r="I3430" s="2"/>
      <c r="J3430" s="2" t="s">
        <v>19</v>
      </c>
      <c r="K3430" s="2"/>
      <c r="L3430" s="2"/>
    </row>
    <row r="3431" customFormat="false" ht="15.65" hidden="false" customHeight="true" outlineLevel="0" collapsed="false">
      <c r="A3431" s="5" t="str">
        <f aca="false">HYPERLINK("https://www.fabsurplus.com/sdi_catalog/salesItemDetails.do?id=110359")</f>
        <v>https://www.fabsurplus.com/sdi_catalog/salesItemDetails.do?id=110359</v>
      </c>
      <c r="B3431" s="5" t="s">
        <v>9890</v>
      </c>
      <c r="C3431" s="5" t="s">
        <v>9891</v>
      </c>
      <c r="D3431" s="5" t="s">
        <v>9892</v>
      </c>
      <c r="E3431" s="5" t="s">
        <v>164</v>
      </c>
      <c r="F3431" s="5" t="s">
        <v>16</v>
      </c>
      <c r="G3431" s="5" t="s">
        <v>165</v>
      </c>
      <c r="H3431" s="5"/>
      <c r="I3431" s="5"/>
      <c r="J3431" s="5" t="s">
        <v>42</v>
      </c>
      <c r="K3431" s="5"/>
      <c r="L3431" s="5" t="s">
        <v>9893</v>
      </c>
    </row>
    <row r="3432" customFormat="false" ht="15.65" hidden="false" customHeight="true" outlineLevel="0" collapsed="false">
      <c r="A3432" s="2" t="str">
        <f aca="false">HYPERLINK("https://www.fabsurplus.com/sdi_catalog/salesItemDetails.do?id=110360")</f>
        <v>https://www.fabsurplus.com/sdi_catalog/salesItemDetails.do?id=110360</v>
      </c>
      <c r="B3432" s="2" t="s">
        <v>9894</v>
      </c>
      <c r="C3432" s="2" t="s">
        <v>9895</v>
      </c>
      <c r="D3432" s="2" t="s">
        <v>9896</v>
      </c>
      <c r="E3432" s="2" t="s">
        <v>763</v>
      </c>
      <c r="F3432" s="2" t="s">
        <v>16</v>
      </c>
      <c r="G3432" s="2" t="s">
        <v>165</v>
      </c>
      <c r="H3432" s="2"/>
      <c r="I3432" s="2"/>
      <c r="J3432" s="2" t="s">
        <v>42</v>
      </c>
      <c r="K3432" s="2"/>
      <c r="L3432" s="2" t="s">
        <v>9897</v>
      </c>
    </row>
    <row r="3433" customFormat="false" ht="15.65" hidden="false" customHeight="true" outlineLevel="0" collapsed="false">
      <c r="A3433" s="5" t="str">
        <f aca="false">HYPERLINK("https://www.fabsurplus.com/sdi_catalog/salesItemDetails.do?id=110361")</f>
        <v>https://www.fabsurplus.com/sdi_catalog/salesItemDetails.do?id=110361</v>
      </c>
      <c r="B3433" s="5" t="s">
        <v>9898</v>
      </c>
      <c r="C3433" s="5" t="s">
        <v>9895</v>
      </c>
      <c r="D3433" s="5" t="s">
        <v>9896</v>
      </c>
      <c r="E3433" s="5" t="s">
        <v>763</v>
      </c>
      <c r="F3433" s="5" t="s">
        <v>16</v>
      </c>
      <c r="G3433" s="5" t="s">
        <v>165</v>
      </c>
      <c r="H3433" s="5"/>
      <c r="I3433" s="5"/>
      <c r="J3433" s="5" t="s">
        <v>42</v>
      </c>
      <c r="K3433" s="5"/>
      <c r="L3433" s="5" t="s">
        <v>9897</v>
      </c>
    </row>
    <row r="3434" customFormat="false" ht="15.65" hidden="false" customHeight="true" outlineLevel="0" collapsed="false">
      <c r="A3434" s="2" t="str">
        <f aca="false">HYPERLINK("https://www.fabsurplus.com/sdi_catalog/salesItemDetails.do?id=110362")</f>
        <v>https://www.fabsurplus.com/sdi_catalog/salesItemDetails.do?id=110362</v>
      </c>
      <c r="B3434" s="2" t="s">
        <v>9899</v>
      </c>
      <c r="C3434" s="2" t="s">
        <v>9895</v>
      </c>
      <c r="D3434" s="2" t="s">
        <v>9896</v>
      </c>
      <c r="E3434" s="2" t="s">
        <v>763</v>
      </c>
      <c r="F3434" s="2" t="s">
        <v>16</v>
      </c>
      <c r="G3434" s="2" t="s">
        <v>165</v>
      </c>
      <c r="H3434" s="2"/>
      <c r="I3434" s="2"/>
      <c r="J3434" s="2" t="s">
        <v>42</v>
      </c>
      <c r="K3434" s="2"/>
      <c r="L3434" s="4" t="s">
        <v>9900</v>
      </c>
    </row>
    <row r="3435" customFormat="false" ht="15.65" hidden="false" customHeight="true" outlineLevel="0" collapsed="false">
      <c r="A3435" s="5" t="str">
        <f aca="false">HYPERLINK("https://www.fabsurplus.com/sdi_catalog/salesItemDetails.do?id=110363")</f>
        <v>https://www.fabsurplus.com/sdi_catalog/salesItemDetails.do?id=110363</v>
      </c>
      <c r="B3435" s="5" t="s">
        <v>9901</v>
      </c>
      <c r="C3435" s="5" t="s">
        <v>9895</v>
      </c>
      <c r="D3435" s="5" t="s">
        <v>9896</v>
      </c>
      <c r="E3435" s="5" t="s">
        <v>763</v>
      </c>
      <c r="F3435" s="5" t="s">
        <v>16</v>
      </c>
      <c r="G3435" s="5" t="s">
        <v>165</v>
      </c>
      <c r="H3435" s="5"/>
      <c r="I3435" s="5"/>
      <c r="J3435" s="5" t="s">
        <v>42</v>
      </c>
      <c r="K3435" s="5"/>
      <c r="L3435" s="7" t="s">
        <v>9902</v>
      </c>
    </row>
    <row r="3436" customFormat="false" ht="15.65" hidden="false" customHeight="true" outlineLevel="0" collapsed="false">
      <c r="A3436" s="2" t="str">
        <f aca="false">HYPERLINK("https://www.fabsurplus.com/sdi_catalog/salesItemDetails.do?id=110364")</f>
        <v>https://www.fabsurplus.com/sdi_catalog/salesItemDetails.do?id=110364</v>
      </c>
      <c r="B3436" s="2" t="s">
        <v>9903</v>
      </c>
      <c r="C3436" s="2" t="s">
        <v>9895</v>
      </c>
      <c r="D3436" s="2" t="s">
        <v>9904</v>
      </c>
      <c r="E3436" s="2" t="s">
        <v>164</v>
      </c>
      <c r="F3436" s="2" t="s">
        <v>16</v>
      </c>
      <c r="G3436" s="2" t="s">
        <v>165</v>
      </c>
      <c r="H3436" s="2"/>
      <c r="I3436" s="2"/>
      <c r="J3436" s="2" t="s">
        <v>42</v>
      </c>
      <c r="K3436" s="2"/>
      <c r="L3436" s="4" t="s">
        <v>9905</v>
      </c>
    </row>
    <row r="3437" customFormat="false" ht="15.65" hidden="false" customHeight="true" outlineLevel="0" collapsed="false">
      <c r="A3437" s="5" t="str">
        <f aca="false">HYPERLINK("https://www.fabsurplus.com/sdi_catalog/salesItemDetails.do?id=110365")</f>
        <v>https://www.fabsurplus.com/sdi_catalog/salesItemDetails.do?id=110365</v>
      </c>
      <c r="B3437" s="5" t="s">
        <v>9906</v>
      </c>
      <c r="C3437" s="5" t="s">
        <v>9895</v>
      </c>
      <c r="D3437" s="5" t="s">
        <v>9904</v>
      </c>
      <c r="E3437" s="5" t="s">
        <v>164</v>
      </c>
      <c r="F3437" s="5" t="s">
        <v>16</v>
      </c>
      <c r="G3437" s="5" t="s">
        <v>165</v>
      </c>
      <c r="H3437" s="5"/>
      <c r="I3437" s="5"/>
      <c r="J3437" s="5" t="s">
        <v>42</v>
      </c>
      <c r="K3437" s="5"/>
      <c r="L3437" s="7" t="s">
        <v>9905</v>
      </c>
    </row>
    <row r="3438" customFormat="false" ht="15.65" hidden="false" customHeight="true" outlineLevel="0" collapsed="false">
      <c r="A3438" s="2" t="str">
        <f aca="false">HYPERLINK("https://www.fabsurplus.com/sdi_catalog/salesItemDetails.do?id=110366")</f>
        <v>https://www.fabsurplus.com/sdi_catalog/salesItemDetails.do?id=110366</v>
      </c>
      <c r="B3438" s="2" t="s">
        <v>9907</v>
      </c>
      <c r="C3438" s="2" t="s">
        <v>9895</v>
      </c>
      <c r="D3438" s="2" t="s">
        <v>9904</v>
      </c>
      <c r="E3438" s="2" t="s">
        <v>164</v>
      </c>
      <c r="F3438" s="2" t="s">
        <v>16</v>
      </c>
      <c r="G3438" s="2" t="s">
        <v>165</v>
      </c>
      <c r="H3438" s="2"/>
      <c r="I3438" s="2"/>
      <c r="J3438" s="2" t="s">
        <v>42</v>
      </c>
      <c r="K3438" s="2"/>
      <c r="L3438" s="4" t="s">
        <v>9905</v>
      </c>
    </row>
    <row r="3439" customFormat="false" ht="15.65" hidden="false" customHeight="true" outlineLevel="0" collapsed="false">
      <c r="A3439" s="5" t="str">
        <f aca="false">HYPERLINK("https://www.fabsurplus.com/sdi_catalog/salesItemDetails.do?id=110367")</f>
        <v>https://www.fabsurplus.com/sdi_catalog/salesItemDetails.do?id=110367</v>
      </c>
      <c r="B3439" s="5" t="s">
        <v>9908</v>
      </c>
      <c r="C3439" s="5" t="s">
        <v>9895</v>
      </c>
      <c r="D3439" s="5" t="s">
        <v>9904</v>
      </c>
      <c r="E3439" s="5" t="s">
        <v>164</v>
      </c>
      <c r="F3439" s="5" t="s">
        <v>16</v>
      </c>
      <c r="G3439" s="5" t="s">
        <v>165</v>
      </c>
      <c r="H3439" s="5"/>
      <c r="I3439" s="5"/>
      <c r="J3439" s="5" t="s">
        <v>42</v>
      </c>
      <c r="K3439" s="5"/>
      <c r="L3439" s="7" t="s">
        <v>9905</v>
      </c>
    </row>
    <row r="3440" customFormat="false" ht="15.65" hidden="false" customHeight="true" outlineLevel="0" collapsed="false">
      <c r="A3440" s="2" t="str">
        <f aca="false">HYPERLINK("https://www.fabsurplus.com/sdi_catalog/salesItemDetails.do?id=110368")</f>
        <v>https://www.fabsurplus.com/sdi_catalog/salesItemDetails.do?id=110368</v>
      </c>
      <c r="B3440" s="2" t="s">
        <v>9909</v>
      </c>
      <c r="C3440" s="2" t="s">
        <v>9895</v>
      </c>
      <c r="D3440" s="2" t="s">
        <v>9904</v>
      </c>
      <c r="E3440" s="2" t="s">
        <v>164</v>
      </c>
      <c r="F3440" s="2" t="s">
        <v>16</v>
      </c>
      <c r="G3440" s="2" t="s">
        <v>165</v>
      </c>
      <c r="H3440" s="2"/>
      <c r="I3440" s="2"/>
      <c r="J3440" s="2" t="s">
        <v>42</v>
      </c>
      <c r="K3440" s="2"/>
      <c r="L3440" s="4" t="s">
        <v>9905</v>
      </c>
    </row>
    <row r="3441" customFormat="false" ht="15.65" hidden="false" customHeight="true" outlineLevel="0" collapsed="false">
      <c r="A3441" s="5" t="str">
        <f aca="false">HYPERLINK("https://www.fabsurplus.com/sdi_catalog/salesItemDetails.do?id=110369")</f>
        <v>https://www.fabsurplus.com/sdi_catalog/salesItemDetails.do?id=110369</v>
      </c>
      <c r="B3441" s="5" t="s">
        <v>9910</v>
      </c>
      <c r="C3441" s="5" t="s">
        <v>9895</v>
      </c>
      <c r="D3441" s="5" t="s">
        <v>9911</v>
      </c>
      <c r="E3441" s="5" t="s">
        <v>763</v>
      </c>
      <c r="F3441" s="5" t="s">
        <v>16</v>
      </c>
      <c r="G3441" s="5" t="s">
        <v>165</v>
      </c>
      <c r="H3441" s="5"/>
      <c r="I3441" s="5"/>
      <c r="J3441" s="5" t="s">
        <v>42</v>
      </c>
      <c r="K3441" s="5"/>
      <c r="L3441" s="7" t="s">
        <v>9912</v>
      </c>
    </row>
    <row r="3442" customFormat="false" ht="15.65" hidden="false" customHeight="true" outlineLevel="0" collapsed="false">
      <c r="A3442" s="2" t="str">
        <f aca="false">HYPERLINK("https://www.fabsurplus.com/sdi_catalog/salesItemDetails.do?id=110370")</f>
        <v>https://www.fabsurplus.com/sdi_catalog/salesItemDetails.do?id=110370</v>
      </c>
      <c r="B3442" s="2" t="s">
        <v>9913</v>
      </c>
      <c r="C3442" s="2" t="s">
        <v>9895</v>
      </c>
      <c r="D3442" s="2" t="s">
        <v>9911</v>
      </c>
      <c r="E3442" s="2" t="s">
        <v>763</v>
      </c>
      <c r="F3442" s="2" t="s">
        <v>16</v>
      </c>
      <c r="G3442" s="2" t="s">
        <v>165</v>
      </c>
      <c r="H3442" s="2"/>
      <c r="I3442" s="2"/>
      <c r="J3442" s="2" t="s">
        <v>42</v>
      </c>
      <c r="K3442" s="2"/>
      <c r="L3442" s="4" t="s">
        <v>9912</v>
      </c>
    </row>
    <row r="3443" customFormat="false" ht="15.65" hidden="false" customHeight="true" outlineLevel="0" collapsed="false">
      <c r="A3443" s="5" t="str">
        <f aca="false">HYPERLINK("https://www.fabsurplus.com/sdi_catalog/salesItemDetails.do?id=110371")</f>
        <v>https://www.fabsurplus.com/sdi_catalog/salesItemDetails.do?id=110371</v>
      </c>
      <c r="B3443" s="5" t="s">
        <v>9914</v>
      </c>
      <c r="C3443" s="5" t="s">
        <v>9895</v>
      </c>
      <c r="D3443" s="5" t="s">
        <v>9911</v>
      </c>
      <c r="E3443" s="5" t="s">
        <v>763</v>
      </c>
      <c r="F3443" s="5" t="s">
        <v>16</v>
      </c>
      <c r="G3443" s="5" t="s">
        <v>165</v>
      </c>
      <c r="H3443" s="5"/>
      <c r="I3443" s="5"/>
      <c r="J3443" s="5" t="s">
        <v>42</v>
      </c>
      <c r="K3443" s="5"/>
      <c r="L3443" s="7" t="s">
        <v>9912</v>
      </c>
    </row>
    <row r="3444" customFormat="false" ht="15.65" hidden="false" customHeight="true" outlineLevel="0" collapsed="false">
      <c r="A3444" s="2" t="str">
        <f aca="false">HYPERLINK("https://www.fabsurplus.com/sdi_catalog/salesItemDetails.do?id=110372")</f>
        <v>https://www.fabsurplus.com/sdi_catalog/salesItemDetails.do?id=110372</v>
      </c>
      <c r="B3444" s="2" t="s">
        <v>9915</v>
      </c>
      <c r="C3444" s="2" t="s">
        <v>9895</v>
      </c>
      <c r="D3444" s="2" t="s">
        <v>9911</v>
      </c>
      <c r="E3444" s="2" t="s">
        <v>763</v>
      </c>
      <c r="F3444" s="2" t="s">
        <v>16</v>
      </c>
      <c r="G3444" s="2" t="s">
        <v>165</v>
      </c>
      <c r="H3444" s="2"/>
      <c r="I3444" s="2"/>
      <c r="J3444" s="2" t="s">
        <v>42</v>
      </c>
      <c r="K3444" s="2"/>
      <c r="L3444" s="4" t="s">
        <v>9912</v>
      </c>
    </row>
    <row r="3445" customFormat="false" ht="15.65" hidden="false" customHeight="true" outlineLevel="0" collapsed="false">
      <c r="A3445" s="5" t="str">
        <f aca="false">HYPERLINK("https://www.fabsurplus.com/sdi_catalog/salesItemDetails.do?id=110373")</f>
        <v>https://www.fabsurplus.com/sdi_catalog/salesItemDetails.do?id=110373</v>
      </c>
      <c r="B3445" s="5" t="s">
        <v>9916</v>
      </c>
      <c r="C3445" s="5" t="s">
        <v>9895</v>
      </c>
      <c r="D3445" s="5" t="s">
        <v>9911</v>
      </c>
      <c r="E3445" s="5" t="s">
        <v>763</v>
      </c>
      <c r="F3445" s="5" t="s">
        <v>16</v>
      </c>
      <c r="G3445" s="5" t="s">
        <v>165</v>
      </c>
      <c r="H3445" s="5"/>
      <c r="I3445" s="5"/>
      <c r="J3445" s="5" t="s">
        <v>42</v>
      </c>
      <c r="K3445" s="5"/>
      <c r="L3445" s="5" t="s">
        <v>9917</v>
      </c>
    </row>
    <row r="3446" customFormat="false" ht="15.65" hidden="false" customHeight="true" outlineLevel="0" collapsed="false">
      <c r="A3446" s="2" t="str">
        <f aca="false">HYPERLINK("https://www.fabsurplus.com/sdi_catalog/salesItemDetails.do?id=110374")</f>
        <v>https://www.fabsurplus.com/sdi_catalog/salesItemDetails.do?id=110374</v>
      </c>
      <c r="B3446" s="2" t="s">
        <v>9918</v>
      </c>
      <c r="C3446" s="2" t="s">
        <v>9895</v>
      </c>
      <c r="D3446" s="2" t="s">
        <v>9911</v>
      </c>
      <c r="E3446" s="2" t="s">
        <v>763</v>
      </c>
      <c r="F3446" s="2" t="s">
        <v>16</v>
      </c>
      <c r="G3446" s="2" t="s">
        <v>165</v>
      </c>
      <c r="H3446" s="2"/>
      <c r="I3446" s="2"/>
      <c r="J3446" s="2" t="s">
        <v>42</v>
      </c>
      <c r="K3446" s="2"/>
      <c r="L3446" s="4" t="s">
        <v>9912</v>
      </c>
    </row>
    <row r="3447" customFormat="false" ht="15.65" hidden="false" customHeight="true" outlineLevel="0" collapsed="false">
      <c r="A3447" s="5" t="str">
        <f aca="false">HYPERLINK("https://www.fabsurplus.com/sdi_catalog/salesItemDetails.do?id=110375")</f>
        <v>https://www.fabsurplus.com/sdi_catalog/salesItemDetails.do?id=110375</v>
      </c>
      <c r="B3447" s="5" t="s">
        <v>9919</v>
      </c>
      <c r="C3447" s="5" t="s">
        <v>9895</v>
      </c>
      <c r="D3447" s="5" t="s">
        <v>9911</v>
      </c>
      <c r="E3447" s="5" t="s">
        <v>763</v>
      </c>
      <c r="F3447" s="5" t="s">
        <v>16</v>
      </c>
      <c r="G3447" s="5" t="s">
        <v>165</v>
      </c>
      <c r="H3447" s="5"/>
      <c r="I3447" s="5"/>
      <c r="J3447" s="5" t="s">
        <v>42</v>
      </c>
      <c r="K3447" s="5"/>
      <c r="L3447" s="5" t="s">
        <v>9917</v>
      </c>
    </row>
    <row r="3448" customFormat="false" ht="15.65" hidden="false" customHeight="true" outlineLevel="0" collapsed="false">
      <c r="A3448" s="2" t="str">
        <f aca="false">HYPERLINK("https://www.fabsurplus.com/sdi_catalog/salesItemDetails.do?id=110376")</f>
        <v>https://www.fabsurplus.com/sdi_catalog/salesItemDetails.do?id=110376</v>
      </c>
      <c r="B3448" s="2" t="s">
        <v>9920</v>
      </c>
      <c r="C3448" s="2" t="s">
        <v>9895</v>
      </c>
      <c r="D3448" s="2" t="s">
        <v>9911</v>
      </c>
      <c r="E3448" s="2" t="s">
        <v>763</v>
      </c>
      <c r="F3448" s="2" t="s">
        <v>16</v>
      </c>
      <c r="G3448" s="2" t="s">
        <v>165</v>
      </c>
      <c r="H3448" s="2"/>
      <c r="I3448" s="2"/>
      <c r="J3448" s="2" t="s">
        <v>42</v>
      </c>
      <c r="K3448" s="2"/>
      <c r="L3448" s="4" t="s">
        <v>9912</v>
      </c>
    </row>
    <row r="3449" customFormat="false" ht="15.65" hidden="false" customHeight="true" outlineLevel="0" collapsed="false">
      <c r="A3449" s="5" t="str">
        <f aca="false">HYPERLINK("https://www.fabsurplus.com/sdi_catalog/salesItemDetails.do?id=110377")</f>
        <v>https://www.fabsurplus.com/sdi_catalog/salesItemDetails.do?id=110377</v>
      </c>
      <c r="B3449" s="5" t="s">
        <v>9921</v>
      </c>
      <c r="C3449" s="5" t="s">
        <v>9895</v>
      </c>
      <c r="D3449" s="5" t="s">
        <v>9911</v>
      </c>
      <c r="E3449" s="5" t="s">
        <v>763</v>
      </c>
      <c r="F3449" s="5" t="s">
        <v>16</v>
      </c>
      <c r="G3449" s="5" t="s">
        <v>165</v>
      </c>
      <c r="H3449" s="5"/>
      <c r="I3449" s="5"/>
      <c r="J3449" s="5" t="s">
        <v>42</v>
      </c>
      <c r="K3449" s="5"/>
      <c r="L3449" s="7" t="s">
        <v>9912</v>
      </c>
    </row>
    <row r="3450" customFormat="false" ht="15.65" hidden="false" customHeight="true" outlineLevel="0" collapsed="false">
      <c r="A3450" s="2" t="str">
        <f aca="false">HYPERLINK("https://www.fabsurplus.com/sdi_catalog/salesItemDetails.do?id=110378")</f>
        <v>https://www.fabsurplus.com/sdi_catalog/salesItemDetails.do?id=110378</v>
      </c>
      <c r="B3450" s="2" t="s">
        <v>9922</v>
      </c>
      <c r="C3450" s="2" t="s">
        <v>9895</v>
      </c>
      <c r="D3450" s="2" t="s">
        <v>9911</v>
      </c>
      <c r="E3450" s="2" t="s">
        <v>763</v>
      </c>
      <c r="F3450" s="2" t="s">
        <v>16</v>
      </c>
      <c r="G3450" s="2" t="s">
        <v>165</v>
      </c>
      <c r="H3450" s="2"/>
      <c r="I3450" s="2"/>
      <c r="J3450" s="2" t="s">
        <v>42</v>
      </c>
      <c r="K3450" s="2"/>
      <c r="L3450" s="4" t="s">
        <v>9912</v>
      </c>
    </row>
    <row r="3451" customFormat="false" ht="15.65" hidden="false" customHeight="true" outlineLevel="0" collapsed="false">
      <c r="A3451" s="5" t="str">
        <f aca="false">HYPERLINK("https://www.fabsurplus.com/sdi_catalog/salesItemDetails.do?id=110379")</f>
        <v>https://www.fabsurplus.com/sdi_catalog/salesItemDetails.do?id=110379</v>
      </c>
      <c r="B3451" s="5" t="s">
        <v>9923</v>
      </c>
      <c r="C3451" s="5" t="s">
        <v>9895</v>
      </c>
      <c r="D3451" s="5" t="s">
        <v>9911</v>
      </c>
      <c r="E3451" s="5" t="s">
        <v>763</v>
      </c>
      <c r="F3451" s="5" t="s">
        <v>16</v>
      </c>
      <c r="G3451" s="5" t="s">
        <v>165</v>
      </c>
      <c r="H3451" s="5"/>
      <c r="I3451" s="5"/>
      <c r="J3451" s="5" t="s">
        <v>42</v>
      </c>
      <c r="K3451" s="5"/>
      <c r="L3451" s="7" t="s">
        <v>9912</v>
      </c>
    </row>
    <row r="3452" customFormat="false" ht="15.65" hidden="false" customHeight="true" outlineLevel="0" collapsed="false">
      <c r="A3452" s="2" t="str">
        <f aca="false">HYPERLINK("https://www.fabsurplus.com/sdi_catalog/salesItemDetails.do?id=110380")</f>
        <v>https://www.fabsurplus.com/sdi_catalog/salesItemDetails.do?id=110380</v>
      </c>
      <c r="B3452" s="2" t="s">
        <v>9924</v>
      </c>
      <c r="C3452" s="2" t="s">
        <v>9895</v>
      </c>
      <c r="D3452" s="2" t="s">
        <v>9911</v>
      </c>
      <c r="E3452" s="2" t="s">
        <v>763</v>
      </c>
      <c r="F3452" s="2" t="s">
        <v>16</v>
      </c>
      <c r="G3452" s="2" t="s">
        <v>165</v>
      </c>
      <c r="H3452" s="2"/>
      <c r="I3452" s="2"/>
      <c r="J3452" s="2" t="s">
        <v>42</v>
      </c>
      <c r="K3452" s="2"/>
      <c r="L3452" s="4" t="s">
        <v>9912</v>
      </c>
    </row>
    <row r="3453" customFormat="false" ht="15.65" hidden="false" customHeight="true" outlineLevel="0" collapsed="false">
      <c r="A3453" s="5" t="str">
        <f aca="false">HYPERLINK("https://www.fabsurplus.com/sdi_catalog/salesItemDetails.do?id=110381")</f>
        <v>https://www.fabsurplus.com/sdi_catalog/salesItemDetails.do?id=110381</v>
      </c>
      <c r="B3453" s="5" t="s">
        <v>9925</v>
      </c>
      <c r="C3453" s="5" t="s">
        <v>9895</v>
      </c>
      <c r="D3453" s="5" t="s">
        <v>9926</v>
      </c>
      <c r="E3453" s="5" t="s">
        <v>763</v>
      </c>
      <c r="F3453" s="5" t="s">
        <v>16</v>
      </c>
      <c r="G3453" s="5" t="s">
        <v>165</v>
      </c>
      <c r="H3453" s="5"/>
      <c r="I3453" s="5"/>
      <c r="J3453" s="5" t="s">
        <v>42</v>
      </c>
      <c r="K3453" s="5"/>
      <c r="L3453" s="7" t="s">
        <v>9927</v>
      </c>
    </row>
    <row r="3454" customFormat="false" ht="15.65" hidden="false" customHeight="true" outlineLevel="0" collapsed="false">
      <c r="A3454" s="2" t="str">
        <f aca="false">HYPERLINK("https://www.fabsurplus.com/sdi_catalog/salesItemDetails.do?id=110382")</f>
        <v>https://www.fabsurplus.com/sdi_catalog/salesItemDetails.do?id=110382</v>
      </c>
      <c r="B3454" s="2" t="s">
        <v>9928</v>
      </c>
      <c r="C3454" s="2" t="s">
        <v>9895</v>
      </c>
      <c r="D3454" s="2" t="s">
        <v>9929</v>
      </c>
      <c r="E3454" s="2" t="s">
        <v>763</v>
      </c>
      <c r="F3454" s="2" t="s">
        <v>16</v>
      </c>
      <c r="G3454" s="2" t="s">
        <v>165</v>
      </c>
      <c r="H3454" s="2"/>
      <c r="I3454" s="2"/>
      <c r="J3454" s="2" t="s">
        <v>42</v>
      </c>
      <c r="K3454" s="2"/>
      <c r="L3454" s="4" t="s">
        <v>9930</v>
      </c>
    </row>
    <row r="3455" customFormat="false" ht="15.65" hidden="false" customHeight="true" outlineLevel="0" collapsed="false">
      <c r="A3455" s="5" t="str">
        <f aca="false">HYPERLINK("https://www.fabsurplus.com/sdi_catalog/salesItemDetails.do?id=110383")</f>
        <v>https://www.fabsurplus.com/sdi_catalog/salesItemDetails.do?id=110383</v>
      </c>
      <c r="B3455" s="5" t="s">
        <v>9931</v>
      </c>
      <c r="C3455" s="5" t="s">
        <v>9895</v>
      </c>
      <c r="D3455" s="5" t="s">
        <v>9932</v>
      </c>
      <c r="E3455" s="5" t="s">
        <v>763</v>
      </c>
      <c r="F3455" s="5" t="s">
        <v>16</v>
      </c>
      <c r="G3455" s="5" t="s">
        <v>165</v>
      </c>
      <c r="H3455" s="5"/>
      <c r="I3455" s="5"/>
      <c r="J3455" s="5" t="s">
        <v>42</v>
      </c>
      <c r="K3455" s="5"/>
      <c r="L3455" s="5" t="s">
        <v>9933</v>
      </c>
    </row>
    <row r="3456" customFormat="false" ht="15.65" hidden="false" customHeight="true" outlineLevel="0" collapsed="false">
      <c r="A3456" s="2" t="str">
        <f aca="false">HYPERLINK("https://www.fabsurplus.com/sdi_catalog/salesItemDetails.do?id=110384")</f>
        <v>https://www.fabsurplus.com/sdi_catalog/salesItemDetails.do?id=110384</v>
      </c>
      <c r="B3456" s="2" t="s">
        <v>9934</v>
      </c>
      <c r="C3456" s="2" t="s">
        <v>9895</v>
      </c>
      <c r="D3456" s="2" t="s">
        <v>9935</v>
      </c>
      <c r="E3456" s="2" t="s">
        <v>763</v>
      </c>
      <c r="F3456" s="2" t="s">
        <v>16</v>
      </c>
      <c r="G3456" s="2" t="s">
        <v>165</v>
      </c>
      <c r="H3456" s="2"/>
      <c r="I3456" s="2"/>
      <c r="J3456" s="2" t="s">
        <v>42</v>
      </c>
      <c r="K3456" s="2"/>
      <c r="L3456" s="4" t="s">
        <v>9936</v>
      </c>
    </row>
    <row r="3457" customFormat="false" ht="15.65" hidden="false" customHeight="true" outlineLevel="0" collapsed="false">
      <c r="A3457" s="5" t="str">
        <f aca="false">HYPERLINK("https://www.fabsurplus.com/sdi_catalog/salesItemDetails.do?id=110385")</f>
        <v>https://www.fabsurplus.com/sdi_catalog/salesItemDetails.do?id=110385</v>
      </c>
      <c r="B3457" s="5" t="s">
        <v>9937</v>
      </c>
      <c r="C3457" s="5" t="s">
        <v>9895</v>
      </c>
      <c r="D3457" s="5" t="s">
        <v>9938</v>
      </c>
      <c r="E3457" s="5" t="s">
        <v>763</v>
      </c>
      <c r="F3457" s="5" t="s">
        <v>16</v>
      </c>
      <c r="G3457" s="5" t="s">
        <v>165</v>
      </c>
      <c r="H3457" s="5"/>
      <c r="I3457" s="5"/>
      <c r="J3457" s="5" t="s">
        <v>42</v>
      </c>
      <c r="K3457" s="5"/>
      <c r="L3457" s="7" t="s">
        <v>9936</v>
      </c>
    </row>
    <row r="3458" customFormat="false" ht="15.65" hidden="false" customHeight="true" outlineLevel="0" collapsed="false">
      <c r="A3458" s="2" t="str">
        <f aca="false">HYPERLINK("https://www.fabsurplus.com/sdi_catalog/salesItemDetails.do?id=110386")</f>
        <v>https://www.fabsurplus.com/sdi_catalog/salesItemDetails.do?id=110386</v>
      </c>
      <c r="B3458" s="2" t="s">
        <v>9939</v>
      </c>
      <c r="C3458" s="2" t="s">
        <v>9895</v>
      </c>
      <c r="D3458" s="2" t="s">
        <v>9940</v>
      </c>
      <c r="E3458" s="2" t="s">
        <v>763</v>
      </c>
      <c r="F3458" s="2" t="s">
        <v>16</v>
      </c>
      <c r="G3458" s="2" t="s">
        <v>165</v>
      </c>
      <c r="H3458" s="2"/>
      <c r="I3458" s="2"/>
      <c r="J3458" s="2" t="s">
        <v>42</v>
      </c>
      <c r="K3458" s="2"/>
      <c r="L3458" s="2" t="s">
        <v>9941</v>
      </c>
    </row>
    <row r="3459" customFormat="false" ht="15.65" hidden="false" customHeight="true" outlineLevel="0" collapsed="false">
      <c r="A3459" s="5" t="str">
        <f aca="false">HYPERLINK("https://www.fabsurplus.com/sdi_catalog/salesItemDetails.do?id=110387")</f>
        <v>https://www.fabsurplus.com/sdi_catalog/salesItemDetails.do?id=110387</v>
      </c>
      <c r="B3459" s="5" t="s">
        <v>9942</v>
      </c>
      <c r="C3459" s="5" t="s">
        <v>9895</v>
      </c>
      <c r="D3459" s="5" t="s">
        <v>9943</v>
      </c>
      <c r="E3459" s="5" t="s">
        <v>763</v>
      </c>
      <c r="F3459" s="5" t="s">
        <v>16</v>
      </c>
      <c r="G3459" s="5" t="s">
        <v>165</v>
      </c>
      <c r="H3459" s="5"/>
      <c r="I3459" s="5"/>
      <c r="J3459" s="5" t="s">
        <v>42</v>
      </c>
      <c r="K3459" s="5"/>
      <c r="L3459" s="7" t="s">
        <v>9944</v>
      </c>
    </row>
    <row r="3460" customFormat="false" ht="15.65" hidden="false" customHeight="true" outlineLevel="0" collapsed="false">
      <c r="A3460" s="2" t="str">
        <f aca="false">HYPERLINK("https://www.fabsurplus.com/sdi_catalog/salesItemDetails.do?id=110388")</f>
        <v>https://www.fabsurplus.com/sdi_catalog/salesItemDetails.do?id=110388</v>
      </c>
      <c r="B3460" s="2" t="s">
        <v>9945</v>
      </c>
      <c r="C3460" s="2" t="s">
        <v>9946</v>
      </c>
      <c r="D3460" s="2" t="s">
        <v>9947</v>
      </c>
      <c r="E3460" s="2" t="s">
        <v>763</v>
      </c>
      <c r="F3460" s="2" t="s">
        <v>16</v>
      </c>
      <c r="G3460" s="2" t="s">
        <v>165</v>
      </c>
      <c r="H3460" s="2"/>
      <c r="I3460" s="2"/>
      <c r="J3460" s="2" t="s">
        <v>42</v>
      </c>
      <c r="K3460" s="2"/>
      <c r="L3460" s="4" t="s">
        <v>9948</v>
      </c>
    </row>
    <row r="3461" customFormat="false" ht="15.65" hidden="false" customHeight="true" outlineLevel="0" collapsed="false">
      <c r="A3461" s="5" t="str">
        <f aca="false">HYPERLINK("https://www.fabsurplus.com/sdi_catalog/salesItemDetails.do?id=110389")</f>
        <v>https://www.fabsurplus.com/sdi_catalog/salesItemDetails.do?id=110389</v>
      </c>
      <c r="B3461" s="5" t="s">
        <v>9949</v>
      </c>
      <c r="C3461" s="5" t="s">
        <v>9895</v>
      </c>
      <c r="D3461" s="5" t="s">
        <v>9950</v>
      </c>
      <c r="E3461" s="5" t="s">
        <v>763</v>
      </c>
      <c r="F3461" s="5" t="s">
        <v>16</v>
      </c>
      <c r="G3461" s="5" t="s">
        <v>165</v>
      </c>
      <c r="H3461" s="5"/>
      <c r="I3461" s="5"/>
      <c r="J3461" s="5" t="s">
        <v>42</v>
      </c>
      <c r="K3461" s="5"/>
      <c r="L3461" s="7" t="s">
        <v>9951</v>
      </c>
    </row>
    <row r="3462" customFormat="false" ht="15.65" hidden="false" customHeight="true" outlineLevel="0" collapsed="false">
      <c r="A3462" s="2" t="str">
        <f aca="false">HYPERLINK("https://www.fabsurplus.com/sdi_catalog/salesItemDetails.do?id=110390")</f>
        <v>https://www.fabsurplus.com/sdi_catalog/salesItemDetails.do?id=110390</v>
      </c>
      <c r="B3462" s="2" t="s">
        <v>9952</v>
      </c>
      <c r="C3462" s="2" t="s">
        <v>9895</v>
      </c>
      <c r="D3462" s="2" t="s">
        <v>9953</v>
      </c>
      <c r="E3462" s="2" t="s">
        <v>763</v>
      </c>
      <c r="F3462" s="2" t="s">
        <v>16</v>
      </c>
      <c r="G3462" s="2" t="s">
        <v>165</v>
      </c>
      <c r="H3462" s="2"/>
      <c r="I3462" s="2"/>
      <c r="J3462" s="2" t="s">
        <v>42</v>
      </c>
      <c r="K3462" s="2"/>
      <c r="L3462" s="2" t="s">
        <v>9954</v>
      </c>
    </row>
    <row r="3463" customFormat="false" ht="15.65" hidden="false" customHeight="true" outlineLevel="0" collapsed="false">
      <c r="A3463" s="5" t="str">
        <f aca="false">HYPERLINK("https://www.fabsurplus.com/sdi_catalog/salesItemDetails.do?id=110391")</f>
        <v>https://www.fabsurplus.com/sdi_catalog/salesItemDetails.do?id=110391</v>
      </c>
      <c r="B3463" s="5" t="s">
        <v>9955</v>
      </c>
      <c r="C3463" s="5" t="s">
        <v>9895</v>
      </c>
      <c r="D3463" s="5" t="s">
        <v>9953</v>
      </c>
      <c r="E3463" s="5" t="s">
        <v>763</v>
      </c>
      <c r="F3463" s="5" t="s">
        <v>16</v>
      </c>
      <c r="G3463" s="5" t="s">
        <v>165</v>
      </c>
      <c r="H3463" s="5"/>
      <c r="I3463" s="5"/>
      <c r="J3463" s="5" t="s">
        <v>42</v>
      </c>
      <c r="K3463" s="5"/>
      <c r="L3463" s="5" t="s">
        <v>9954</v>
      </c>
    </row>
    <row r="3464" customFormat="false" ht="15.65" hidden="false" customHeight="true" outlineLevel="0" collapsed="false">
      <c r="A3464" s="2" t="str">
        <f aca="false">HYPERLINK("https://www.fabsurplus.com/sdi_catalog/salesItemDetails.do?id=110392")</f>
        <v>https://www.fabsurplus.com/sdi_catalog/salesItemDetails.do?id=110392</v>
      </c>
      <c r="B3464" s="2" t="s">
        <v>9956</v>
      </c>
      <c r="C3464" s="2" t="s">
        <v>9895</v>
      </c>
      <c r="D3464" s="2" t="s">
        <v>9953</v>
      </c>
      <c r="E3464" s="2" t="s">
        <v>763</v>
      </c>
      <c r="F3464" s="2" t="s">
        <v>16</v>
      </c>
      <c r="G3464" s="2" t="s">
        <v>165</v>
      </c>
      <c r="H3464" s="2"/>
      <c r="I3464" s="2"/>
      <c r="J3464" s="2" t="s">
        <v>42</v>
      </c>
      <c r="K3464" s="2"/>
      <c r="L3464" s="4" t="s">
        <v>9957</v>
      </c>
    </row>
    <row r="3465" customFormat="false" ht="15.65" hidden="false" customHeight="true" outlineLevel="0" collapsed="false">
      <c r="A3465" s="5" t="str">
        <f aca="false">HYPERLINK("https://www.fabsurplus.com/sdi_catalog/salesItemDetails.do?id=110393")</f>
        <v>https://www.fabsurplus.com/sdi_catalog/salesItemDetails.do?id=110393</v>
      </c>
      <c r="B3465" s="5" t="s">
        <v>9958</v>
      </c>
      <c r="C3465" s="5" t="s">
        <v>9895</v>
      </c>
      <c r="D3465" s="5" t="s">
        <v>9953</v>
      </c>
      <c r="E3465" s="5" t="s">
        <v>763</v>
      </c>
      <c r="F3465" s="5" t="s">
        <v>16</v>
      </c>
      <c r="G3465" s="5" t="s">
        <v>165</v>
      </c>
      <c r="H3465" s="5"/>
      <c r="I3465" s="5"/>
      <c r="J3465" s="5" t="s">
        <v>42</v>
      </c>
      <c r="K3465" s="5"/>
      <c r="L3465" s="7" t="s">
        <v>9959</v>
      </c>
    </row>
    <row r="3466" customFormat="false" ht="15.65" hidden="false" customHeight="true" outlineLevel="0" collapsed="false">
      <c r="A3466" s="2" t="str">
        <f aca="false">HYPERLINK("https://www.fabsurplus.com/sdi_catalog/salesItemDetails.do?id=110394")</f>
        <v>https://www.fabsurplus.com/sdi_catalog/salesItemDetails.do?id=110394</v>
      </c>
      <c r="B3466" s="2" t="s">
        <v>9960</v>
      </c>
      <c r="C3466" s="2" t="s">
        <v>9895</v>
      </c>
      <c r="D3466" s="2" t="s">
        <v>9953</v>
      </c>
      <c r="E3466" s="2" t="s">
        <v>763</v>
      </c>
      <c r="F3466" s="2" t="s">
        <v>16</v>
      </c>
      <c r="G3466" s="2" t="s">
        <v>165</v>
      </c>
      <c r="H3466" s="2"/>
      <c r="I3466" s="2"/>
      <c r="J3466" s="2" t="s">
        <v>42</v>
      </c>
      <c r="K3466" s="2"/>
      <c r="L3466" s="4" t="s">
        <v>9959</v>
      </c>
    </row>
    <row r="3467" customFormat="false" ht="15.65" hidden="false" customHeight="true" outlineLevel="0" collapsed="false">
      <c r="A3467" s="5" t="str">
        <f aca="false">HYPERLINK("https://www.fabsurplus.com/sdi_catalog/salesItemDetails.do?id=110395")</f>
        <v>https://www.fabsurplus.com/sdi_catalog/salesItemDetails.do?id=110395</v>
      </c>
      <c r="B3467" s="5" t="s">
        <v>9961</v>
      </c>
      <c r="C3467" s="5" t="s">
        <v>9895</v>
      </c>
      <c r="D3467" s="5" t="s">
        <v>9953</v>
      </c>
      <c r="E3467" s="5" t="s">
        <v>763</v>
      </c>
      <c r="F3467" s="5" t="s">
        <v>16</v>
      </c>
      <c r="G3467" s="5" t="s">
        <v>165</v>
      </c>
      <c r="H3467" s="5"/>
      <c r="I3467" s="5"/>
      <c r="J3467" s="5" t="s">
        <v>42</v>
      </c>
      <c r="K3467" s="5"/>
      <c r="L3467" s="7" t="s">
        <v>9959</v>
      </c>
    </row>
    <row r="3468" customFormat="false" ht="15.65" hidden="false" customHeight="true" outlineLevel="0" collapsed="false">
      <c r="A3468" s="2" t="str">
        <f aca="false">HYPERLINK("https://www.fabsurplus.com/sdi_catalog/salesItemDetails.do?id=110396")</f>
        <v>https://www.fabsurplus.com/sdi_catalog/salesItemDetails.do?id=110396</v>
      </c>
      <c r="B3468" s="2" t="s">
        <v>9962</v>
      </c>
      <c r="C3468" s="2" t="s">
        <v>9895</v>
      </c>
      <c r="D3468" s="2" t="s">
        <v>9953</v>
      </c>
      <c r="E3468" s="2" t="s">
        <v>763</v>
      </c>
      <c r="F3468" s="2" t="s">
        <v>16</v>
      </c>
      <c r="G3468" s="2" t="s">
        <v>165</v>
      </c>
      <c r="H3468" s="2"/>
      <c r="I3468" s="2"/>
      <c r="J3468" s="2" t="s">
        <v>42</v>
      </c>
      <c r="K3468" s="2"/>
      <c r="L3468" s="4" t="s">
        <v>9959</v>
      </c>
    </row>
    <row r="3469" customFormat="false" ht="15.65" hidden="false" customHeight="true" outlineLevel="0" collapsed="false">
      <c r="A3469" s="5" t="str">
        <f aca="false">HYPERLINK("https://www.fabsurplus.com/sdi_catalog/salesItemDetails.do?id=110397")</f>
        <v>https://www.fabsurplus.com/sdi_catalog/salesItemDetails.do?id=110397</v>
      </c>
      <c r="B3469" s="5" t="s">
        <v>9963</v>
      </c>
      <c r="C3469" s="5" t="s">
        <v>9895</v>
      </c>
      <c r="D3469" s="5" t="s">
        <v>9964</v>
      </c>
      <c r="E3469" s="5" t="s">
        <v>763</v>
      </c>
      <c r="F3469" s="5" t="s">
        <v>16</v>
      </c>
      <c r="G3469" s="5" t="s">
        <v>165</v>
      </c>
      <c r="H3469" s="5"/>
      <c r="I3469" s="5"/>
      <c r="J3469" s="5" t="s">
        <v>42</v>
      </c>
      <c r="K3469" s="5"/>
      <c r="L3469" s="5" t="s">
        <v>9954</v>
      </c>
    </row>
    <row r="3470" customFormat="false" ht="15.65" hidden="false" customHeight="true" outlineLevel="0" collapsed="false">
      <c r="A3470" s="2" t="str">
        <f aca="false">HYPERLINK("https://www.fabsurplus.com/sdi_catalog/salesItemDetails.do?id=110398")</f>
        <v>https://www.fabsurplus.com/sdi_catalog/salesItemDetails.do?id=110398</v>
      </c>
      <c r="B3470" s="2" t="s">
        <v>9965</v>
      </c>
      <c r="C3470" s="2" t="s">
        <v>9895</v>
      </c>
      <c r="D3470" s="2" t="s">
        <v>9966</v>
      </c>
      <c r="E3470" s="2" t="s">
        <v>763</v>
      </c>
      <c r="F3470" s="2" t="s">
        <v>16</v>
      </c>
      <c r="G3470" s="2" t="s">
        <v>165</v>
      </c>
      <c r="H3470" s="2"/>
      <c r="I3470" s="2"/>
      <c r="J3470" s="2" t="s">
        <v>42</v>
      </c>
      <c r="K3470" s="2"/>
      <c r="L3470" s="2" t="s">
        <v>9967</v>
      </c>
    </row>
    <row r="3471" customFormat="false" ht="15.65" hidden="false" customHeight="true" outlineLevel="0" collapsed="false">
      <c r="A3471" s="5" t="str">
        <f aca="false">HYPERLINK("https://www.fabsurplus.com/sdi_catalog/salesItemDetails.do?id=110399")</f>
        <v>https://www.fabsurplus.com/sdi_catalog/salesItemDetails.do?id=110399</v>
      </c>
      <c r="B3471" s="5" t="s">
        <v>9968</v>
      </c>
      <c r="C3471" s="5" t="s">
        <v>9895</v>
      </c>
      <c r="D3471" s="5" t="s">
        <v>9969</v>
      </c>
      <c r="E3471" s="5" t="s">
        <v>164</v>
      </c>
      <c r="F3471" s="5" t="s">
        <v>16</v>
      </c>
      <c r="G3471" s="5" t="s">
        <v>165</v>
      </c>
      <c r="H3471" s="5"/>
      <c r="I3471" s="5"/>
      <c r="J3471" s="5" t="s">
        <v>42</v>
      </c>
      <c r="K3471" s="5"/>
      <c r="L3471" s="7" t="s">
        <v>9905</v>
      </c>
    </row>
    <row r="3472" customFormat="false" ht="15.65" hidden="false" customHeight="true" outlineLevel="0" collapsed="false">
      <c r="A3472" s="2" t="str">
        <f aca="false">HYPERLINK("https://www.fabsurplus.com/sdi_catalog/salesItemDetails.do?id=110400")</f>
        <v>https://www.fabsurplus.com/sdi_catalog/salesItemDetails.do?id=110400</v>
      </c>
      <c r="B3472" s="2" t="s">
        <v>9970</v>
      </c>
      <c r="C3472" s="2" t="s">
        <v>9895</v>
      </c>
      <c r="D3472" s="2" t="s">
        <v>9969</v>
      </c>
      <c r="E3472" s="2" t="s">
        <v>164</v>
      </c>
      <c r="F3472" s="2" t="s">
        <v>16</v>
      </c>
      <c r="G3472" s="2" t="s">
        <v>165</v>
      </c>
      <c r="H3472" s="2"/>
      <c r="I3472" s="2"/>
      <c r="J3472" s="2" t="s">
        <v>42</v>
      </c>
      <c r="K3472" s="2"/>
      <c r="L3472" s="4" t="s">
        <v>9905</v>
      </c>
    </row>
    <row r="3473" customFormat="false" ht="15.65" hidden="false" customHeight="true" outlineLevel="0" collapsed="false">
      <c r="A3473" s="5" t="str">
        <f aca="false">HYPERLINK("https://www.fabsurplus.com/sdi_catalog/salesItemDetails.do?id=107758")</f>
        <v>https://www.fabsurplus.com/sdi_catalog/salesItemDetails.do?id=107758</v>
      </c>
      <c r="B3473" s="5" t="s">
        <v>9971</v>
      </c>
      <c r="C3473" s="5" t="s">
        <v>9895</v>
      </c>
      <c r="D3473" s="5" t="s">
        <v>9953</v>
      </c>
      <c r="E3473" s="5" t="s">
        <v>1390</v>
      </c>
      <c r="F3473" s="5" t="s">
        <v>16</v>
      </c>
      <c r="G3473" s="5" t="s">
        <v>104</v>
      </c>
      <c r="H3473" s="5" t="s">
        <v>275</v>
      </c>
      <c r="I3473" s="5"/>
      <c r="J3473" s="5" t="s">
        <v>19</v>
      </c>
      <c r="K3473" s="5" t="s">
        <v>20</v>
      </c>
      <c r="L3473" s="5" t="s">
        <v>9972</v>
      </c>
    </row>
    <row r="3474" customFormat="false" ht="15.65" hidden="false" customHeight="true" outlineLevel="0" collapsed="false">
      <c r="A3474" s="2" t="str">
        <f aca="false">HYPERLINK("https://www.fabsurplus.com/sdi_catalog/salesItemDetails.do?id=107796")</f>
        <v>https://www.fabsurplus.com/sdi_catalog/salesItemDetails.do?id=107796</v>
      </c>
      <c r="B3474" s="2" t="s">
        <v>9973</v>
      </c>
      <c r="C3474" s="2" t="s">
        <v>9974</v>
      </c>
      <c r="D3474" s="2" t="s">
        <v>289</v>
      </c>
      <c r="E3474" s="2" t="s">
        <v>279</v>
      </c>
      <c r="F3474" s="2" t="s">
        <v>16</v>
      </c>
      <c r="G3474" s="2" t="s">
        <v>104</v>
      </c>
      <c r="H3474" s="2" t="s">
        <v>275</v>
      </c>
      <c r="I3474" s="2"/>
      <c r="J3474" s="2" t="s">
        <v>286</v>
      </c>
      <c r="K3474" s="2" t="s">
        <v>20</v>
      </c>
      <c r="L3474" s="4" t="s">
        <v>9975</v>
      </c>
    </row>
    <row r="3475" customFormat="false" ht="15.65" hidden="false" customHeight="true" outlineLevel="0" collapsed="false">
      <c r="A3475" s="5" t="str">
        <f aca="false">HYPERLINK("https://www.fabsurplus.com/sdi_catalog/salesItemDetails.do?id=110401")</f>
        <v>https://www.fabsurplus.com/sdi_catalog/salesItemDetails.do?id=110401</v>
      </c>
      <c r="B3475" s="5" t="s">
        <v>9976</v>
      </c>
      <c r="C3475" s="5" t="s">
        <v>9974</v>
      </c>
      <c r="D3475" s="5" t="s">
        <v>9977</v>
      </c>
      <c r="E3475" s="5" t="s">
        <v>763</v>
      </c>
      <c r="F3475" s="5" t="s">
        <v>16</v>
      </c>
      <c r="G3475" s="5" t="s">
        <v>165</v>
      </c>
      <c r="H3475" s="5"/>
      <c r="I3475" s="5"/>
      <c r="J3475" s="5" t="s">
        <v>42</v>
      </c>
      <c r="K3475" s="5"/>
      <c r="L3475" s="5" t="s">
        <v>686</v>
      </c>
    </row>
    <row r="3476" customFormat="false" ht="15.65" hidden="false" customHeight="true" outlineLevel="0" collapsed="false">
      <c r="A3476" s="2" t="str">
        <f aca="false">HYPERLINK("https://www.fabsurplus.com/sdi_catalog/salesItemDetails.do?id=110402")</f>
        <v>https://www.fabsurplus.com/sdi_catalog/salesItemDetails.do?id=110402</v>
      </c>
      <c r="B3476" s="2" t="s">
        <v>9978</v>
      </c>
      <c r="C3476" s="2" t="s">
        <v>9974</v>
      </c>
      <c r="D3476" s="2" t="s">
        <v>9977</v>
      </c>
      <c r="E3476" s="2" t="s">
        <v>763</v>
      </c>
      <c r="F3476" s="2" t="s">
        <v>16</v>
      </c>
      <c r="G3476" s="2" t="s">
        <v>165</v>
      </c>
      <c r="H3476" s="2"/>
      <c r="I3476" s="2"/>
      <c r="J3476" s="2" t="s">
        <v>42</v>
      </c>
      <c r="K3476" s="2"/>
      <c r="L3476" s="2" t="s">
        <v>686</v>
      </c>
    </row>
    <row r="3477" customFormat="false" ht="15.65" hidden="false" customHeight="true" outlineLevel="0" collapsed="false">
      <c r="A3477" s="5" t="str">
        <f aca="false">HYPERLINK("https://www.fabsurplus.com/sdi_catalog/salesItemDetails.do?id=110403")</f>
        <v>https://www.fabsurplus.com/sdi_catalog/salesItemDetails.do?id=110403</v>
      </c>
      <c r="B3477" s="5" t="s">
        <v>9979</v>
      </c>
      <c r="C3477" s="5" t="s">
        <v>9974</v>
      </c>
      <c r="D3477" s="5" t="s">
        <v>9977</v>
      </c>
      <c r="E3477" s="5" t="s">
        <v>763</v>
      </c>
      <c r="F3477" s="5" t="s">
        <v>16</v>
      </c>
      <c r="G3477" s="5" t="s">
        <v>165</v>
      </c>
      <c r="H3477" s="5"/>
      <c r="I3477" s="5"/>
      <c r="J3477" s="5" t="s">
        <v>42</v>
      </c>
      <c r="K3477" s="5"/>
      <c r="L3477" s="5" t="s">
        <v>686</v>
      </c>
    </row>
    <row r="3478" customFormat="false" ht="15.65" hidden="false" customHeight="true" outlineLevel="0" collapsed="false">
      <c r="A3478" s="2" t="str">
        <f aca="false">HYPERLINK("https://www.fabsurplus.com/sdi_catalog/salesItemDetails.do?id=110404")</f>
        <v>https://www.fabsurplus.com/sdi_catalog/salesItemDetails.do?id=110404</v>
      </c>
      <c r="B3478" s="2" t="s">
        <v>9980</v>
      </c>
      <c r="C3478" s="2" t="s">
        <v>9974</v>
      </c>
      <c r="D3478" s="2" t="s">
        <v>9977</v>
      </c>
      <c r="E3478" s="2" t="s">
        <v>763</v>
      </c>
      <c r="F3478" s="2" t="s">
        <v>16</v>
      </c>
      <c r="G3478" s="2" t="s">
        <v>165</v>
      </c>
      <c r="H3478" s="2"/>
      <c r="I3478" s="2"/>
      <c r="J3478" s="2" t="s">
        <v>42</v>
      </c>
      <c r="K3478" s="2"/>
      <c r="L3478" s="2" t="s">
        <v>686</v>
      </c>
    </row>
    <row r="3479" customFormat="false" ht="15.65" hidden="false" customHeight="true" outlineLevel="0" collapsed="false">
      <c r="A3479" s="5" t="str">
        <f aca="false">HYPERLINK("https://www.fabsurplus.com/sdi_catalog/salesItemDetails.do?id=110405")</f>
        <v>https://www.fabsurplus.com/sdi_catalog/salesItemDetails.do?id=110405</v>
      </c>
      <c r="B3479" s="5" t="s">
        <v>9981</v>
      </c>
      <c r="C3479" s="5" t="s">
        <v>9974</v>
      </c>
      <c r="D3479" s="5" t="s">
        <v>9977</v>
      </c>
      <c r="E3479" s="5" t="s">
        <v>763</v>
      </c>
      <c r="F3479" s="5" t="s">
        <v>16</v>
      </c>
      <c r="G3479" s="5" t="s">
        <v>165</v>
      </c>
      <c r="H3479" s="5"/>
      <c r="I3479" s="5"/>
      <c r="J3479" s="5" t="s">
        <v>42</v>
      </c>
      <c r="K3479" s="5"/>
      <c r="L3479" s="5" t="s">
        <v>9982</v>
      </c>
    </row>
    <row r="3480" customFormat="false" ht="15.65" hidden="false" customHeight="true" outlineLevel="0" collapsed="false">
      <c r="A3480" s="2" t="str">
        <f aca="false">HYPERLINK("https://www.fabsurplus.com/sdi_catalog/salesItemDetails.do?id=110406")</f>
        <v>https://www.fabsurplus.com/sdi_catalog/salesItemDetails.do?id=110406</v>
      </c>
      <c r="B3480" s="2" t="s">
        <v>9983</v>
      </c>
      <c r="C3480" s="2" t="s">
        <v>9974</v>
      </c>
      <c r="D3480" s="2" t="s">
        <v>9977</v>
      </c>
      <c r="E3480" s="2" t="s">
        <v>763</v>
      </c>
      <c r="F3480" s="2" t="s">
        <v>16</v>
      </c>
      <c r="G3480" s="2" t="s">
        <v>165</v>
      </c>
      <c r="H3480" s="2"/>
      <c r="I3480" s="2"/>
      <c r="J3480" s="2" t="s">
        <v>42</v>
      </c>
      <c r="K3480" s="2"/>
      <c r="L3480" s="2" t="s">
        <v>764</v>
      </c>
    </row>
    <row r="3481" customFormat="false" ht="15.65" hidden="false" customHeight="true" outlineLevel="0" collapsed="false">
      <c r="A3481" s="5" t="str">
        <f aca="false">HYPERLINK("https://www.fabsurplus.com/sdi_catalog/salesItemDetails.do?id=110407")</f>
        <v>https://www.fabsurplus.com/sdi_catalog/salesItemDetails.do?id=110407</v>
      </c>
      <c r="B3481" s="5" t="s">
        <v>9984</v>
      </c>
      <c r="C3481" s="5" t="s">
        <v>9974</v>
      </c>
      <c r="D3481" s="5" t="s">
        <v>9977</v>
      </c>
      <c r="E3481" s="5" t="s">
        <v>763</v>
      </c>
      <c r="F3481" s="5" t="s">
        <v>16</v>
      </c>
      <c r="G3481" s="5" t="s">
        <v>165</v>
      </c>
      <c r="H3481" s="5"/>
      <c r="I3481" s="5"/>
      <c r="J3481" s="5" t="s">
        <v>42</v>
      </c>
      <c r="K3481" s="5"/>
      <c r="L3481" s="5" t="s">
        <v>9985</v>
      </c>
    </row>
    <row r="3482" customFormat="false" ht="15.65" hidden="false" customHeight="true" outlineLevel="0" collapsed="false">
      <c r="A3482" s="2" t="str">
        <f aca="false">HYPERLINK("https://www.fabsurplus.com/sdi_catalog/salesItemDetails.do?id=110408")</f>
        <v>https://www.fabsurplus.com/sdi_catalog/salesItemDetails.do?id=110408</v>
      </c>
      <c r="B3482" s="2" t="s">
        <v>9986</v>
      </c>
      <c r="C3482" s="2" t="s">
        <v>9974</v>
      </c>
      <c r="D3482" s="2" t="s">
        <v>9977</v>
      </c>
      <c r="E3482" s="2" t="s">
        <v>763</v>
      </c>
      <c r="F3482" s="2" t="s">
        <v>16</v>
      </c>
      <c r="G3482" s="2" t="s">
        <v>165</v>
      </c>
      <c r="H3482" s="2"/>
      <c r="I3482" s="2"/>
      <c r="J3482" s="2" t="s">
        <v>42</v>
      </c>
      <c r="K3482" s="2"/>
      <c r="L3482" s="2" t="s">
        <v>9985</v>
      </c>
    </row>
    <row r="3483" customFormat="false" ht="15.65" hidden="false" customHeight="true" outlineLevel="0" collapsed="false">
      <c r="A3483" s="5" t="str">
        <f aca="false">HYPERLINK("https://www.fabsurplus.com/sdi_catalog/salesItemDetails.do?id=110409")</f>
        <v>https://www.fabsurplus.com/sdi_catalog/salesItemDetails.do?id=110409</v>
      </c>
      <c r="B3483" s="5" t="s">
        <v>9987</v>
      </c>
      <c r="C3483" s="5" t="s">
        <v>9974</v>
      </c>
      <c r="D3483" s="5" t="s">
        <v>9977</v>
      </c>
      <c r="E3483" s="5" t="s">
        <v>763</v>
      </c>
      <c r="F3483" s="5" t="s">
        <v>16</v>
      </c>
      <c r="G3483" s="5" t="s">
        <v>165</v>
      </c>
      <c r="H3483" s="5"/>
      <c r="I3483" s="5"/>
      <c r="J3483" s="5" t="s">
        <v>42</v>
      </c>
      <c r="K3483" s="5"/>
      <c r="L3483" s="5" t="s">
        <v>9988</v>
      </c>
    </row>
    <row r="3484" customFormat="false" ht="15.65" hidden="false" customHeight="true" outlineLevel="0" collapsed="false">
      <c r="A3484" s="2" t="str">
        <f aca="false">HYPERLINK("https://www.fabsurplus.com/sdi_catalog/salesItemDetails.do?id=110410")</f>
        <v>https://www.fabsurplus.com/sdi_catalog/salesItemDetails.do?id=110410</v>
      </c>
      <c r="B3484" s="2" t="s">
        <v>9989</v>
      </c>
      <c r="C3484" s="2" t="s">
        <v>9974</v>
      </c>
      <c r="D3484" s="2" t="s">
        <v>9977</v>
      </c>
      <c r="E3484" s="2" t="s">
        <v>763</v>
      </c>
      <c r="F3484" s="2" t="s">
        <v>16</v>
      </c>
      <c r="G3484" s="2" t="s">
        <v>165</v>
      </c>
      <c r="H3484" s="2"/>
      <c r="I3484" s="2"/>
      <c r="J3484" s="2" t="s">
        <v>42</v>
      </c>
      <c r="K3484" s="2"/>
      <c r="L3484" s="2" t="s">
        <v>9988</v>
      </c>
    </row>
    <row r="3485" customFormat="false" ht="15.65" hidden="false" customHeight="true" outlineLevel="0" collapsed="false">
      <c r="A3485" s="5" t="str">
        <f aca="false">HYPERLINK("https://www.fabsurplus.com/sdi_catalog/salesItemDetails.do?id=110411")</f>
        <v>https://www.fabsurplus.com/sdi_catalog/salesItemDetails.do?id=110411</v>
      </c>
      <c r="B3485" s="5" t="s">
        <v>9990</v>
      </c>
      <c r="C3485" s="5" t="s">
        <v>9974</v>
      </c>
      <c r="D3485" s="5" t="s">
        <v>9977</v>
      </c>
      <c r="E3485" s="5" t="s">
        <v>763</v>
      </c>
      <c r="F3485" s="5" t="s">
        <v>16</v>
      </c>
      <c r="G3485" s="5" t="s">
        <v>165</v>
      </c>
      <c r="H3485" s="5"/>
      <c r="I3485" s="5"/>
      <c r="J3485" s="5" t="s">
        <v>42</v>
      </c>
      <c r="K3485" s="5"/>
      <c r="L3485" s="5" t="s">
        <v>9991</v>
      </c>
    </row>
    <row r="3486" customFormat="false" ht="15.65" hidden="false" customHeight="true" outlineLevel="0" collapsed="false">
      <c r="A3486" s="2" t="str">
        <f aca="false">HYPERLINK("https://www.fabsurplus.com/sdi_catalog/salesItemDetails.do?id=110412")</f>
        <v>https://www.fabsurplus.com/sdi_catalog/salesItemDetails.do?id=110412</v>
      </c>
      <c r="B3486" s="2" t="s">
        <v>9992</v>
      </c>
      <c r="C3486" s="2" t="s">
        <v>9974</v>
      </c>
      <c r="D3486" s="2" t="s">
        <v>9993</v>
      </c>
      <c r="E3486" s="2" t="s">
        <v>164</v>
      </c>
      <c r="F3486" s="2" t="s">
        <v>16</v>
      </c>
      <c r="G3486" s="2" t="s">
        <v>165</v>
      </c>
      <c r="H3486" s="2"/>
      <c r="I3486" s="2"/>
      <c r="J3486" s="2" t="s">
        <v>42</v>
      </c>
      <c r="K3486" s="2"/>
      <c r="L3486" s="2" t="s">
        <v>9985</v>
      </c>
    </row>
    <row r="3487" customFormat="false" ht="15.65" hidden="false" customHeight="true" outlineLevel="0" collapsed="false">
      <c r="A3487" s="5" t="str">
        <f aca="false">HYPERLINK("https://www.fabsurplus.com/sdi_catalog/salesItemDetails.do?id=110413")</f>
        <v>https://www.fabsurplus.com/sdi_catalog/salesItemDetails.do?id=110413</v>
      </c>
      <c r="B3487" s="5" t="s">
        <v>9994</v>
      </c>
      <c r="C3487" s="5" t="s">
        <v>9974</v>
      </c>
      <c r="D3487" s="5" t="s">
        <v>762</v>
      </c>
      <c r="E3487" s="5" t="s">
        <v>763</v>
      </c>
      <c r="F3487" s="5" t="s">
        <v>16</v>
      </c>
      <c r="G3487" s="5" t="s">
        <v>165</v>
      </c>
      <c r="H3487" s="5"/>
      <c r="I3487" s="5"/>
      <c r="J3487" s="5" t="s">
        <v>42</v>
      </c>
      <c r="K3487" s="5"/>
      <c r="L3487" s="5" t="s">
        <v>686</v>
      </c>
    </row>
    <row r="3488" customFormat="false" ht="15.65" hidden="false" customHeight="true" outlineLevel="0" collapsed="false">
      <c r="A3488" s="2" t="str">
        <f aca="false">HYPERLINK("https://www.fabsurplus.com/sdi_catalog/salesItemDetails.do?id=110414")</f>
        <v>https://www.fabsurplus.com/sdi_catalog/salesItemDetails.do?id=110414</v>
      </c>
      <c r="B3488" s="2" t="s">
        <v>9995</v>
      </c>
      <c r="C3488" s="2" t="s">
        <v>9974</v>
      </c>
      <c r="D3488" s="2" t="s">
        <v>762</v>
      </c>
      <c r="E3488" s="2" t="s">
        <v>763</v>
      </c>
      <c r="F3488" s="2" t="s">
        <v>16</v>
      </c>
      <c r="G3488" s="2" t="s">
        <v>165</v>
      </c>
      <c r="H3488" s="2"/>
      <c r="I3488" s="2"/>
      <c r="J3488" s="2" t="s">
        <v>42</v>
      </c>
      <c r="K3488" s="2"/>
      <c r="L3488" s="2" t="s">
        <v>9996</v>
      </c>
    </row>
    <row r="3489" customFormat="false" ht="15.65" hidden="false" customHeight="true" outlineLevel="0" collapsed="false">
      <c r="A3489" s="5" t="str">
        <f aca="false">HYPERLINK("https://www.fabsurplus.com/sdi_catalog/salesItemDetails.do?id=110415")</f>
        <v>https://www.fabsurplus.com/sdi_catalog/salesItemDetails.do?id=110415</v>
      </c>
      <c r="B3489" s="5" t="s">
        <v>9997</v>
      </c>
      <c r="C3489" s="5" t="s">
        <v>9998</v>
      </c>
      <c r="D3489" s="5" t="s">
        <v>9999</v>
      </c>
      <c r="E3489" s="5" t="s">
        <v>164</v>
      </c>
      <c r="F3489" s="5" t="s">
        <v>16</v>
      </c>
      <c r="G3489" s="5" t="s">
        <v>165</v>
      </c>
      <c r="H3489" s="5"/>
      <c r="I3489" s="5"/>
      <c r="J3489" s="5" t="s">
        <v>42</v>
      </c>
      <c r="K3489" s="5"/>
      <c r="L3489" s="5" t="s">
        <v>10000</v>
      </c>
    </row>
    <row r="3490" customFormat="false" ht="15.65" hidden="false" customHeight="true" outlineLevel="0" collapsed="false">
      <c r="A3490" s="2" t="str">
        <f aca="false">HYPERLINK("https://www.fabsurplus.com/sdi_catalog/salesItemDetails.do?id=110416")</f>
        <v>https://www.fabsurplus.com/sdi_catalog/salesItemDetails.do?id=110416</v>
      </c>
      <c r="B3490" s="2" t="s">
        <v>10001</v>
      </c>
      <c r="C3490" s="2" t="s">
        <v>9974</v>
      </c>
      <c r="D3490" s="2" t="s">
        <v>10002</v>
      </c>
      <c r="E3490" s="2" t="s">
        <v>763</v>
      </c>
      <c r="F3490" s="2" t="s">
        <v>16</v>
      </c>
      <c r="G3490" s="2" t="s">
        <v>165</v>
      </c>
      <c r="H3490" s="2"/>
      <c r="I3490" s="2"/>
      <c r="J3490" s="2" t="s">
        <v>42</v>
      </c>
      <c r="K3490" s="2"/>
      <c r="L3490" s="2" t="s">
        <v>10003</v>
      </c>
    </row>
    <row r="3491" customFormat="false" ht="15.65" hidden="false" customHeight="true" outlineLevel="0" collapsed="false">
      <c r="A3491" s="5" t="str">
        <f aca="false">HYPERLINK("https://www.fabsurplus.com/sdi_catalog/salesItemDetails.do?id=110417")</f>
        <v>https://www.fabsurplus.com/sdi_catalog/salesItemDetails.do?id=110417</v>
      </c>
      <c r="B3491" s="5" t="s">
        <v>10004</v>
      </c>
      <c r="C3491" s="5" t="s">
        <v>9974</v>
      </c>
      <c r="D3491" s="5" t="s">
        <v>10002</v>
      </c>
      <c r="E3491" s="5" t="s">
        <v>763</v>
      </c>
      <c r="F3491" s="5" t="s">
        <v>16</v>
      </c>
      <c r="G3491" s="5" t="s">
        <v>165</v>
      </c>
      <c r="H3491" s="5"/>
      <c r="I3491" s="5"/>
      <c r="J3491" s="5" t="s">
        <v>42</v>
      </c>
      <c r="K3491" s="5"/>
      <c r="L3491" s="5" t="s">
        <v>10005</v>
      </c>
    </row>
    <row r="3492" customFormat="false" ht="15.65" hidden="false" customHeight="true" outlineLevel="0" collapsed="false">
      <c r="A3492" s="2" t="str">
        <f aca="false">HYPERLINK("https://www.fabsurplus.com/sdi_catalog/salesItemDetails.do?id=110418")</f>
        <v>https://www.fabsurplus.com/sdi_catalog/salesItemDetails.do?id=110418</v>
      </c>
      <c r="B3492" s="2" t="s">
        <v>10006</v>
      </c>
      <c r="C3492" s="2" t="s">
        <v>9974</v>
      </c>
      <c r="D3492" s="2" t="s">
        <v>10007</v>
      </c>
      <c r="E3492" s="2" t="s">
        <v>164</v>
      </c>
      <c r="F3492" s="2" t="s">
        <v>16</v>
      </c>
      <c r="G3492" s="2" t="s">
        <v>165</v>
      </c>
      <c r="H3492" s="2"/>
      <c r="I3492" s="2"/>
      <c r="J3492" s="2" t="s">
        <v>42</v>
      </c>
      <c r="K3492" s="2"/>
      <c r="L3492" s="2" t="s">
        <v>10008</v>
      </c>
    </row>
    <row r="3493" customFormat="false" ht="15.65" hidden="false" customHeight="true" outlineLevel="0" collapsed="false">
      <c r="A3493" s="5" t="str">
        <f aca="false">HYPERLINK("https://www.fabsurplus.com/sdi_catalog/salesItemDetails.do?id=110419")</f>
        <v>https://www.fabsurplus.com/sdi_catalog/salesItemDetails.do?id=110419</v>
      </c>
      <c r="B3493" s="5" t="s">
        <v>10009</v>
      </c>
      <c r="C3493" s="5" t="s">
        <v>9974</v>
      </c>
      <c r="D3493" s="5" t="s">
        <v>10010</v>
      </c>
      <c r="E3493" s="5" t="s">
        <v>763</v>
      </c>
      <c r="F3493" s="5" t="s">
        <v>16</v>
      </c>
      <c r="G3493" s="5" t="s">
        <v>165</v>
      </c>
      <c r="H3493" s="5"/>
      <c r="I3493" s="5"/>
      <c r="J3493" s="5" t="s">
        <v>42</v>
      </c>
      <c r="K3493" s="5"/>
      <c r="L3493" s="5" t="s">
        <v>686</v>
      </c>
    </row>
    <row r="3494" customFormat="false" ht="15.65" hidden="false" customHeight="true" outlineLevel="0" collapsed="false">
      <c r="A3494" s="2" t="str">
        <f aca="false">HYPERLINK("https://www.fabsurplus.com/sdi_catalog/salesItemDetails.do?id=110420")</f>
        <v>https://www.fabsurplus.com/sdi_catalog/salesItemDetails.do?id=110420</v>
      </c>
      <c r="B3494" s="2" t="s">
        <v>10011</v>
      </c>
      <c r="C3494" s="2" t="s">
        <v>9974</v>
      </c>
      <c r="D3494" s="2" t="s">
        <v>10012</v>
      </c>
      <c r="E3494" s="2" t="s">
        <v>164</v>
      </c>
      <c r="F3494" s="2" t="s">
        <v>16</v>
      </c>
      <c r="G3494" s="2" t="s">
        <v>165</v>
      </c>
      <c r="H3494" s="2"/>
      <c r="I3494" s="2"/>
      <c r="J3494" s="2" t="s">
        <v>42</v>
      </c>
      <c r="K3494" s="2"/>
      <c r="L3494" s="2" t="s">
        <v>10013</v>
      </c>
    </row>
    <row r="3495" customFormat="false" ht="15.65" hidden="false" customHeight="true" outlineLevel="0" collapsed="false">
      <c r="A3495" s="5" t="str">
        <f aca="false">HYPERLINK("https://www.fabsurplus.com/sdi_catalog/salesItemDetails.do?id=110421")</f>
        <v>https://www.fabsurplus.com/sdi_catalog/salesItemDetails.do?id=110421</v>
      </c>
      <c r="B3495" s="5" t="s">
        <v>10014</v>
      </c>
      <c r="C3495" s="5" t="s">
        <v>9974</v>
      </c>
      <c r="D3495" s="5" t="s">
        <v>769</v>
      </c>
      <c r="E3495" s="5" t="s">
        <v>164</v>
      </c>
      <c r="F3495" s="5" t="s">
        <v>16</v>
      </c>
      <c r="G3495" s="5" t="s">
        <v>165</v>
      </c>
      <c r="H3495" s="5"/>
      <c r="I3495" s="5"/>
      <c r="J3495" s="5" t="s">
        <v>42</v>
      </c>
      <c r="K3495" s="5"/>
      <c r="L3495" s="5" t="s">
        <v>10015</v>
      </c>
    </row>
    <row r="3496" customFormat="false" ht="15.65" hidden="false" customHeight="true" outlineLevel="0" collapsed="false">
      <c r="A3496" s="2" t="str">
        <f aca="false">HYPERLINK("https://www.fabsurplus.com/sdi_catalog/salesItemDetails.do?id=110422")</f>
        <v>https://www.fabsurplus.com/sdi_catalog/salesItemDetails.do?id=110422</v>
      </c>
      <c r="B3496" s="2" t="s">
        <v>10016</v>
      </c>
      <c r="C3496" s="2" t="s">
        <v>9974</v>
      </c>
      <c r="D3496" s="2" t="s">
        <v>769</v>
      </c>
      <c r="E3496" s="2" t="s">
        <v>164</v>
      </c>
      <c r="F3496" s="2" t="s">
        <v>16</v>
      </c>
      <c r="G3496" s="2" t="s">
        <v>165</v>
      </c>
      <c r="H3496" s="2"/>
      <c r="I3496" s="2"/>
      <c r="J3496" s="2" t="s">
        <v>42</v>
      </c>
      <c r="K3496" s="2"/>
      <c r="L3496" s="2" t="s">
        <v>10017</v>
      </c>
    </row>
    <row r="3497" customFormat="false" ht="15.65" hidden="false" customHeight="true" outlineLevel="0" collapsed="false">
      <c r="A3497" s="5" t="str">
        <f aca="false">HYPERLINK("https://www.fabsurplus.com/sdi_catalog/salesItemDetails.do?id=110423")</f>
        <v>https://www.fabsurplus.com/sdi_catalog/salesItemDetails.do?id=110423</v>
      </c>
      <c r="B3497" s="5" t="s">
        <v>10018</v>
      </c>
      <c r="C3497" s="5" t="s">
        <v>9974</v>
      </c>
      <c r="D3497" s="5" t="s">
        <v>769</v>
      </c>
      <c r="E3497" s="5" t="s">
        <v>164</v>
      </c>
      <c r="F3497" s="5" t="s">
        <v>16</v>
      </c>
      <c r="G3497" s="5" t="s">
        <v>165</v>
      </c>
      <c r="H3497" s="5"/>
      <c r="I3497" s="5"/>
      <c r="J3497" s="5" t="s">
        <v>42</v>
      </c>
      <c r="K3497" s="5"/>
      <c r="L3497" s="5" t="s">
        <v>10017</v>
      </c>
    </row>
    <row r="3498" customFormat="false" ht="15.65" hidden="false" customHeight="true" outlineLevel="0" collapsed="false">
      <c r="A3498" s="2" t="str">
        <f aca="false">HYPERLINK("https://www.fabsurplus.com/sdi_catalog/salesItemDetails.do?id=110424")</f>
        <v>https://www.fabsurplus.com/sdi_catalog/salesItemDetails.do?id=110424</v>
      </c>
      <c r="B3498" s="2" t="s">
        <v>10019</v>
      </c>
      <c r="C3498" s="2" t="s">
        <v>9974</v>
      </c>
      <c r="D3498" s="2" t="s">
        <v>769</v>
      </c>
      <c r="E3498" s="2" t="s">
        <v>164</v>
      </c>
      <c r="F3498" s="2" t="s">
        <v>16</v>
      </c>
      <c r="G3498" s="2" t="s">
        <v>165</v>
      </c>
      <c r="H3498" s="2"/>
      <c r="I3498" s="2"/>
      <c r="J3498" s="2" t="s">
        <v>42</v>
      </c>
      <c r="K3498" s="2"/>
      <c r="L3498" s="2" t="s">
        <v>10017</v>
      </c>
    </row>
    <row r="3499" customFormat="false" ht="15.65" hidden="false" customHeight="true" outlineLevel="0" collapsed="false">
      <c r="A3499" s="5" t="str">
        <f aca="false">HYPERLINK("https://www.fabsurplus.com/sdi_catalog/salesItemDetails.do?id=110425")</f>
        <v>https://www.fabsurplus.com/sdi_catalog/salesItemDetails.do?id=110425</v>
      </c>
      <c r="B3499" s="5" t="s">
        <v>10020</v>
      </c>
      <c r="C3499" s="5" t="s">
        <v>9974</v>
      </c>
      <c r="D3499" s="5" t="s">
        <v>769</v>
      </c>
      <c r="E3499" s="5" t="s">
        <v>164</v>
      </c>
      <c r="F3499" s="5" t="s">
        <v>16</v>
      </c>
      <c r="G3499" s="5" t="s">
        <v>165</v>
      </c>
      <c r="H3499" s="5"/>
      <c r="I3499" s="5"/>
      <c r="J3499" s="5" t="s">
        <v>42</v>
      </c>
      <c r="K3499" s="5"/>
      <c r="L3499" s="5" t="s">
        <v>10017</v>
      </c>
    </row>
    <row r="3500" customFormat="false" ht="15.65" hidden="false" customHeight="true" outlineLevel="0" collapsed="false">
      <c r="A3500" s="2" t="str">
        <f aca="false">HYPERLINK("https://www.fabsurplus.com/sdi_catalog/salesItemDetails.do?id=110426")</f>
        <v>https://www.fabsurplus.com/sdi_catalog/salesItemDetails.do?id=110426</v>
      </c>
      <c r="B3500" s="2" t="s">
        <v>10021</v>
      </c>
      <c r="C3500" s="2" t="s">
        <v>9974</v>
      </c>
      <c r="D3500" s="2" t="s">
        <v>769</v>
      </c>
      <c r="E3500" s="2" t="s">
        <v>164</v>
      </c>
      <c r="F3500" s="2" t="s">
        <v>16</v>
      </c>
      <c r="G3500" s="2" t="s">
        <v>165</v>
      </c>
      <c r="H3500" s="2"/>
      <c r="I3500" s="2"/>
      <c r="J3500" s="2" t="s">
        <v>42</v>
      </c>
      <c r="K3500" s="2"/>
      <c r="L3500" s="2" t="s">
        <v>10008</v>
      </c>
    </row>
    <row r="3501" customFormat="false" ht="15.65" hidden="false" customHeight="true" outlineLevel="0" collapsed="false">
      <c r="A3501" s="5" t="str">
        <f aca="false">HYPERLINK("https://www.fabsurplus.com/sdi_catalog/salesItemDetails.do?id=110427")</f>
        <v>https://www.fabsurplus.com/sdi_catalog/salesItemDetails.do?id=110427</v>
      </c>
      <c r="B3501" s="5" t="s">
        <v>10022</v>
      </c>
      <c r="C3501" s="5" t="s">
        <v>9974</v>
      </c>
      <c r="D3501" s="5" t="s">
        <v>10023</v>
      </c>
      <c r="E3501" s="5" t="s">
        <v>170</v>
      </c>
      <c r="F3501" s="5" t="s">
        <v>16</v>
      </c>
      <c r="G3501" s="5" t="s">
        <v>165</v>
      </c>
      <c r="H3501" s="5"/>
      <c r="I3501" s="5"/>
      <c r="J3501" s="5" t="s">
        <v>42</v>
      </c>
      <c r="K3501" s="5"/>
      <c r="L3501" s="5" t="s">
        <v>10024</v>
      </c>
    </row>
    <row r="3502" customFormat="false" ht="15.65" hidden="false" customHeight="true" outlineLevel="0" collapsed="false">
      <c r="A3502" s="2" t="str">
        <f aca="false">HYPERLINK("https://www.fabsurplus.com/sdi_catalog/salesItemDetails.do?id=110428")</f>
        <v>https://www.fabsurplus.com/sdi_catalog/salesItemDetails.do?id=110428</v>
      </c>
      <c r="B3502" s="2" t="s">
        <v>10025</v>
      </c>
      <c r="C3502" s="2" t="s">
        <v>9974</v>
      </c>
      <c r="D3502" s="2" t="s">
        <v>289</v>
      </c>
      <c r="E3502" s="2" t="s">
        <v>170</v>
      </c>
      <c r="F3502" s="2" t="s">
        <v>16</v>
      </c>
      <c r="G3502" s="2" t="s">
        <v>165</v>
      </c>
      <c r="H3502" s="2"/>
      <c r="I3502" s="2"/>
      <c r="J3502" s="2" t="s">
        <v>42</v>
      </c>
      <c r="K3502" s="2"/>
      <c r="L3502" s="2" t="s">
        <v>10026</v>
      </c>
    </row>
    <row r="3503" customFormat="false" ht="15.65" hidden="false" customHeight="true" outlineLevel="0" collapsed="false">
      <c r="A3503" s="5" t="str">
        <f aca="false">HYPERLINK("https://www.fabsurplus.com/sdi_catalog/salesItemDetails.do?id=110429")</f>
        <v>https://www.fabsurplus.com/sdi_catalog/salesItemDetails.do?id=110429</v>
      </c>
      <c r="B3503" s="5" t="s">
        <v>10027</v>
      </c>
      <c r="C3503" s="5" t="s">
        <v>9974</v>
      </c>
      <c r="D3503" s="5" t="s">
        <v>289</v>
      </c>
      <c r="E3503" s="5" t="s">
        <v>170</v>
      </c>
      <c r="F3503" s="5" t="s">
        <v>16</v>
      </c>
      <c r="G3503" s="5" t="s">
        <v>165</v>
      </c>
      <c r="H3503" s="5"/>
      <c r="I3503" s="5"/>
      <c r="J3503" s="5" t="s">
        <v>42</v>
      </c>
      <c r="K3503" s="5"/>
      <c r="L3503" s="7" t="s">
        <v>10028</v>
      </c>
    </row>
    <row r="3504" customFormat="false" ht="15.65" hidden="false" customHeight="true" outlineLevel="0" collapsed="false">
      <c r="A3504" s="2" t="str">
        <f aca="false">HYPERLINK("https://www.fabsurplus.com/sdi_catalog/salesItemDetails.do?id=110430")</f>
        <v>https://www.fabsurplus.com/sdi_catalog/salesItemDetails.do?id=110430</v>
      </c>
      <c r="B3504" s="2" t="s">
        <v>10029</v>
      </c>
      <c r="C3504" s="2" t="s">
        <v>9974</v>
      </c>
      <c r="D3504" s="2" t="s">
        <v>289</v>
      </c>
      <c r="E3504" s="2" t="s">
        <v>170</v>
      </c>
      <c r="F3504" s="2" t="s">
        <v>16</v>
      </c>
      <c r="G3504" s="2" t="s">
        <v>165</v>
      </c>
      <c r="H3504" s="2"/>
      <c r="I3504" s="2"/>
      <c r="J3504" s="2" t="s">
        <v>42</v>
      </c>
      <c r="K3504" s="2"/>
      <c r="L3504" s="4" t="s">
        <v>10028</v>
      </c>
    </row>
    <row r="3505" customFormat="false" ht="15.65" hidden="false" customHeight="true" outlineLevel="0" collapsed="false">
      <c r="A3505" s="5" t="str">
        <f aca="false">HYPERLINK("https://www.fabsurplus.com/sdi_catalog/salesItemDetails.do?id=110431")</f>
        <v>https://www.fabsurplus.com/sdi_catalog/salesItemDetails.do?id=110431</v>
      </c>
      <c r="B3505" s="5" t="s">
        <v>10030</v>
      </c>
      <c r="C3505" s="5" t="s">
        <v>9974</v>
      </c>
      <c r="D3505" s="5" t="s">
        <v>289</v>
      </c>
      <c r="E3505" s="5" t="s">
        <v>170</v>
      </c>
      <c r="F3505" s="5" t="s">
        <v>16</v>
      </c>
      <c r="G3505" s="5" t="s">
        <v>165</v>
      </c>
      <c r="H3505" s="5"/>
      <c r="I3505" s="5"/>
      <c r="J3505" s="5" t="s">
        <v>42</v>
      </c>
      <c r="K3505" s="5"/>
      <c r="L3505" s="5" t="s">
        <v>10031</v>
      </c>
    </row>
    <row r="3506" customFormat="false" ht="15.65" hidden="false" customHeight="true" outlineLevel="0" collapsed="false">
      <c r="A3506" s="2" t="str">
        <f aca="false">HYPERLINK("https://www.fabsurplus.com/sdi_catalog/salesItemDetails.do?id=110432")</f>
        <v>https://www.fabsurplus.com/sdi_catalog/salesItemDetails.do?id=110432</v>
      </c>
      <c r="B3506" s="2" t="s">
        <v>10032</v>
      </c>
      <c r="C3506" s="2" t="s">
        <v>9974</v>
      </c>
      <c r="D3506" s="2" t="s">
        <v>289</v>
      </c>
      <c r="E3506" s="2" t="s">
        <v>170</v>
      </c>
      <c r="F3506" s="2" t="s">
        <v>16</v>
      </c>
      <c r="G3506" s="2" t="s">
        <v>165</v>
      </c>
      <c r="H3506" s="2"/>
      <c r="I3506" s="2"/>
      <c r="J3506" s="2" t="s">
        <v>42</v>
      </c>
      <c r="K3506" s="2"/>
      <c r="L3506" s="2" t="s">
        <v>10031</v>
      </c>
    </row>
    <row r="3507" customFormat="false" ht="15.65" hidden="false" customHeight="true" outlineLevel="0" collapsed="false">
      <c r="A3507" s="5" t="str">
        <f aca="false">HYPERLINK("https://www.fabsurplus.com/sdi_catalog/salesItemDetails.do?id=110433")</f>
        <v>https://www.fabsurplus.com/sdi_catalog/salesItemDetails.do?id=110433</v>
      </c>
      <c r="B3507" s="5" t="s">
        <v>10033</v>
      </c>
      <c r="C3507" s="5" t="s">
        <v>9974</v>
      </c>
      <c r="D3507" s="5" t="s">
        <v>289</v>
      </c>
      <c r="E3507" s="5" t="s">
        <v>170</v>
      </c>
      <c r="F3507" s="5" t="s">
        <v>16</v>
      </c>
      <c r="G3507" s="5" t="s">
        <v>165</v>
      </c>
      <c r="H3507" s="5"/>
      <c r="I3507" s="5"/>
      <c r="J3507" s="5" t="s">
        <v>42</v>
      </c>
      <c r="K3507" s="5"/>
      <c r="L3507" s="5" t="s">
        <v>10031</v>
      </c>
    </row>
    <row r="3508" customFormat="false" ht="15.65" hidden="false" customHeight="true" outlineLevel="0" collapsed="false">
      <c r="A3508" s="2" t="str">
        <f aca="false">HYPERLINK("https://www.fabsurplus.com/sdi_catalog/salesItemDetails.do?id=110434")</f>
        <v>https://www.fabsurplus.com/sdi_catalog/salesItemDetails.do?id=110434</v>
      </c>
      <c r="B3508" s="2" t="s">
        <v>10034</v>
      </c>
      <c r="C3508" s="2" t="s">
        <v>9974</v>
      </c>
      <c r="D3508" s="2" t="s">
        <v>10035</v>
      </c>
      <c r="E3508" s="2" t="s">
        <v>170</v>
      </c>
      <c r="F3508" s="2" t="s">
        <v>16</v>
      </c>
      <c r="G3508" s="2" t="s">
        <v>165</v>
      </c>
      <c r="H3508" s="2"/>
      <c r="I3508" s="2"/>
      <c r="J3508" s="2" t="s">
        <v>42</v>
      </c>
      <c r="K3508" s="2"/>
      <c r="L3508" s="2" t="s">
        <v>934</v>
      </c>
    </row>
    <row r="3509" customFormat="false" ht="15.65" hidden="false" customHeight="true" outlineLevel="0" collapsed="false">
      <c r="A3509" s="5" t="str">
        <f aca="false">HYPERLINK("https://www.fabsurplus.com/sdi_catalog/salesItemDetails.do?id=110435")</f>
        <v>https://www.fabsurplus.com/sdi_catalog/salesItemDetails.do?id=110435</v>
      </c>
      <c r="B3509" s="5" t="s">
        <v>10036</v>
      </c>
      <c r="C3509" s="5" t="s">
        <v>9974</v>
      </c>
      <c r="D3509" s="5" t="s">
        <v>763</v>
      </c>
      <c r="E3509" s="5" t="s">
        <v>763</v>
      </c>
      <c r="F3509" s="5" t="s">
        <v>16</v>
      </c>
      <c r="G3509" s="5" t="s">
        <v>165</v>
      </c>
      <c r="H3509" s="5"/>
      <c r="I3509" s="5"/>
      <c r="J3509" s="5" t="s">
        <v>42</v>
      </c>
      <c r="K3509" s="5"/>
      <c r="L3509" s="5" t="s">
        <v>10037</v>
      </c>
    </row>
    <row r="3510" customFormat="false" ht="15.65" hidden="false" customHeight="true" outlineLevel="0" collapsed="false">
      <c r="A3510" s="2" t="str">
        <f aca="false">HYPERLINK("https://www.fabsurplus.com/sdi_catalog/salesItemDetails.do?id=110436")</f>
        <v>https://www.fabsurplus.com/sdi_catalog/salesItemDetails.do?id=110436</v>
      </c>
      <c r="B3510" s="2" t="s">
        <v>10038</v>
      </c>
      <c r="C3510" s="2" t="s">
        <v>9974</v>
      </c>
      <c r="D3510" s="2" t="s">
        <v>10039</v>
      </c>
      <c r="E3510" s="2" t="s">
        <v>170</v>
      </c>
      <c r="F3510" s="2" t="s">
        <v>16</v>
      </c>
      <c r="G3510" s="2" t="s">
        <v>165</v>
      </c>
      <c r="H3510" s="2"/>
      <c r="I3510" s="2"/>
      <c r="J3510" s="2" t="s">
        <v>42</v>
      </c>
      <c r="K3510" s="2"/>
      <c r="L3510" s="4" t="s">
        <v>10040</v>
      </c>
    </row>
    <row r="3511" customFormat="false" ht="15.65" hidden="false" customHeight="true" outlineLevel="0" collapsed="false">
      <c r="A3511" s="5" t="str">
        <f aca="false">HYPERLINK("https://www.fabsurplus.com/sdi_catalog/salesItemDetails.do?id=110437")</f>
        <v>https://www.fabsurplus.com/sdi_catalog/salesItemDetails.do?id=110437</v>
      </c>
      <c r="B3511" s="5" t="s">
        <v>10041</v>
      </c>
      <c r="C3511" s="5" t="s">
        <v>9974</v>
      </c>
      <c r="D3511" s="5" t="s">
        <v>10042</v>
      </c>
      <c r="E3511" s="5" t="s">
        <v>170</v>
      </c>
      <c r="F3511" s="5" t="s">
        <v>16</v>
      </c>
      <c r="G3511" s="5" t="s">
        <v>165</v>
      </c>
      <c r="H3511" s="5"/>
      <c r="I3511" s="5"/>
      <c r="J3511" s="5" t="s">
        <v>42</v>
      </c>
      <c r="K3511" s="5"/>
      <c r="L3511" s="7" t="s">
        <v>10043</v>
      </c>
    </row>
    <row r="3512" customFormat="false" ht="15.65" hidden="false" customHeight="true" outlineLevel="0" collapsed="false">
      <c r="A3512" s="2" t="str">
        <f aca="false">HYPERLINK("https://www.fabsurplus.com/sdi_catalog/salesItemDetails.do?id=110438")</f>
        <v>https://www.fabsurplus.com/sdi_catalog/salesItemDetails.do?id=110438</v>
      </c>
      <c r="B3512" s="2" t="s">
        <v>10044</v>
      </c>
      <c r="C3512" s="2" t="s">
        <v>9974</v>
      </c>
      <c r="D3512" s="2" t="s">
        <v>10045</v>
      </c>
      <c r="E3512" s="2" t="s">
        <v>170</v>
      </c>
      <c r="F3512" s="2" t="s">
        <v>16</v>
      </c>
      <c r="G3512" s="2" t="s">
        <v>165</v>
      </c>
      <c r="H3512" s="2"/>
      <c r="I3512" s="2"/>
      <c r="J3512" s="2" t="s">
        <v>42</v>
      </c>
      <c r="K3512" s="2"/>
      <c r="L3512" s="2" t="s">
        <v>686</v>
      </c>
    </row>
    <row r="3513" customFormat="false" ht="15.65" hidden="false" customHeight="true" outlineLevel="0" collapsed="false">
      <c r="A3513" s="5" t="str">
        <f aca="false">HYPERLINK("https://www.fabsurplus.com/sdi_catalog/salesItemDetails.do?id=110439")</f>
        <v>https://www.fabsurplus.com/sdi_catalog/salesItemDetails.do?id=110439</v>
      </c>
      <c r="B3513" s="5" t="s">
        <v>10046</v>
      </c>
      <c r="C3513" s="5" t="s">
        <v>9974</v>
      </c>
      <c r="D3513" s="5" t="s">
        <v>10047</v>
      </c>
      <c r="E3513" s="5" t="s">
        <v>164</v>
      </c>
      <c r="F3513" s="5" t="s">
        <v>16</v>
      </c>
      <c r="G3513" s="5" t="s">
        <v>165</v>
      </c>
      <c r="H3513" s="5"/>
      <c r="I3513" s="5"/>
      <c r="J3513" s="5" t="s">
        <v>42</v>
      </c>
      <c r="K3513" s="5"/>
      <c r="L3513" s="5" t="s">
        <v>10048</v>
      </c>
    </row>
    <row r="3514" customFormat="false" ht="15.65" hidden="false" customHeight="true" outlineLevel="0" collapsed="false">
      <c r="A3514" s="2" t="str">
        <f aca="false">HYPERLINK("https://www.fabsurplus.com/sdi_catalog/salesItemDetails.do?id=110440")</f>
        <v>https://www.fabsurplus.com/sdi_catalog/salesItemDetails.do?id=110440</v>
      </c>
      <c r="B3514" s="2" t="s">
        <v>10049</v>
      </c>
      <c r="C3514" s="2" t="s">
        <v>9974</v>
      </c>
      <c r="D3514" s="2" t="s">
        <v>10050</v>
      </c>
      <c r="E3514" s="2" t="s">
        <v>170</v>
      </c>
      <c r="F3514" s="2" t="s">
        <v>16</v>
      </c>
      <c r="G3514" s="2" t="s">
        <v>165</v>
      </c>
      <c r="H3514" s="2"/>
      <c r="I3514" s="2"/>
      <c r="J3514" s="2" t="s">
        <v>42</v>
      </c>
      <c r="K3514" s="2"/>
      <c r="L3514" s="2" t="s">
        <v>10051</v>
      </c>
    </row>
    <row r="3515" customFormat="false" ht="15.65" hidden="false" customHeight="true" outlineLevel="0" collapsed="false">
      <c r="A3515" s="5" t="str">
        <f aca="false">HYPERLINK("https://www.fabsurplus.com/sdi_catalog/salesItemDetails.do?id=110441")</f>
        <v>https://www.fabsurplus.com/sdi_catalog/salesItemDetails.do?id=110441</v>
      </c>
      <c r="B3515" s="5" t="s">
        <v>10052</v>
      </c>
      <c r="C3515" s="5" t="s">
        <v>9974</v>
      </c>
      <c r="D3515" s="5" t="s">
        <v>10053</v>
      </c>
      <c r="E3515" s="5" t="s">
        <v>170</v>
      </c>
      <c r="F3515" s="5" t="s">
        <v>16</v>
      </c>
      <c r="G3515" s="5" t="s">
        <v>165</v>
      </c>
      <c r="H3515" s="5"/>
      <c r="I3515" s="5"/>
      <c r="J3515" s="5" t="s">
        <v>42</v>
      </c>
      <c r="K3515" s="5"/>
      <c r="L3515" s="5" t="s">
        <v>10054</v>
      </c>
    </row>
    <row r="3516" customFormat="false" ht="15.65" hidden="false" customHeight="true" outlineLevel="0" collapsed="false">
      <c r="A3516" s="2" t="str">
        <f aca="false">HYPERLINK("https://www.fabsurplus.com/sdi_catalog/salesItemDetails.do?id=110442")</f>
        <v>https://www.fabsurplus.com/sdi_catalog/salesItemDetails.do?id=110442</v>
      </c>
      <c r="B3516" s="2" t="s">
        <v>10055</v>
      </c>
      <c r="C3516" s="2" t="s">
        <v>9974</v>
      </c>
      <c r="D3516" s="2" t="s">
        <v>10056</v>
      </c>
      <c r="E3516" s="2" t="s">
        <v>170</v>
      </c>
      <c r="F3516" s="2" t="s">
        <v>16</v>
      </c>
      <c r="G3516" s="2" t="s">
        <v>165</v>
      </c>
      <c r="H3516" s="2"/>
      <c r="I3516" s="2"/>
      <c r="J3516" s="2" t="s">
        <v>42</v>
      </c>
      <c r="K3516" s="2"/>
      <c r="L3516" s="2" t="s">
        <v>686</v>
      </c>
    </row>
    <row r="3517" customFormat="false" ht="15.65" hidden="false" customHeight="true" outlineLevel="0" collapsed="false">
      <c r="A3517" s="5" t="str">
        <f aca="false">HYPERLINK("https://www.fabsurplus.com/sdi_catalog/salesItemDetails.do?id=110443")</f>
        <v>https://www.fabsurplus.com/sdi_catalog/salesItemDetails.do?id=110443</v>
      </c>
      <c r="B3517" s="5" t="s">
        <v>10057</v>
      </c>
      <c r="C3517" s="5" t="s">
        <v>9974</v>
      </c>
      <c r="D3517" s="5" t="s">
        <v>10056</v>
      </c>
      <c r="E3517" s="5" t="s">
        <v>170</v>
      </c>
      <c r="F3517" s="5" t="s">
        <v>16</v>
      </c>
      <c r="G3517" s="5" t="s">
        <v>165</v>
      </c>
      <c r="H3517" s="5"/>
      <c r="I3517" s="5"/>
      <c r="J3517" s="5" t="s">
        <v>42</v>
      </c>
      <c r="K3517" s="5"/>
      <c r="L3517" s="5" t="s">
        <v>10058</v>
      </c>
    </row>
    <row r="3518" customFormat="false" ht="15.65" hidden="false" customHeight="true" outlineLevel="0" collapsed="false">
      <c r="A3518" s="2" t="str">
        <f aca="false">HYPERLINK("https://www.fabsurplus.com/sdi_catalog/salesItemDetails.do?id=110444")</f>
        <v>https://www.fabsurplus.com/sdi_catalog/salesItemDetails.do?id=110444</v>
      </c>
      <c r="B3518" s="2" t="s">
        <v>10059</v>
      </c>
      <c r="C3518" s="2" t="s">
        <v>9974</v>
      </c>
      <c r="D3518" s="2" t="s">
        <v>10056</v>
      </c>
      <c r="E3518" s="2" t="s">
        <v>170</v>
      </c>
      <c r="F3518" s="2" t="s">
        <v>16</v>
      </c>
      <c r="G3518" s="2" t="s">
        <v>165</v>
      </c>
      <c r="H3518" s="2"/>
      <c r="I3518" s="2"/>
      <c r="J3518" s="2" t="s">
        <v>42</v>
      </c>
      <c r="K3518" s="2"/>
      <c r="L3518" s="2" t="s">
        <v>10058</v>
      </c>
    </row>
    <row r="3519" customFormat="false" ht="15.65" hidden="false" customHeight="true" outlineLevel="0" collapsed="false">
      <c r="A3519" s="5" t="str">
        <f aca="false">HYPERLINK("https://www.fabsurplus.com/sdi_catalog/salesItemDetails.do?id=110445")</f>
        <v>https://www.fabsurplus.com/sdi_catalog/salesItemDetails.do?id=110445</v>
      </c>
      <c r="B3519" s="5" t="s">
        <v>10060</v>
      </c>
      <c r="C3519" s="5" t="s">
        <v>9974</v>
      </c>
      <c r="D3519" s="5" t="s">
        <v>10056</v>
      </c>
      <c r="E3519" s="5" t="s">
        <v>170</v>
      </c>
      <c r="F3519" s="5" t="s">
        <v>16</v>
      </c>
      <c r="G3519" s="5" t="s">
        <v>165</v>
      </c>
      <c r="H3519" s="5"/>
      <c r="I3519" s="5"/>
      <c r="J3519" s="5" t="s">
        <v>42</v>
      </c>
      <c r="K3519" s="5"/>
      <c r="L3519" s="5" t="s">
        <v>10061</v>
      </c>
    </row>
    <row r="3520" customFormat="false" ht="15.65" hidden="false" customHeight="true" outlineLevel="0" collapsed="false">
      <c r="A3520" s="2" t="str">
        <f aca="false">HYPERLINK("https://www.fabsurplus.com/sdi_catalog/salesItemDetails.do?id=110446")</f>
        <v>https://www.fabsurplus.com/sdi_catalog/salesItemDetails.do?id=110446</v>
      </c>
      <c r="B3520" s="2" t="s">
        <v>10062</v>
      </c>
      <c r="C3520" s="2" t="s">
        <v>9974</v>
      </c>
      <c r="D3520" s="2" t="s">
        <v>10056</v>
      </c>
      <c r="E3520" s="2" t="s">
        <v>170</v>
      </c>
      <c r="F3520" s="2" t="s">
        <v>16</v>
      </c>
      <c r="G3520" s="2" t="s">
        <v>165</v>
      </c>
      <c r="H3520" s="2"/>
      <c r="I3520" s="2"/>
      <c r="J3520" s="2" t="s">
        <v>42</v>
      </c>
      <c r="K3520" s="2"/>
      <c r="L3520" s="4" t="s">
        <v>10063</v>
      </c>
    </row>
    <row r="3521" customFormat="false" ht="15.65" hidden="false" customHeight="true" outlineLevel="0" collapsed="false">
      <c r="A3521" s="5" t="str">
        <f aca="false">HYPERLINK("https://www.fabsurplus.com/sdi_catalog/salesItemDetails.do?id=110447")</f>
        <v>https://www.fabsurplus.com/sdi_catalog/salesItemDetails.do?id=110447</v>
      </c>
      <c r="B3521" s="5" t="s">
        <v>10064</v>
      </c>
      <c r="C3521" s="5" t="s">
        <v>9974</v>
      </c>
      <c r="D3521" s="5" t="s">
        <v>10065</v>
      </c>
      <c r="E3521" s="5" t="s">
        <v>170</v>
      </c>
      <c r="F3521" s="5" t="s">
        <v>16</v>
      </c>
      <c r="G3521" s="5" t="s">
        <v>165</v>
      </c>
      <c r="H3521" s="5"/>
      <c r="I3521" s="5"/>
      <c r="J3521" s="5" t="s">
        <v>42</v>
      </c>
      <c r="K3521" s="5"/>
      <c r="L3521" s="7" t="s">
        <v>10066</v>
      </c>
    </row>
    <row r="3522" customFormat="false" ht="15.65" hidden="false" customHeight="true" outlineLevel="0" collapsed="false">
      <c r="A3522" s="2" t="str">
        <f aca="false">HYPERLINK("https://www.fabsurplus.com/sdi_catalog/salesItemDetails.do?id=110448")</f>
        <v>https://www.fabsurplus.com/sdi_catalog/salesItemDetails.do?id=110448</v>
      </c>
      <c r="B3522" s="2" t="s">
        <v>10067</v>
      </c>
      <c r="C3522" s="2" t="s">
        <v>9974</v>
      </c>
      <c r="D3522" s="2" t="s">
        <v>10068</v>
      </c>
      <c r="E3522" s="2" t="s">
        <v>170</v>
      </c>
      <c r="F3522" s="2" t="s">
        <v>16</v>
      </c>
      <c r="G3522" s="2" t="s">
        <v>165</v>
      </c>
      <c r="H3522" s="2"/>
      <c r="I3522" s="2"/>
      <c r="J3522" s="2" t="s">
        <v>42</v>
      </c>
      <c r="K3522" s="2"/>
      <c r="L3522" s="4" t="s">
        <v>10069</v>
      </c>
    </row>
    <row r="3523" customFormat="false" ht="15.65" hidden="false" customHeight="true" outlineLevel="0" collapsed="false">
      <c r="A3523" s="5" t="str">
        <f aca="false">HYPERLINK("https://www.fabsurplus.com/sdi_catalog/salesItemDetails.do?id=110449")</f>
        <v>https://www.fabsurplus.com/sdi_catalog/salesItemDetails.do?id=110449</v>
      </c>
      <c r="B3523" s="5" t="s">
        <v>10070</v>
      </c>
      <c r="C3523" s="5" t="s">
        <v>9974</v>
      </c>
      <c r="D3523" s="5" t="s">
        <v>671</v>
      </c>
      <c r="E3523" s="5" t="s">
        <v>170</v>
      </c>
      <c r="F3523" s="5" t="s">
        <v>16</v>
      </c>
      <c r="G3523" s="5" t="s">
        <v>165</v>
      </c>
      <c r="H3523" s="5"/>
      <c r="I3523" s="5"/>
      <c r="J3523" s="5" t="s">
        <v>42</v>
      </c>
      <c r="K3523" s="5"/>
      <c r="L3523" s="5" t="s">
        <v>672</v>
      </c>
    </row>
    <row r="3524" customFormat="false" ht="15.65" hidden="false" customHeight="true" outlineLevel="0" collapsed="false">
      <c r="A3524" s="2" t="str">
        <f aca="false">HYPERLINK("https://www.fabsurplus.com/sdi_catalog/salesItemDetails.do?id=110450")</f>
        <v>https://www.fabsurplus.com/sdi_catalog/salesItemDetails.do?id=110450</v>
      </c>
      <c r="B3524" s="2" t="s">
        <v>10071</v>
      </c>
      <c r="C3524" s="2" t="s">
        <v>9974</v>
      </c>
      <c r="D3524" s="2" t="s">
        <v>671</v>
      </c>
      <c r="E3524" s="2" t="s">
        <v>170</v>
      </c>
      <c r="F3524" s="2" t="s">
        <v>16</v>
      </c>
      <c r="G3524" s="2" t="s">
        <v>165</v>
      </c>
      <c r="H3524" s="2"/>
      <c r="I3524" s="2"/>
      <c r="J3524" s="2" t="s">
        <v>42</v>
      </c>
      <c r="K3524" s="2"/>
      <c r="L3524" s="2" t="s">
        <v>10072</v>
      </c>
    </row>
    <row r="3525" customFormat="false" ht="15.65" hidden="false" customHeight="true" outlineLevel="0" collapsed="false">
      <c r="A3525" s="5" t="str">
        <f aca="false">HYPERLINK("https://www.fabsurplus.com/sdi_catalog/salesItemDetails.do?id=110451")</f>
        <v>https://www.fabsurplus.com/sdi_catalog/salesItemDetails.do?id=110451</v>
      </c>
      <c r="B3525" s="5" t="s">
        <v>10073</v>
      </c>
      <c r="C3525" s="5" t="s">
        <v>9974</v>
      </c>
      <c r="D3525" s="5" t="s">
        <v>671</v>
      </c>
      <c r="E3525" s="5" t="s">
        <v>170</v>
      </c>
      <c r="F3525" s="5" t="s">
        <v>16</v>
      </c>
      <c r="G3525" s="5" t="s">
        <v>165</v>
      </c>
      <c r="H3525" s="5"/>
      <c r="I3525" s="5"/>
      <c r="J3525" s="5" t="s">
        <v>42</v>
      </c>
      <c r="K3525" s="5"/>
      <c r="L3525" s="5" t="s">
        <v>10072</v>
      </c>
    </row>
    <row r="3526" customFormat="false" ht="15.65" hidden="false" customHeight="true" outlineLevel="0" collapsed="false">
      <c r="A3526" s="2" t="str">
        <f aca="false">HYPERLINK("https://www.fabsurplus.com/sdi_catalog/salesItemDetails.do?id=110452")</f>
        <v>https://www.fabsurplus.com/sdi_catalog/salesItemDetails.do?id=110452</v>
      </c>
      <c r="B3526" s="2" t="s">
        <v>10074</v>
      </c>
      <c r="C3526" s="2" t="s">
        <v>9974</v>
      </c>
      <c r="D3526" s="2" t="s">
        <v>676</v>
      </c>
      <c r="E3526" s="2" t="s">
        <v>170</v>
      </c>
      <c r="F3526" s="2" t="s">
        <v>16</v>
      </c>
      <c r="G3526" s="2" t="s">
        <v>165</v>
      </c>
      <c r="H3526" s="2"/>
      <c r="I3526" s="2"/>
      <c r="J3526" s="2" t="s">
        <v>42</v>
      </c>
      <c r="K3526" s="2"/>
      <c r="L3526" s="2" t="s">
        <v>686</v>
      </c>
    </row>
    <row r="3527" customFormat="false" ht="15.65" hidden="false" customHeight="true" outlineLevel="0" collapsed="false">
      <c r="A3527" s="5" t="str">
        <f aca="false">HYPERLINK("https://www.fabsurplus.com/sdi_catalog/salesItemDetails.do?id=110453")</f>
        <v>https://www.fabsurplus.com/sdi_catalog/salesItemDetails.do?id=110453</v>
      </c>
      <c r="B3527" s="5" t="s">
        <v>10075</v>
      </c>
      <c r="C3527" s="5" t="s">
        <v>9974</v>
      </c>
      <c r="D3527" s="5" t="s">
        <v>676</v>
      </c>
      <c r="E3527" s="5" t="s">
        <v>170</v>
      </c>
      <c r="F3527" s="5" t="s">
        <v>16</v>
      </c>
      <c r="G3527" s="5" t="s">
        <v>165</v>
      </c>
      <c r="H3527" s="5"/>
      <c r="I3527" s="5"/>
      <c r="J3527" s="5" t="s">
        <v>42</v>
      </c>
      <c r="K3527" s="5"/>
      <c r="L3527" s="5" t="s">
        <v>679</v>
      </c>
    </row>
    <row r="3528" customFormat="false" ht="15.65" hidden="false" customHeight="true" outlineLevel="0" collapsed="false">
      <c r="A3528" s="2" t="str">
        <f aca="false">HYPERLINK("https://www.fabsurplus.com/sdi_catalog/salesItemDetails.do?id=110454")</f>
        <v>https://www.fabsurplus.com/sdi_catalog/salesItemDetails.do?id=110454</v>
      </c>
      <c r="B3528" s="2" t="s">
        <v>10076</v>
      </c>
      <c r="C3528" s="2" t="s">
        <v>9974</v>
      </c>
      <c r="D3528" s="2" t="s">
        <v>676</v>
      </c>
      <c r="E3528" s="2" t="s">
        <v>170</v>
      </c>
      <c r="F3528" s="2" t="s">
        <v>16</v>
      </c>
      <c r="G3528" s="2" t="s">
        <v>165</v>
      </c>
      <c r="H3528" s="2"/>
      <c r="I3528" s="2"/>
      <c r="J3528" s="2" t="s">
        <v>42</v>
      </c>
      <c r="K3528" s="2"/>
      <c r="L3528" s="2" t="s">
        <v>10077</v>
      </c>
    </row>
    <row r="3529" customFormat="false" ht="15.65" hidden="false" customHeight="true" outlineLevel="0" collapsed="false">
      <c r="A3529" s="5" t="str">
        <f aca="false">HYPERLINK("https://www.fabsurplus.com/sdi_catalog/salesItemDetails.do?id=110455")</f>
        <v>https://www.fabsurplus.com/sdi_catalog/salesItemDetails.do?id=110455</v>
      </c>
      <c r="B3529" s="5" t="s">
        <v>10078</v>
      </c>
      <c r="C3529" s="5" t="s">
        <v>9974</v>
      </c>
      <c r="D3529" s="5" t="s">
        <v>676</v>
      </c>
      <c r="E3529" s="5" t="s">
        <v>170</v>
      </c>
      <c r="F3529" s="5" t="s">
        <v>16</v>
      </c>
      <c r="G3529" s="5" t="s">
        <v>165</v>
      </c>
      <c r="H3529" s="5"/>
      <c r="I3529" s="5"/>
      <c r="J3529" s="5" t="s">
        <v>42</v>
      </c>
      <c r="K3529" s="5"/>
      <c r="L3529" s="5" t="s">
        <v>10079</v>
      </c>
    </row>
    <row r="3530" customFormat="false" ht="15.65" hidden="false" customHeight="true" outlineLevel="0" collapsed="false">
      <c r="A3530" s="2" t="str">
        <f aca="false">HYPERLINK("https://www.fabsurplus.com/sdi_catalog/salesItemDetails.do?id=110456")</f>
        <v>https://www.fabsurplus.com/sdi_catalog/salesItemDetails.do?id=110456</v>
      </c>
      <c r="B3530" s="2" t="s">
        <v>10080</v>
      </c>
      <c r="C3530" s="2" t="s">
        <v>9974</v>
      </c>
      <c r="D3530" s="2" t="s">
        <v>676</v>
      </c>
      <c r="E3530" s="2" t="s">
        <v>170</v>
      </c>
      <c r="F3530" s="2" t="s">
        <v>16</v>
      </c>
      <c r="G3530" s="2" t="s">
        <v>165</v>
      </c>
      <c r="H3530" s="2"/>
      <c r="I3530" s="2"/>
      <c r="J3530" s="2" t="s">
        <v>42</v>
      </c>
      <c r="K3530" s="2"/>
      <c r="L3530" s="2" t="s">
        <v>10079</v>
      </c>
    </row>
    <row r="3531" customFormat="false" ht="15.65" hidden="false" customHeight="true" outlineLevel="0" collapsed="false">
      <c r="A3531" s="5" t="str">
        <f aca="false">HYPERLINK("https://www.fabsurplus.com/sdi_catalog/salesItemDetails.do?id=110457")</f>
        <v>https://www.fabsurplus.com/sdi_catalog/salesItemDetails.do?id=110457</v>
      </c>
      <c r="B3531" s="5" t="s">
        <v>10081</v>
      </c>
      <c r="C3531" s="5" t="s">
        <v>9974</v>
      </c>
      <c r="D3531" s="5" t="s">
        <v>676</v>
      </c>
      <c r="E3531" s="5" t="s">
        <v>170</v>
      </c>
      <c r="F3531" s="5" t="s">
        <v>16</v>
      </c>
      <c r="G3531" s="5" t="s">
        <v>165</v>
      </c>
      <c r="H3531" s="5"/>
      <c r="I3531" s="5"/>
      <c r="J3531" s="5" t="s">
        <v>42</v>
      </c>
      <c r="K3531" s="5"/>
      <c r="L3531" s="5" t="s">
        <v>10082</v>
      </c>
    </row>
    <row r="3532" customFormat="false" ht="15.65" hidden="false" customHeight="true" outlineLevel="0" collapsed="false">
      <c r="A3532" s="2" t="str">
        <f aca="false">HYPERLINK("https://www.fabsurplus.com/sdi_catalog/salesItemDetails.do?id=110458")</f>
        <v>https://www.fabsurplus.com/sdi_catalog/salesItemDetails.do?id=110458</v>
      </c>
      <c r="B3532" s="2" t="s">
        <v>10083</v>
      </c>
      <c r="C3532" s="2" t="s">
        <v>9974</v>
      </c>
      <c r="D3532" s="2" t="s">
        <v>676</v>
      </c>
      <c r="E3532" s="2" t="s">
        <v>170</v>
      </c>
      <c r="F3532" s="2" t="s">
        <v>16</v>
      </c>
      <c r="G3532" s="2" t="s">
        <v>165</v>
      </c>
      <c r="H3532" s="2"/>
      <c r="I3532" s="2"/>
      <c r="J3532" s="2" t="s">
        <v>42</v>
      </c>
      <c r="K3532" s="2"/>
      <c r="L3532" s="2" t="s">
        <v>10079</v>
      </c>
    </row>
    <row r="3533" customFormat="false" ht="15.65" hidden="false" customHeight="true" outlineLevel="0" collapsed="false">
      <c r="A3533" s="5" t="str">
        <f aca="false">HYPERLINK("https://www.fabsurplus.com/sdi_catalog/salesItemDetails.do?id=110459")</f>
        <v>https://www.fabsurplus.com/sdi_catalog/salesItemDetails.do?id=110459</v>
      </c>
      <c r="B3533" s="5" t="s">
        <v>10084</v>
      </c>
      <c r="C3533" s="5" t="s">
        <v>9974</v>
      </c>
      <c r="D3533" s="5" t="s">
        <v>676</v>
      </c>
      <c r="E3533" s="5" t="s">
        <v>170</v>
      </c>
      <c r="F3533" s="5" t="s">
        <v>16</v>
      </c>
      <c r="G3533" s="5" t="s">
        <v>165</v>
      </c>
      <c r="H3533" s="5"/>
      <c r="I3533" s="5"/>
      <c r="J3533" s="5" t="s">
        <v>42</v>
      </c>
      <c r="K3533" s="5"/>
      <c r="L3533" s="5" t="s">
        <v>10085</v>
      </c>
    </row>
    <row r="3534" customFormat="false" ht="15.65" hidden="false" customHeight="true" outlineLevel="0" collapsed="false">
      <c r="A3534" s="2" t="str">
        <f aca="false">HYPERLINK("https://www.fabsurplus.com/sdi_catalog/salesItemDetails.do?id=109522")</f>
        <v>https://www.fabsurplus.com/sdi_catalog/salesItemDetails.do?id=109522</v>
      </c>
      <c r="B3534" s="2" t="s">
        <v>10086</v>
      </c>
      <c r="C3534" s="2" t="s">
        <v>9974</v>
      </c>
      <c r="D3534" s="2" t="s">
        <v>10087</v>
      </c>
      <c r="E3534" s="2" t="s">
        <v>103</v>
      </c>
      <c r="F3534" s="2" t="s">
        <v>16</v>
      </c>
      <c r="G3534" s="2" t="s">
        <v>104</v>
      </c>
      <c r="H3534" s="2"/>
      <c r="I3534" s="2"/>
      <c r="J3534" s="2" t="s">
        <v>19</v>
      </c>
      <c r="K3534" s="2"/>
      <c r="L3534" s="2" t="s">
        <v>10088</v>
      </c>
    </row>
    <row r="3535" customFormat="false" ht="15.65" hidden="false" customHeight="true" outlineLevel="0" collapsed="false">
      <c r="A3535" s="5" t="str">
        <f aca="false">HYPERLINK("https://www.fabsurplus.com/sdi_catalog/salesItemDetails.do?id=109523")</f>
        <v>https://www.fabsurplus.com/sdi_catalog/salesItemDetails.do?id=109523</v>
      </c>
      <c r="B3535" s="5" t="s">
        <v>10089</v>
      </c>
      <c r="C3535" s="5" t="s">
        <v>9974</v>
      </c>
      <c r="D3535" s="5" t="s">
        <v>10090</v>
      </c>
      <c r="E3535" s="5" t="s">
        <v>103</v>
      </c>
      <c r="F3535" s="5" t="s">
        <v>151</v>
      </c>
      <c r="G3535" s="5" t="s">
        <v>104</v>
      </c>
      <c r="H3535" s="5"/>
      <c r="I3535" s="5"/>
      <c r="J3535" s="5" t="s">
        <v>19</v>
      </c>
      <c r="K3535" s="5"/>
      <c r="L3535" s="5" t="s">
        <v>10091</v>
      </c>
    </row>
    <row r="3536" customFormat="false" ht="15.65" hidden="false" customHeight="true" outlineLevel="0" collapsed="false">
      <c r="A3536" s="2" t="str">
        <f aca="false">HYPERLINK("https://www.fabsurplus.com/sdi_catalog/salesItemDetails.do?id=109524")</f>
        <v>https://www.fabsurplus.com/sdi_catalog/salesItemDetails.do?id=109524</v>
      </c>
      <c r="B3536" s="2" t="s">
        <v>10092</v>
      </c>
      <c r="C3536" s="2" t="s">
        <v>9974</v>
      </c>
      <c r="D3536" s="2" t="s">
        <v>10093</v>
      </c>
      <c r="E3536" s="2" t="s">
        <v>103</v>
      </c>
      <c r="F3536" s="2" t="s">
        <v>16</v>
      </c>
      <c r="G3536" s="2" t="s">
        <v>104</v>
      </c>
      <c r="H3536" s="2"/>
      <c r="I3536" s="2"/>
      <c r="J3536" s="2" t="s">
        <v>19</v>
      </c>
      <c r="K3536" s="2"/>
      <c r="L3536" s="2"/>
    </row>
    <row r="3537" customFormat="false" ht="15.65" hidden="false" customHeight="true" outlineLevel="0" collapsed="false">
      <c r="A3537" s="5" t="str">
        <f aca="false">HYPERLINK("https://www.fabsurplus.com/sdi_catalog/salesItemDetails.do?id=107768")</f>
        <v>https://www.fabsurplus.com/sdi_catalog/salesItemDetails.do?id=107768</v>
      </c>
      <c r="B3537" s="5" t="s">
        <v>10094</v>
      </c>
      <c r="C3537" s="5" t="s">
        <v>9974</v>
      </c>
      <c r="D3537" s="5" t="s">
        <v>9977</v>
      </c>
      <c r="E3537" s="5" t="s">
        <v>1390</v>
      </c>
      <c r="F3537" s="5" t="s">
        <v>16</v>
      </c>
      <c r="G3537" s="5" t="s">
        <v>104</v>
      </c>
      <c r="H3537" s="5" t="s">
        <v>275</v>
      </c>
      <c r="I3537" s="5"/>
      <c r="J3537" s="5" t="s">
        <v>19</v>
      </c>
      <c r="K3537" s="5" t="s">
        <v>20</v>
      </c>
      <c r="L3537" s="5"/>
    </row>
    <row r="3538" customFormat="false" ht="15.65" hidden="false" customHeight="true" outlineLevel="0" collapsed="false">
      <c r="A3538" s="2" t="str">
        <f aca="false">HYPERLINK("https://www.fabsurplus.com/sdi_catalog/salesItemDetails.do?id=110460")</f>
        <v>https://www.fabsurplus.com/sdi_catalog/salesItemDetails.do?id=110460</v>
      </c>
      <c r="B3538" s="2" t="s">
        <v>10095</v>
      </c>
      <c r="C3538" s="2" t="s">
        <v>10096</v>
      </c>
      <c r="D3538" s="2" t="s">
        <v>10097</v>
      </c>
      <c r="E3538" s="2" t="s">
        <v>763</v>
      </c>
      <c r="F3538" s="2" t="s">
        <v>16</v>
      </c>
      <c r="G3538" s="2" t="s">
        <v>165</v>
      </c>
      <c r="H3538" s="2"/>
      <c r="I3538" s="2"/>
      <c r="J3538" s="2" t="s">
        <v>42</v>
      </c>
      <c r="K3538" s="2"/>
      <c r="L3538" s="2" t="s">
        <v>686</v>
      </c>
    </row>
    <row r="3539" customFormat="false" ht="15.65" hidden="false" customHeight="true" outlineLevel="0" collapsed="false">
      <c r="A3539" s="5" t="str">
        <f aca="false">HYPERLINK("https://www.fabsurplus.com/sdi_catalog/salesItemDetails.do?id=110461")</f>
        <v>https://www.fabsurplus.com/sdi_catalog/salesItemDetails.do?id=110461</v>
      </c>
      <c r="B3539" s="5" t="s">
        <v>10098</v>
      </c>
      <c r="C3539" s="5" t="s">
        <v>10096</v>
      </c>
      <c r="D3539" s="5" t="s">
        <v>10099</v>
      </c>
      <c r="E3539" s="5" t="s">
        <v>763</v>
      </c>
      <c r="F3539" s="5" t="s">
        <v>16</v>
      </c>
      <c r="G3539" s="5" t="s">
        <v>165</v>
      </c>
      <c r="H3539" s="5"/>
      <c r="I3539" s="5"/>
      <c r="J3539" s="5" t="s">
        <v>42</v>
      </c>
      <c r="K3539" s="5"/>
      <c r="L3539" s="5" t="s">
        <v>10100</v>
      </c>
    </row>
    <row r="3540" customFormat="false" ht="15.65" hidden="false" customHeight="true" outlineLevel="0" collapsed="false">
      <c r="A3540" s="2" t="str">
        <f aca="false">HYPERLINK("https://www.fabsurplus.com/sdi_catalog/salesItemDetails.do?id=110462")</f>
        <v>https://www.fabsurplus.com/sdi_catalog/salesItemDetails.do?id=110462</v>
      </c>
      <c r="B3540" s="2" t="s">
        <v>10101</v>
      </c>
      <c r="C3540" s="2" t="s">
        <v>10096</v>
      </c>
      <c r="D3540" s="2" t="s">
        <v>10102</v>
      </c>
      <c r="E3540" s="2" t="s">
        <v>164</v>
      </c>
      <c r="F3540" s="2" t="s">
        <v>16</v>
      </c>
      <c r="G3540" s="2" t="s">
        <v>165</v>
      </c>
      <c r="H3540" s="2"/>
      <c r="I3540" s="2"/>
      <c r="J3540" s="2" t="s">
        <v>42</v>
      </c>
      <c r="K3540" s="2"/>
      <c r="L3540" s="2" t="s">
        <v>686</v>
      </c>
    </row>
    <row r="3541" customFormat="false" ht="15.65" hidden="false" customHeight="true" outlineLevel="0" collapsed="false">
      <c r="A3541" s="5" t="str">
        <f aca="false">HYPERLINK("https://www.fabsurplus.com/sdi_catalog/salesItemDetails.do?id=110463")</f>
        <v>https://www.fabsurplus.com/sdi_catalog/salesItemDetails.do?id=110463</v>
      </c>
      <c r="B3541" s="5" t="s">
        <v>10103</v>
      </c>
      <c r="C3541" s="5" t="s">
        <v>10096</v>
      </c>
      <c r="D3541" s="5" t="s">
        <v>10102</v>
      </c>
      <c r="E3541" s="5" t="s">
        <v>164</v>
      </c>
      <c r="F3541" s="5" t="s">
        <v>16</v>
      </c>
      <c r="G3541" s="5" t="s">
        <v>165</v>
      </c>
      <c r="H3541" s="5"/>
      <c r="I3541" s="5"/>
      <c r="J3541" s="5" t="s">
        <v>42</v>
      </c>
      <c r="K3541" s="5"/>
      <c r="L3541" s="5" t="s">
        <v>686</v>
      </c>
    </row>
    <row r="3542" customFormat="false" ht="15.65" hidden="false" customHeight="true" outlineLevel="0" collapsed="false">
      <c r="A3542" s="2" t="str">
        <f aca="false">HYPERLINK("https://www.fabsurplus.com/sdi_catalog/salesItemDetails.do?id=110464")</f>
        <v>https://www.fabsurplus.com/sdi_catalog/salesItemDetails.do?id=110464</v>
      </c>
      <c r="B3542" s="2" t="s">
        <v>10104</v>
      </c>
      <c r="C3542" s="2" t="s">
        <v>10096</v>
      </c>
      <c r="D3542" s="2" t="s">
        <v>665</v>
      </c>
      <c r="E3542" s="2" t="s">
        <v>170</v>
      </c>
      <c r="F3542" s="2" t="s">
        <v>16</v>
      </c>
      <c r="G3542" s="2" t="s">
        <v>165</v>
      </c>
      <c r="H3542" s="2"/>
      <c r="I3542" s="2"/>
      <c r="J3542" s="2" t="s">
        <v>42</v>
      </c>
      <c r="K3542" s="2"/>
      <c r="L3542" s="2" t="s">
        <v>10105</v>
      </c>
    </row>
    <row r="3543" customFormat="false" ht="15.65" hidden="false" customHeight="true" outlineLevel="0" collapsed="false">
      <c r="A3543" s="5" t="str">
        <f aca="false">HYPERLINK("https://www.fabsurplus.com/sdi_catalog/salesItemDetails.do?id=106868")</f>
        <v>https://www.fabsurplus.com/sdi_catalog/salesItemDetails.do?id=106868</v>
      </c>
      <c r="B3543" s="5" t="s">
        <v>10106</v>
      </c>
      <c r="C3543" s="5" t="s">
        <v>10107</v>
      </c>
      <c r="D3543" s="5" t="s">
        <v>10108</v>
      </c>
      <c r="E3543" s="5" t="s">
        <v>10109</v>
      </c>
      <c r="F3543" s="5" t="s">
        <v>16</v>
      </c>
      <c r="G3543" s="5" t="s">
        <v>3031</v>
      </c>
      <c r="H3543" s="5" t="s">
        <v>453</v>
      </c>
      <c r="I3543" s="6" t="n">
        <v>36220</v>
      </c>
      <c r="J3543" s="5" t="s">
        <v>19</v>
      </c>
      <c r="K3543" s="5" t="s">
        <v>20</v>
      </c>
      <c r="L3543" s="7" t="s">
        <v>10110</v>
      </c>
    </row>
    <row r="3544" customFormat="false" ht="15.65" hidden="false" customHeight="true" outlineLevel="0" collapsed="false">
      <c r="A3544" s="2" t="str">
        <f aca="false">HYPERLINK("https://www.fabsurplus.com/sdi_catalog/salesItemDetails.do?id=108865")</f>
        <v>https://www.fabsurplus.com/sdi_catalog/salesItemDetails.do?id=108865</v>
      </c>
      <c r="B3544" s="2" t="s">
        <v>10111</v>
      </c>
      <c r="C3544" s="2" t="s">
        <v>10112</v>
      </c>
      <c r="D3544" s="2" t="s">
        <v>10113</v>
      </c>
      <c r="E3544" s="2" t="s">
        <v>10114</v>
      </c>
      <c r="F3544" s="2" t="s">
        <v>16</v>
      </c>
      <c r="G3544" s="2"/>
      <c r="H3544" s="2"/>
      <c r="I3544" s="2"/>
      <c r="J3544" s="2" t="s">
        <v>42</v>
      </c>
      <c r="K3544" s="2"/>
      <c r="L3544" s="2" t="s">
        <v>131</v>
      </c>
    </row>
    <row r="3545" customFormat="false" ht="15.65" hidden="false" customHeight="true" outlineLevel="0" collapsed="false">
      <c r="A3545" s="5" t="str">
        <f aca="false">HYPERLINK("https://www.fabsurplus.com/sdi_catalog/salesItemDetails.do?id=108194")</f>
        <v>https://www.fabsurplus.com/sdi_catalog/salesItemDetails.do?id=108194</v>
      </c>
      <c r="B3545" s="5" t="s">
        <v>10115</v>
      </c>
      <c r="C3545" s="5" t="s">
        <v>10116</v>
      </c>
      <c r="D3545" s="5" t="s">
        <v>10117</v>
      </c>
      <c r="E3545" s="5" t="s">
        <v>10118</v>
      </c>
      <c r="F3545" s="5" t="s">
        <v>16</v>
      </c>
      <c r="G3545" s="5" t="s">
        <v>38</v>
      </c>
      <c r="H3545" s="5" t="s">
        <v>32</v>
      </c>
      <c r="I3545" s="6" t="n">
        <v>36678</v>
      </c>
      <c r="J3545" s="5" t="s">
        <v>19</v>
      </c>
      <c r="K3545" s="5" t="s">
        <v>20</v>
      </c>
      <c r="L3545" s="5" t="s">
        <v>1480</v>
      </c>
    </row>
    <row r="3546" customFormat="false" ht="15.65" hidden="false" customHeight="true" outlineLevel="0" collapsed="false">
      <c r="A3546" s="2" t="str">
        <f aca="false">HYPERLINK("https://www.fabsurplus.com/sdi_catalog/salesItemDetails.do?id=91557")</f>
        <v>https://www.fabsurplus.com/sdi_catalog/salesItemDetails.do?id=91557</v>
      </c>
      <c r="B3546" s="2" t="s">
        <v>10119</v>
      </c>
      <c r="C3546" s="2" t="s">
        <v>10116</v>
      </c>
      <c r="D3546" s="2" t="s">
        <v>10120</v>
      </c>
      <c r="E3546" s="2" t="s">
        <v>10121</v>
      </c>
      <c r="F3546" s="2" t="s">
        <v>16</v>
      </c>
      <c r="G3546" s="2" t="s">
        <v>38</v>
      </c>
      <c r="H3546" s="2"/>
      <c r="I3546" s="3" t="n">
        <v>34820</v>
      </c>
      <c r="J3546" s="2" t="s">
        <v>19</v>
      </c>
      <c r="K3546" s="2"/>
      <c r="L3546" s="2" t="s">
        <v>142</v>
      </c>
    </row>
    <row r="3547" customFormat="false" ht="15.65" hidden="false" customHeight="true" outlineLevel="0" collapsed="false">
      <c r="A3547" s="5" t="str">
        <f aca="false">HYPERLINK("https://www.fabsurplus.com/sdi_catalog/salesItemDetails.do?id=98731")</f>
        <v>https://www.fabsurplus.com/sdi_catalog/salesItemDetails.do?id=98731</v>
      </c>
      <c r="B3547" s="5" t="s">
        <v>10122</v>
      </c>
      <c r="C3547" s="5" t="s">
        <v>10123</v>
      </c>
      <c r="D3547" s="5" t="s">
        <v>10124</v>
      </c>
      <c r="E3547" s="5" t="s">
        <v>10125</v>
      </c>
      <c r="F3547" s="5" t="s">
        <v>16</v>
      </c>
      <c r="G3547" s="5" t="s">
        <v>31</v>
      </c>
      <c r="H3547" s="5" t="s">
        <v>32</v>
      </c>
      <c r="I3547" s="6" t="n">
        <v>39600</v>
      </c>
      <c r="J3547" s="5" t="s">
        <v>19</v>
      </c>
      <c r="K3547" s="5" t="s">
        <v>20</v>
      </c>
      <c r="L3547" s="5" t="s">
        <v>10126</v>
      </c>
    </row>
    <row r="3548" customFormat="false" ht="15.65" hidden="false" customHeight="true" outlineLevel="0" collapsed="false">
      <c r="A3548" s="2" t="str">
        <f aca="false">HYPERLINK("https://www.fabsurplus.com/sdi_catalog/salesItemDetails.do?id=106985")</f>
        <v>https://www.fabsurplus.com/sdi_catalog/salesItemDetails.do?id=106985</v>
      </c>
      <c r="B3548" s="2" t="s">
        <v>10127</v>
      </c>
      <c r="C3548" s="2" t="s">
        <v>10123</v>
      </c>
      <c r="D3548" s="2" t="s">
        <v>10128</v>
      </c>
      <c r="E3548" s="2" t="s">
        <v>10129</v>
      </c>
      <c r="F3548" s="2" t="s">
        <v>16</v>
      </c>
      <c r="G3548" s="2" t="s">
        <v>31</v>
      </c>
      <c r="H3548" s="2" t="s">
        <v>18</v>
      </c>
      <c r="I3548" s="3" t="n">
        <v>41791</v>
      </c>
      <c r="J3548" s="2" t="s">
        <v>19</v>
      </c>
      <c r="K3548" s="2" t="s">
        <v>20</v>
      </c>
      <c r="L3548" s="4" t="s">
        <v>10130</v>
      </c>
    </row>
    <row r="3549" customFormat="false" ht="15.65" hidden="false" customHeight="true" outlineLevel="0" collapsed="false">
      <c r="A3549" s="5" t="str">
        <f aca="false">HYPERLINK("https://www.fabsurplus.com/sdi_catalog/salesItemDetails.do?id=53053")</f>
        <v>https://www.fabsurplus.com/sdi_catalog/salesItemDetails.do?id=53053</v>
      </c>
      <c r="B3549" s="5" t="s">
        <v>10131</v>
      </c>
      <c r="C3549" s="5" t="s">
        <v>10132</v>
      </c>
      <c r="D3549" s="5" t="s">
        <v>10133</v>
      </c>
      <c r="E3549" s="5" t="s">
        <v>10134</v>
      </c>
      <c r="F3549" s="5" t="s">
        <v>16</v>
      </c>
      <c r="G3549" s="5" t="s">
        <v>38</v>
      </c>
      <c r="H3549" s="5" t="s">
        <v>18</v>
      </c>
      <c r="I3549" s="6" t="n">
        <v>34851</v>
      </c>
      <c r="J3549" s="5" t="s">
        <v>19</v>
      </c>
      <c r="K3549" s="5" t="s">
        <v>20</v>
      </c>
      <c r="L3549" s="7" t="s">
        <v>10135</v>
      </c>
    </row>
    <row r="3550" customFormat="false" ht="15.65" hidden="false" customHeight="true" outlineLevel="0" collapsed="false">
      <c r="A3550" s="2" t="str">
        <f aca="false">HYPERLINK("https://www.fabsurplus.com/sdi_catalog/salesItemDetails.do?id=106826")</f>
        <v>https://www.fabsurplus.com/sdi_catalog/salesItemDetails.do?id=106826</v>
      </c>
      <c r="B3550" s="2" t="s">
        <v>10136</v>
      </c>
      <c r="C3550" s="2" t="s">
        <v>10132</v>
      </c>
      <c r="D3550" s="2" t="s">
        <v>10137</v>
      </c>
      <c r="E3550" s="2" t="s">
        <v>10138</v>
      </c>
      <c r="F3550" s="2" t="s">
        <v>250</v>
      </c>
      <c r="G3550" s="2" t="s">
        <v>84</v>
      </c>
      <c r="H3550" s="2"/>
      <c r="I3550" s="2"/>
      <c r="J3550" s="2" t="s">
        <v>42</v>
      </c>
      <c r="K3550" s="2"/>
      <c r="L3550" s="2" t="s">
        <v>142</v>
      </c>
    </row>
    <row r="3551" customFormat="false" ht="15.65" hidden="false" customHeight="true" outlineLevel="0" collapsed="false">
      <c r="A3551" s="5" t="str">
        <f aca="false">HYPERLINK("https://www.fabsurplus.com/sdi_catalog/salesItemDetails.do?id=106827")</f>
        <v>https://www.fabsurplus.com/sdi_catalog/salesItemDetails.do?id=106827</v>
      </c>
      <c r="B3551" s="5" t="s">
        <v>10139</v>
      </c>
      <c r="C3551" s="5" t="s">
        <v>10132</v>
      </c>
      <c r="D3551" s="5" t="s">
        <v>10140</v>
      </c>
      <c r="E3551" s="5" t="s">
        <v>2942</v>
      </c>
      <c r="F3551" s="5" t="s">
        <v>16</v>
      </c>
      <c r="G3551" s="5" t="s">
        <v>8426</v>
      </c>
      <c r="H3551" s="5"/>
      <c r="I3551" s="5"/>
      <c r="J3551" s="5" t="s">
        <v>42</v>
      </c>
      <c r="K3551" s="5"/>
      <c r="L3551" s="5" t="s">
        <v>142</v>
      </c>
    </row>
    <row r="3552" customFormat="false" ht="15.65" hidden="false" customHeight="true" outlineLevel="0" collapsed="false">
      <c r="A3552" s="2" t="str">
        <f aca="false">HYPERLINK("https://www.fabsurplus.com/sdi_catalog/salesItemDetails.do?id=106828")</f>
        <v>https://www.fabsurplus.com/sdi_catalog/salesItemDetails.do?id=106828</v>
      </c>
      <c r="B3552" s="2" t="s">
        <v>10141</v>
      </c>
      <c r="C3552" s="2" t="s">
        <v>10132</v>
      </c>
      <c r="D3552" s="2" t="s">
        <v>10142</v>
      </c>
      <c r="E3552" s="2" t="s">
        <v>2942</v>
      </c>
      <c r="F3552" s="2" t="s">
        <v>16</v>
      </c>
      <c r="G3552" s="2" t="s">
        <v>1803</v>
      </c>
      <c r="H3552" s="2"/>
      <c r="I3552" s="2"/>
      <c r="J3552" s="2" t="s">
        <v>42</v>
      </c>
      <c r="K3552" s="2"/>
      <c r="L3552" s="2" t="s">
        <v>142</v>
      </c>
    </row>
    <row r="3553" customFormat="false" ht="15.65" hidden="false" customHeight="true" outlineLevel="0" collapsed="false">
      <c r="A3553" s="5" t="str">
        <f aca="false">HYPERLINK("https://www.fabsurplus.com/sdi_catalog/salesItemDetails.do?id=106829")</f>
        <v>https://www.fabsurplus.com/sdi_catalog/salesItemDetails.do?id=106829</v>
      </c>
      <c r="B3553" s="5" t="s">
        <v>10143</v>
      </c>
      <c r="C3553" s="5" t="s">
        <v>10132</v>
      </c>
      <c r="D3553" s="5" t="s">
        <v>10144</v>
      </c>
      <c r="E3553" s="5" t="s">
        <v>2942</v>
      </c>
      <c r="F3553" s="5" t="s">
        <v>16</v>
      </c>
      <c r="G3553" s="5" t="s">
        <v>84</v>
      </c>
      <c r="H3553" s="5"/>
      <c r="I3553" s="5"/>
      <c r="J3553" s="5" t="s">
        <v>42</v>
      </c>
      <c r="K3553" s="5"/>
      <c r="L3553" s="5" t="s">
        <v>142</v>
      </c>
    </row>
    <row r="3554" customFormat="false" ht="15.65" hidden="false" customHeight="true" outlineLevel="0" collapsed="false">
      <c r="A3554" s="2" t="str">
        <f aca="false">HYPERLINK("https://www.fabsurplus.com/sdi_catalog/salesItemDetails.do?id=106830")</f>
        <v>https://www.fabsurplus.com/sdi_catalog/salesItemDetails.do?id=106830</v>
      </c>
      <c r="B3554" s="2" t="s">
        <v>10145</v>
      </c>
      <c r="C3554" s="2" t="s">
        <v>10132</v>
      </c>
      <c r="D3554" s="2" t="s">
        <v>10146</v>
      </c>
      <c r="E3554" s="2" t="s">
        <v>10147</v>
      </c>
      <c r="F3554" s="2" t="s">
        <v>86</v>
      </c>
      <c r="G3554" s="2" t="s">
        <v>84</v>
      </c>
      <c r="H3554" s="2" t="s">
        <v>18</v>
      </c>
      <c r="I3554" s="2"/>
      <c r="J3554" s="2" t="s">
        <v>42</v>
      </c>
      <c r="K3554" s="2" t="s">
        <v>20</v>
      </c>
      <c r="L3554" s="4" t="s">
        <v>10148</v>
      </c>
    </row>
    <row r="3555" customFormat="false" ht="15.65" hidden="false" customHeight="true" outlineLevel="0" collapsed="false">
      <c r="A3555" s="5" t="str">
        <f aca="false">HYPERLINK("https://www.fabsurplus.com/sdi_catalog/salesItemDetails.do?id=103552")</f>
        <v>https://www.fabsurplus.com/sdi_catalog/salesItemDetails.do?id=103552</v>
      </c>
      <c r="B3555" s="5" t="s">
        <v>10149</v>
      </c>
      <c r="C3555" s="5" t="s">
        <v>10150</v>
      </c>
      <c r="D3555" s="5" t="s">
        <v>10151</v>
      </c>
      <c r="E3555" s="5" t="s">
        <v>10152</v>
      </c>
      <c r="F3555" s="5" t="s">
        <v>16</v>
      </c>
      <c r="G3555" s="5" t="s">
        <v>61</v>
      </c>
      <c r="H3555" s="5"/>
      <c r="I3555" s="6" t="n">
        <v>38868.9166666667</v>
      </c>
      <c r="J3555" s="5" t="s">
        <v>19</v>
      </c>
      <c r="K3555" s="5"/>
      <c r="L3555" s="7" t="s">
        <v>1682</v>
      </c>
    </row>
    <row r="3556" customFormat="false" ht="15.65" hidden="false" customHeight="true" outlineLevel="0" collapsed="false">
      <c r="A3556" s="2" t="str">
        <f aca="false">HYPERLINK("https://www.fabsurplus.com/sdi_catalog/salesItemDetails.do?id=83881")</f>
        <v>https://www.fabsurplus.com/sdi_catalog/salesItemDetails.do?id=83881</v>
      </c>
      <c r="B3556" s="2" t="s">
        <v>10153</v>
      </c>
      <c r="C3556" s="2" t="s">
        <v>10132</v>
      </c>
      <c r="D3556" s="2" t="s">
        <v>10154</v>
      </c>
      <c r="E3556" s="2" t="s">
        <v>10155</v>
      </c>
      <c r="F3556" s="2" t="s">
        <v>86</v>
      </c>
      <c r="G3556" s="2" t="s">
        <v>10156</v>
      </c>
      <c r="H3556" s="2" t="s">
        <v>98</v>
      </c>
      <c r="I3556" s="2"/>
      <c r="J3556" s="2" t="s">
        <v>19</v>
      </c>
      <c r="K3556" s="2" t="s">
        <v>20</v>
      </c>
      <c r="L3556" s="4" t="s">
        <v>10157</v>
      </c>
    </row>
    <row r="3557" customFormat="false" ht="15.65" hidden="false" customHeight="true" outlineLevel="0" collapsed="false">
      <c r="A3557" s="5" t="str">
        <f aca="false">HYPERLINK("https://www.fabsurplus.com/sdi_catalog/salesItemDetails.do?id=91574")</f>
        <v>https://www.fabsurplus.com/sdi_catalog/salesItemDetails.do?id=91574</v>
      </c>
      <c r="B3557" s="5" t="s">
        <v>10158</v>
      </c>
      <c r="C3557" s="5" t="s">
        <v>10150</v>
      </c>
      <c r="D3557" s="5" t="s">
        <v>10159</v>
      </c>
      <c r="E3557" s="5" t="s">
        <v>10152</v>
      </c>
      <c r="F3557" s="5" t="s">
        <v>16</v>
      </c>
      <c r="G3557" s="5" t="s">
        <v>61</v>
      </c>
      <c r="H3557" s="5" t="s">
        <v>32</v>
      </c>
      <c r="I3557" s="6" t="n">
        <v>37407.9166666667</v>
      </c>
      <c r="J3557" s="5" t="s">
        <v>19</v>
      </c>
      <c r="K3557" s="5" t="s">
        <v>20</v>
      </c>
      <c r="L3557" s="7" t="s">
        <v>10160</v>
      </c>
    </row>
    <row r="3558" customFormat="false" ht="15.65" hidden="false" customHeight="true" outlineLevel="0" collapsed="false">
      <c r="A3558" s="2" t="str">
        <f aca="false">HYPERLINK("https://www.fabsurplus.com/sdi_catalog/salesItemDetails.do?id=91575")</f>
        <v>https://www.fabsurplus.com/sdi_catalog/salesItemDetails.do?id=91575</v>
      </c>
      <c r="B3558" s="2" t="s">
        <v>10161</v>
      </c>
      <c r="C3558" s="2" t="s">
        <v>10150</v>
      </c>
      <c r="D3558" s="2" t="s">
        <v>10159</v>
      </c>
      <c r="E3558" s="2" t="s">
        <v>10152</v>
      </c>
      <c r="F3558" s="2" t="s">
        <v>16</v>
      </c>
      <c r="G3558" s="2" t="s">
        <v>61</v>
      </c>
      <c r="H3558" s="2" t="s">
        <v>18</v>
      </c>
      <c r="I3558" s="3" t="n">
        <v>37772.9166666667</v>
      </c>
      <c r="J3558" s="2" t="s">
        <v>19</v>
      </c>
      <c r="K3558" s="2" t="s">
        <v>20</v>
      </c>
      <c r="L3558" s="4" t="s">
        <v>10160</v>
      </c>
    </row>
    <row r="3559" customFormat="false" ht="15.65" hidden="false" customHeight="true" outlineLevel="0" collapsed="false">
      <c r="A3559" s="5" t="str">
        <f aca="false">HYPERLINK("https://www.fabsurplus.com/sdi_catalog/salesItemDetails.do?id=98490")</f>
        <v>https://www.fabsurplus.com/sdi_catalog/salesItemDetails.do?id=98490</v>
      </c>
      <c r="B3559" s="5" t="s">
        <v>10162</v>
      </c>
      <c r="C3559" s="5" t="s">
        <v>10132</v>
      </c>
      <c r="D3559" s="5" t="s">
        <v>10163</v>
      </c>
      <c r="E3559" s="5" t="s">
        <v>2942</v>
      </c>
      <c r="F3559" s="5" t="s">
        <v>16</v>
      </c>
      <c r="G3559" s="5" t="s">
        <v>1803</v>
      </c>
      <c r="H3559" s="5"/>
      <c r="I3559" s="5"/>
      <c r="J3559" s="5" t="s">
        <v>19</v>
      </c>
      <c r="K3559" s="5"/>
      <c r="L3559" s="5" t="s">
        <v>518</v>
      </c>
    </row>
    <row r="3560" customFormat="false" ht="15.65" hidden="false" customHeight="true" outlineLevel="0" collapsed="false">
      <c r="A3560" s="2" t="str">
        <f aca="false">HYPERLINK("https://www.fabsurplus.com/sdi_catalog/salesItemDetails.do?id=98491")</f>
        <v>https://www.fabsurplus.com/sdi_catalog/salesItemDetails.do?id=98491</v>
      </c>
      <c r="B3560" s="2" t="s">
        <v>10164</v>
      </c>
      <c r="C3560" s="2" t="s">
        <v>10132</v>
      </c>
      <c r="D3560" s="2" t="s">
        <v>10165</v>
      </c>
      <c r="E3560" s="2" t="s">
        <v>2942</v>
      </c>
      <c r="F3560" s="2" t="s">
        <v>16</v>
      </c>
      <c r="G3560" s="2" t="s">
        <v>1803</v>
      </c>
      <c r="H3560" s="2"/>
      <c r="I3560" s="2"/>
      <c r="J3560" s="2" t="s">
        <v>19</v>
      </c>
      <c r="K3560" s="2"/>
      <c r="L3560" s="2" t="s">
        <v>518</v>
      </c>
    </row>
    <row r="3561" customFormat="false" ht="15.65" hidden="false" customHeight="true" outlineLevel="0" collapsed="false">
      <c r="A3561" s="5" t="str">
        <f aca="false">HYPERLINK("https://www.fabsurplus.com/sdi_catalog/salesItemDetails.do?id=106188")</f>
        <v>https://www.fabsurplus.com/sdi_catalog/salesItemDetails.do?id=106188</v>
      </c>
      <c r="B3561" s="5" t="s">
        <v>10166</v>
      </c>
      <c r="C3561" s="5" t="s">
        <v>10132</v>
      </c>
      <c r="D3561" s="5" t="s">
        <v>10167</v>
      </c>
      <c r="E3561" s="5" t="s">
        <v>10168</v>
      </c>
      <c r="F3561" s="5" t="s">
        <v>16</v>
      </c>
      <c r="G3561" s="5" t="s">
        <v>104</v>
      </c>
      <c r="H3561" s="5" t="s">
        <v>32</v>
      </c>
      <c r="I3561" s="5"/>
      <c r="J3561" s="5" t="s">
        <v>19</v>
      </c>
      <c r="K3561" s="5" t="s">
        <v>1560</v>
      </c>
      <c r="L3561" s="7" t="s">
        <v>10169</v>
      </c>
    </row>
    <row r="3562" customFormat="false" ht="15.65" hidden="false" customHeight="true" outlineLevel="0" collapsed="false">
      <c r="A3562" s="2" t="str">
        <f aca="false">HYPERLINK("https://www.fabsurplus.com/sdi_catalog/salesItemDetails.do?id=81835")</f>
        <v>https://www.fabsurplus.com/sdi_catalog/salesItemDetails.do?id=81835</v>
      </c>
      <c r="B3562" s="2" t="s">
        <v>10170</v>
      </c>
      <c r="C3562" s="2" t="s">
        <v>10171</v>
      </c>
      <c r="D3562" s="2" t="s">
        <v>10172</v>
      </c>
      <c r="E3562" s="2" t="s">
        <v>10173</v>
      </c>
      <c r="F3562" s="2" t="s">
        <v>16</v>
      </c>
      <c r="G3562" s="2"/>
      <c r="H3562" s="2" t="s">
        <v>18</v>
      </c>
      <c r="I3562" s="2"/>
      <c r="J3562" s="2" t="s">
        <v>19</v>
      </c>
      <c r="K3562" s="2" t="s">
        <v>20</v>
      </c>
      <c r="L3562" s="4" t="s">
        <v>10174</v>
      </c>
    </row>
    <row r="3563" customFormat="false" ht="15.65" hidden="false" customHeight="true" outlineLevel="0" collapsed="false">
      <c r="A3563" s="5" t="str">
        <f aca="false">HYPERLINK("https://www.fabsurplus.com/sdi_catalog/salesItemDetails.do?id=56813")</f>
        <v>https://www.fabsurplus.com/sdi_catalog/salesItemDetails.do?id=56813</v>
      </c>
      <c r="B3563" s="5" t="s">
        <v>10175</v>
      </c>
      <c r="C3563" s="5" t="s">
        <v>10176</v>
      </c>
      <c r="D3563" s="5" t="s">
        <v>10177</v>
      </c>
      <c r="E3563" s="5" t="s">
        <v>10178</v>
      </c>
      <c r="F3563" s="5" t="s">
        <v>16</v>
      </c>
      <c r="G3563" s="5" t="s">
        <v>31</v>
      </c>
      <c r="H3563" s="5" t="s">
        <v>18</v>
      </c>
      <c r="I3563" s="6" t="n">
        <v>40452</v>
      </c>
      <c r="J3563" s="5" t="s">
        <v>19</v>
      </c>
      <c r="K3563" s="5" t="s">
        <v>20</v>
      </c>
      <c r="L3563" s="7" t="s">
        <v>10179</v>
      </c>
    </row>
    <row r="3564" customFormat="false" ht="15.65" hidden="false" customHeight="true" outlineLevel="0" collapsed="false">
      <c r="A3564" s="2" t="str">
        <f aca="false">HYPERLINK("https://www.fabsurplus.com/sdi_catalog/salesItemDetails.do?id=108866")</f>
        <v>https://www.fabsurplus.com/sdi_catalog/salesItemDetails.do?id=108866</v>
      </c>
      <c r="B3564" s="2" t="s">
        <v>10180</v>
      </c>
      <c r="C3564" s="2" t="s">
        <v>10181</v>
      </c>
      <c r="D3564" s="2" t="s">
        <v>10182</v>
      </c>
      <c r="E3564" s="2" t="s">
        <v>10183</v>
      </c>
      <c r="F3564" s="2" t="s">
        <v>16</v>
      </c>
      <c r="G3564" s="2" t="s">
        <v>165</v>
      </c>
      <c r="H3564" s="2"/>
      <c r="I3564" s="2"/>
      <c r="J3564" s="2" t="s">
        <v>42</v>
      </c>
      <c r="K3564" s="2"/>
      <c r="L3564" s="2" t="s">
        <v>131</v>
      </c>
    </row>
    <row r="3565" customFormat="false" ht="15.65" hidden="false" customHeight="true" outlineLevel="0" collapsed="false">
      <c r="A3565" s="5" t="str">
        <f aca="false">HYPERLINK("https://www.fabsurplus.com/sdi_catalog/salesItemDetails.do?id=108867")</f>
        <v>https://www.fabsurplus.com/sdi_catalog/salesItemDetails.do?id=108867</v>
      </c>
      <c r="B3565" s="5" t="s">
        <v>10184</v>
      </c>
      <c r="C3565" s="5" t="s">
        <v>10181</v>
      </c>
      <c r="D3565" s="5" t="s">
        <v>10185</v>
      </c>
      <c r="E3565" s="5" t="s">
        <v>10186</v>
      </c>
      <c r="F3565" s="5" t="s">
        <v>16</v>
      </c>
      <c r="G3565" s="5" t="s">
        <v>165</v>
      </c>
      <c r="H3565" s="5"/>
      <c r="I3565" s="5"/>
      <c r="J3565" s="5" t="s">
        <v>42</v>
      </c>
      <c r="K3565" s="5"/>
      <c r="L3565" s="5" t="s">
        <v>131</v>
      </c>
    </row>
    <row r="3566" customFormat="false" ht="15.65" hidden="false" customHeight="true" outlineLevel="0" collapsed="false">
      <c r="A3566" s="2" t="str">
        <f aca="false">HYPERLINK("https://www.fabsurplus.com/sdi_catalog/salesItemDetails.do?id=108868")</f>
        <v>https://www.fabsurplus.com/sdi_catalog/salesItemDetails.do?id=108868</v>
      </c>
      <c r="B3566" s="2" t="s">
        <v>10187</v>
      </c>
      <c r="C3566" s="2" t="s">
        <v>10181</v>
      </c>
      <c r="D3566" s="2" t="s">
        <v>10188</v>
      </c>
      <c r="E3566" s="2" t="s">
        <v>10183</v>
      </c>
      <c r="F3566" s="2" t="s">
        <v>16</v>
      </c>
      <c r="G3566" s="2" t="s">
        <v>165</v>
      </c>
      <c r="H3566" s="2"/>
      <c r="I3566" s="2"/>
      <c r="J3566" s="2" t="s">
        <v>42</v>
      </c>
      <c r="K3566" s="2"/>
      <c r="L3566" s="2" t="s">
        <v>131</v>
      </c>
    </row>
    <row r="3567" customFormat="false" ht="15.65" hidden="false" customHeight="true" outlineLevel="0" collapsed="false">
      <c r="A3567" s="5" t="str">
        <f aca="false">HYPERLINK("https://www.fabsurplus.com/sdi_catalog/salesItemDetails.do?id=108869")</f>
        <v>https://www.fabsurplus.com/sdi_catalog/salesItemDetails.do?id=108869</v>
      </c>
      <c r="B3567" s="5" t="s">
        <v>10189</v>
      </c>
      <c r="C3567" s="5" t="s">
        <v>10181</v>
      </c>
      <c r="D3567" s="5" t="s">
        <v>10188</v>
      </c>
      <c r="E3567" s="5" t="s">
        <v>10186</v>
      </c>
      <c r="F3567" s="5" t="s">
        <v>16</v>
      </c>
      <c r="G3567" s="5" t="s">
        <v>165</v>
      </c>
      <c r="H3567" s="5"/>
      <c r="I3567" s="5"/>
      <c r="J3567" s="5" t="s">
        <v>42</v>
      </c>
      <c r="K3567" s="5"/>
      <c r="L3567" s="5" t="s">
        <v>131</v>
      </c>
    </row>
    <row r="3568" customFormat="false" ht="15.65" hidden="false" customHeight="true" outlineLevel="0" collapsed="false">
      <c r="A3568" s="2" t="str">
        <f aca="false">HYPERLINK("https://www.fabsurplus.com/sdi_catalog/salesItemDetails.do?id=108870")</f>
        <v>https://www.fabsurplus.com/sdi_catalog/salesItemDetails.do?id=108870</v>
      </c>
      <c r="B3568" s="2" t="s">
        <v>10190</v>
      </c>
      <c r="C3568" s="2" t="s">
        <v>10181</v>
      </c>
      <c r="D3568" s="2" t="s">
        <v>10188</v>
      </c>
      <c r="E3568" s="2" t="s">
        <v>10186</v>
      </c>
      <c r="F3568" s="2" t="s">
        <v>16</v>
      </c>
      <c r="G3568" s="2" t="s">
        <v>165</v>
      </c>
      <c r="H3568" s="2"/>
      <c r="I3568" s="2"/>
      <c r="J3568" s="2" t="s">
        <v>42</v>
      </c>
      <c r="K3568" s="2"/>
      <c r="L3568" s="2" t="s">
        <v>131</v>
      </c>
    </row>
    <row r="3569" customFormat="false" ht="15.65" hidden="false" customHeight="true" outlineLevel="0" collapsed="false">
      <c r="A3569" s="5" t="str">
        <f aca="false">HYPERLINK("https://www.fabsurplus.com/sdi_catalog/salesItemDetails.do?id=108871")</f>
        <v>https://www.fabsurplus.com/sdi_catalog/salesItemDetails.do?id=108871</v>
      </c>
      <c r="B3569" s="5" t="s">
        <v>10191</v>
      </c>
      <c r="C3569" s="5" t="s">
        <v>10181</v>
      </c>
      <c r="D3569" s="5" t="s">
        <v>10192</v>
      </c>
      <c r="E3569" s="5" t="s">
        <v>10183</v>
      </c>
      <c r="F3569" s="5" t="s">
        <v>16</v>
      </c>
      <c r="G3569" s="5" t="s">
        <v>165</v>
      </c>
      <c r="H3569" s="5"/>
      <c r="I3569" s="5"/>
      <c r="J3569" s="5" t="s">
        <v>42</v>
      </c>
      <c r="K3569" s="5"/>
      <c r="L3569" s="5" t="s">
        <v>131</v>
      </c>
    </row>
    <row r="3570" customFormat="false" ht="15.65" hidden="false" customHeight="true" outlineLevel="0" collapsed="false">
      <c r="A3570" s="2" t="str">
        <f aca="false">HYPERLINK("https://www.fabsurplus.com/sdi_catalog/salesItemDetails.do?id=108872")</f>
        <v>https://www.fabsurplus.com/sdi_catalog/salesItemDetails.do?id=108872</v>
      </c>
      <c r="B3570" s="2" t="s">
        <v>10193</v>
      </c>
      <c r="C3570" s="2" t="s">
        <v>10181</v>
      </c>
      <c r="D3570" s="2" t="s">
        <v>10194</v>
      </c>
      <c r="E3570" s="2" t="s">
        <v>10195</v>
      </c>
      <c r="F3570" s="2" t="s">
        <v>16</v>
      </c>
      <c r="G3570" s="2" t="s">
        <v>165</v>
      </c>
      <c r="H3570" s="2"/>
      <c r="I3570" s="2"/>
      <c r="J3570" s="2" t="s">
        <v>42</v>
      </c>
      <c r="K3570" s="2"/>
      <c r="L3570" s="2" t="s">
        <v>131</v>
      </c>
    </row>
    <row r="3571" customFormat="false" ht="15.65" hidden="false" customHeight="true" outlineLevel="0" collapsed="false">
      <c r="A3571" s="5" t="str">
        <f aca="false">HYPERLINK("https://www.fabsurplus.com/sdi_catalog/salesItemDetails.do?id=108873")</f>
        <v>https://www.fabsurplus.com/sdi_catalog/salesItemDetails.do?id=108873</v>
      </c>
      <c r="B3571" s="5" t="s">
        <v>10196</v>
      </c>
      <c r="C3571" s="5" t="s">
        <v>10181</v>
      </c>
      <c r="D3571" s="5"/>
      <c r="E3571" s="5" t="s">
        <v>10197</v>
      </c>
      <c r="F3571" s="5" t="s">
        <v>16</v>
      </c>
      <c r="G3571" s="5" t="s">
        <v>165</v>
      </c>
      <c r="H3571" s="5"/>
      <c r="I3571" s="5"/>
      <c r="J3571" s="5" t="s">
        <v>42</v>
      </c>
      <c r="K3571" s="5"/>
      <c r="L3571" s="5" t="s">
        <v>131</v>
      </c>
    </row>
    <row r="3572" customFormat="false" ht="15.65" hidden="false" customHeight="true" outlineLevel="0" collapsed="false">
      <c r="A3572" s="2" t="str">
        <f aca="false">HYPERLINK("https://www.fabsurplus.com/sdi_catalog/salesItemDetails.do?id=108034")</f>
        <v>https://www.fabsurplus.com/sdi_catalog/salesItemDetails.do?id=108034</v>
      </c>
      <c r="B3572" s="2" t="s">
        <v>10198</v>
      </c>
      <c r="C3572" s="2" t="s">
        <v>10199</v>
      </c>
      <c r="D3572" s="2" t="s">
        <v>10200</v>
      </c>
      <c r="E3572" s="2" t="s">
        <v>7319</v>
      </c>
      <c r="F3572" s="2" t="s">
        <v>16</v>
      </c>
      <c r="G3572" s="2" t="s">
        <v>61</v>
      </c>
      <c r="H3572" s="2"/>
      <c r="I3572" s="3" t="n">
        <v>39083</v>
      </c>
      <c r="J3572" s="2" t="s">
        <v>19</v>
      </c>
      <c r="K3572" s="2"/>
      <c r="L3572" s="2" t="s">
        <v>142</v>
      </c>
    </row>
    <row r="3573" customFormat="false" ht="15.65" hidden="false" customHeight="true" outlineLevel="0" collapsed="false">
      <c r="A3573" s="5" t="str">
        <f aca="false">HYPERLINK("https://www.fabsurplus.com/sdi_catalog/salesItemDetails.do?id=109570")</f>
        <v>https://www.fabsurplus.com/sdi_catalog/salesItemDetails.do?id=109570</v>
      </c>
      <c r="B3573" s="5" t="s">
        <v>10201</v>
      </c>
      <c r="C3573" s="5" t="s">
        <v>10202</v>
      </c>
      <c r="D3573" s="5" t="s">
        <v>10203</v>
      </c>
      <c r="E3573" s="5" t="s">
        <v>10204</v>
      </c>
      <c r="F3573" s="5" t="s">
        <v>16</v>
      </c>
      <c r="G3573" s="5" t="s">
        <v>61</v>
      </c>
      <c r="H3573" s="5" t="s">
        <v>32</v>
      </c>
      <c r="I3573" s="5"/>
      <c r="J3573" s="5" t="s">
        <v>19</v>
      </c>
      <c r="K3573" s="5" t="s">
        <v>20</v>
      </c>
      <c r="L3573" s="7" t="s">
        <v>1329</v>
      </c>
    </row>
    <row r="3574" customFormat="false" ht="15.65" hidden="false" customHeight="true" outlineLevel="0" collapsed="false">
      <c r="A3574" s="2" t="str">
        <f aca="false">HYPERLINK("https://www.fabsurplus.com/sdi_catalog/salesItemDetails.do?id=94478")</f>
        <v>https://www.fabsurplus.com/sdi_catalog/salesItemDetails.do?id=94478</v>
      </c>
      <c r="B3574" s="2" t="s">
        <v>10205</v>
      </c>
      <c r="C3574" s="2" t="s">
        <v>10199</v>
      </c>
      <c r="D3574" s="2" t="s">
        <v>10206</v>
      </c>
      <c r="E3574" s="2" t="s">
        <v>10207</v>
      </c>
      <c r="F3574" s="2" t="s">
        <v>16</v>
      </c>
      <c r="G3574" s="2" t="s">
        <v>38</v>
      </c>
      <c r="H3574" s="2"/>
      <c r="I3574" s="2"/>
      <c r="J3574" s="2" t="s">
        <v>19</v>
      </c>
      <c r="K3574" s="2"/>
      <c r="L3574" s="2"/>
    </row>
    <row r="3575" customFormat="false" ht="15.65" hidden="false" customHeight="true" outlineLevel="0" collapsed="false">
      <c r="A3575" s="5" t="str">
        <f aca="false">HYPERLINK("https://www.fabsurplus.com/sdi_catalog/salesItemDetails.do?id=94479")</f>
        <v>https://www.fabsurplus.com/sdi_catalog/salesItemDetails.do?id=94479</v>
      </c>
      <c r="B3575" s="5" t="s">
        <v>10208</v>
      </c>
      <c r="C3575" s="5" t="s">
        <v>10199</v>
      </c>
      <c r="D3575" s="5" t="s">
        <v>10209</v>
      </c>
      <c r="E3575" s="5" t="s">
        <v>10207</v>
      </c>
      <c r="F3575" s="5" t="s">
        <v>16</v>
      </c>
      <c r="G3575" s="5" t="s">
        <v>38</v>
      </c>
      <c r="H3575" s="5"/>
      <c r="I3575" s="5"/>
      <c r="J3575" s="5" t="s">
        <v>19</v>
      </c>
      <c r="K3575" s="5"/>
      <c r="L3575" s="5"/>
    </row>
    <row r="3576" customFormat="false" ht="15.65" hidden="false" customHeight="true" outlineLevel="0" collapsed="false">
      <c r="A3576" s="2" t="str">
        <f aca="false">HYPERLINK("https://www.fabsurplus.com/sdi_catalog/salesItemDetails.do?id=98835")</f>
        <v>https://www.fabsurplus.com/sdi_catalog/salesItemDetails.do?id=98835</v>
      </c>
      <c r="B3576" s="2" t="s">
        <v>10210</v>
      </c>
      <c r="C3576" s="2" t="s">
        <v>10199</v>
      </c>
      <c r="D3576" s="2" t="s">
        <v>10211</v>
      </c>
      <c r="E3576" s="2" t="s">
        <v>10212</v>
      </c>
      <c r="F3576" s="2" t="s">
        <v>16</v>
      </c>
      <c r="G3576" s="2" t="s">
        <v>61</v>
      </c>
      <c r="H3576" s="2" t="s">
        <v>32</v>
      </c>
      <c r="I3576" s="3" t="n">
        <v>38139</v>
      </c>
      <c r="J3576" s="2" t="s">
        <v>19</v>
      </c>
      <c r="K3576" s="2" t="s">
        <v>20</v>
      </c>
      <c r="L3576" s="2" t="s">
        <v>10213</v>
      </c>
    </row>
    <row r="3577" customFormat="false" ht="15.65" hidden="false" customHeight="true" outlineLevel="0" collapsed="false">
      <c r="A3577" s="5" t="str">
        <f aca="false">HYPERLINK("https://www.fabsurplus.com/sdi_catalog/salesItemDetails.do?id=98837")</f>
        <v>https://www.fabsurplus.com/sdi_catalog/salesItemDetails.do?id=98837</v>
      </c>
      <c r="B3577" s="5" t="s">
        <v>10214</v>
      </c>
      <c r="C3577" s="5" t="s">
        <v>10199</v>
      </c>
      <c r="D3577" s="5" t="s">
        <v>10215</v>
      </c>
      <c r="E3577" s="5" t="s">
        <v>7067</v>
      </c>
      <c r="F3577" s="5" t="s">
        <v>16</v>
      </c>
      <c r="G3577" s="5" t="s">
        <v>61</v>
      </c>
      <c r="H3577" s="5" t="s">
        <v>32</v>
      </c>
      <c r="I3577" s="6" t="n">
        <v>39568.9166666667</v>
      </c>
      <c r="J3577" s="5" t="s">
        <v>19</v>
      </c>
      <c r="K3577" s="5" t="s">
        <v>20</v>
      </c>
      <c r="L3577" s="7" t="s">
        <v>6615</v>
      </c>
    </row>
    <row r="3578" customFormat="false" ht="15.65" hidden="false" customHeight="true" outlineLevel="0" collapsed="false">
      <c r="A3578" s="2" t="str">
        <f aca="false">HYPERLINK("https://www.fabsurplus.com/sdi_catalog/salesItemDetails.do?id=108587")</f>
        <v>https://www.fabsurplus.com/sdi_catalog/salesItemDetails.do?id=108587</v>
      </c>
      <c r="B3578" s="2" t="s">
        <v>10216</v>
      </c>
      <c r="C3578" s="2" t="s">
        <v>10199</v>
      </c>
      <c r="D3578" s="2" t="s">
        <v>9488</v>
      </c>
      <c r="E3578" s="2" t="s">
        <v>7334</v>
      </c>
      <c r="F3578" s="2" t="s">
        <v>16</v>
      </c>
      <c r="G3578" s="2" t="s">
        <v>84</v>
      </c>
      <c r="H3578" s="2" t="s">
        <v>32</v>
      </c>
      <c r="I3578" s="2"/>
      <c r="J3578" s="2" t="s">
        <v>19</v>
      </c>
      <c r="K3578" s="2" t="s">
        <v>20</v>
      </c>
      <c r="L3578" s="2" t="s">
        <v>395</v>
      </c>
    </row>
    <row r="3579" customFormat="false" ht="15.65" hidden="false" customHeight="true" outlineLevel="0" collapsed="false">
      <c r="A3579" s="5" t="str">
        <f aca="false">HYPERLINK("https://www.fabsurplus.com/sdi_catalog/salesItemDetails.do?id=100928")</f>
        <v>https://www.fabsurplus.com/sdi_catalog/salesItemDetails.do?id=100928</v>
      </c>
      <c r="B3579" s="5" t="s">
        <v>10217</v>
      </c>
      <c r="C3579" s="5" t="s">
        <v>10199</v>
      </c>
      <c r="D3579" s="5" t="s">
        <v>10211</v>
      </c>
      <c r="E3579" s="5" t="s">
        <v>10218</v>
      </c>
      <c r="F3579" s="5" t="s">
        <v>16</v>
      </c>
      <c r="G3579" s="5" t="s">
        <v>61</v>
      </c>
      <c r="H3579" s="5"/>
      <c r="I3579" s="6" t="n">
        <v>37772.9166666667</v>
      </c>
      <c r="J3579" s="5" t="s">
        <v>19</v>
      </c>
      <c r="K3579" s="5"/>
      <c r="L3579" s="5" t="s">
        <v>1539</v>
      </c>
    </row>
    <row r="3580" customFormat="false" ht="15.65" hidden="false" customHeight="true" outlineLevel="0" collapsed="false">
      <c r="A3580" s="2" t="str">
        <f aca="false">HYPERLINK("https://www.fabsurplus.com/sdi_catalog/salesItemDetails.do?id=100929")</f>
        <v>https://www.fabsurplus.com/sdi_catalog/salesItemDetails.do?id=100929</v>
      </c>
      <c r="B3580" s="2" t="s">
        <v>10219</v>
      </c>
      <c r="C3580" s="2" t="s">
        <v>10199</v>
      </c>
      <c r="D3580" s="2" t="s">
        <v>10220</v>
      </c>
      <c r="E3580" s="2" t="s">
        <v>10221</v>
      </c>
      <c r="F3580" s="2" t="s">
        <v>16</v>
      </c>
      <c r="G3580" s="2" t="s">
        <v>38</v>
      </c>
      <c r="H3580" s="2"/>
      <c r="I3580" s="3" t="n">
        <v>35216.9166666667</v>
      </c>
      <c r="J3580" s="2" t="s">
        <v>19</v>
      </c>
      <c r="K3580" s="2"/>
      <c r="L3580" s="2" t="s">
        <v>1539</v>
      </c>
    </row>
    <row r="3581" customFormat="false" ht="15.65" hidden="false" customHeight="true" outlineLevel="0" collapsed="false">
      <c r="A3581" s="5" t="str">
        <f aca="false">HYPERLINK("https://www.fabsurplus.com/sdi_catalog/salesItemDetails.do?id=100930")</f>
        <v>https://www.fabsurplus.com/sdi_catalog/salesItemDetails.do?id=100930</v>
      </c>
      <c r="B3581" s="5" t="s">
        <v>10222</v>
      </c>
      <c r="C3581" s="5" t="s">
        <v>10199</v>
      </c>
      <c r="D3581" s="5" t="s">
        <v>10223</v>
      </c>
      <c r="E3581" s="5" t="s">
        <v>10224</v>
      </c>
      <c r="F3581" s="5" t="s">
        <v>16</v>
      </c>
      <c r="G3581" s="5" t="s">
        <v>38</v>
      </c>
      <c r="H3581" s="5"/>
      <c r="I3581" s="6" t="n">
        <v>39233.9166666667</v>
      </c>
      <c r="J3581" s="5" t="s">
        <v>19</v>
      </c>
      <c r="K3581" s="5"/>
      <c r="L3581" s="5" t="s">
        <v>1539</v>
      </c>
    </row>
    <row r="3582" customFormat="false" ht="15.65" hidden="false" customHeight="true" outlineLevel="0" collapsed="false">
      <c r="A3582" s="2" t="str">
        <f aca="false">HYPERLINK("https://www.fabsurplus.com/sdi_catalog/salesItemDetails.do?id=100931")</f>
        <v>https://www.fabsurplus.com/sdi_catalog/salesItemDetails.do?id=100931</v>
      </c>
      <c r="B3582" s="2" t="s">
        <v>10225</v>
      </c>
      <c r="C3582" s="2" t="s">
        <v>10199</v>
      </c>
      <c r="D3582" s="2" t="s">
        <v>10223</v>
      </c>
      <c r="E3582" s="2" t="s">
        <v>10224</v>
      </c>
      <c r="F3582" s="2" t="s">
        <v>16</v>
      </c>
      <c r="G3582" s="2" t="s">
        <v>38</v>
      </c>
      <c r="H3582" s="2"/>
      <c r="I3582" s="3" t="n">
        <v>39964.9166666667</v>
      </c>
      <c r="J3582" s="2" t="s">
        <v>19</v>
      </c>
      <c r="K3582" s="2"/>
      <c r="L3582" s="2" t="s">
        <v>1539</v>
      </c>
    </row>
    <row r="3583" customFormat="false" ht="15.65" hidden="false" customHeight="true" outlineLevel="0" collapsed="false">
      <c r="A3583" s="5" t="str">
        <f aca="false">HYPERLINK("https://www.fabsurplus.com/sdi_catalog/salesItemDetails.do?id=100932")</f>
        <v>https://www.fabsurplus.com/sdi_catalog/salesItemDetails.do?id=100932</v>
      </c>
      <c r="B3583" s="5" t="s">
        <v>10226</v>
      </c>
      <c r="C3583" s="5" t="s">
        <v>10199</v>
      </c>
      <c r="D3583" s="5" t="s">
        <v>10227</v>
      </c>
      <c r="E3583" s="5" t="s">
        <v>10228</v>
      </c>
      <c r="F3583" s="5" t="s">
        <v>16</v>
      </c>
      <c r="G3583" s="5" t="s">
        <v>38</v>
      </c>
      <c r="H3583" s="5"/>
      <c r="I3583" s="6" t="n">
        <v>41060.9166666667</v>
      </c>
      <c r="J3583" s="5" t="s">
        <v>19</v>
      </c>
      <c r="K3583" s="5"/>
      <c r="L3583" s="5" t="s">
        <v>1539</v>
      </c>
    </row>
    <row r="3584" customFormat="false" ht="15.65" hidden="false" customHeight="true" outlineLevel="0" collapsed="false">
      <c r="A3584" s="2" t="str">
        <f aca="false">HYPERLINK("https://www.fabsurplus.com/sdi_catalog/salesItemDetails.do?id=106831")</f>
        <v>https://www.fabsurplus.com/sdi_catalog/salesItemDetails.do?id=106831</v>
      </c>
      <c r="B3584" s="2" t="s">
        <v>10229</v>
      </c>
      <c r="C3584" s="2" t="s">
        <v>10230</v>
      </c>
      <c r="D3584" s="2" t="s">
        <v>10231</v>
      </c>
      <c r="E3584" s="2" t="s">
        <v>10232</v>
      </c>
      <c r="F3584" s="2" t="s">
        <v>16</v>
      </c>
      <c r="G3584" s="2" t="s">
        <v>1803</v>
      </c>
      <c r="H3584" s="2"/>
      <c r="I3584" s="2"/>
      <c r="J3584" s="2" t="s">
        <v>42</v>
      </c>
      <c r="K3584" s="2"/>
      <c r="L3584" s="2" t="s">
        <v>142</v>
      </c>
    </row>
    <row r="3585" customFormat="false" ht="15.65" hidden="false" customHeight="true" outlineLevel="0" collapsed="false">
      <c r="A3585" s="5" t="str">
        <f aca="false">HYPERLINK("https://www.fabsurplus.com/sdi_catalog/salesItemDetails.do?id=106832")</f>
        <v>https://www.fabsurplus.com/sdi_catalog/salesItemDetails.do?id=106832</v>
      </c>
      <c r="B3585" s="5" t="s">
        <v>10233</v>
      </c>
      <c r="C3585" s="5" t="s">
        <v>10230</v>
      </c>
      <c r="D3585" s="5" t="s">
        <v>10223</v>
      </c>
      <c r="E3585" s="5" t="s">
        <v>10234</v>
      </c>
      <c r="F3585" s="5" t="s">
        <v>16</v>
      </c>
      <c r="G3585" s="5" t="s">
        <v>84</v>
      </c>
      <c r="H3585" s="5"/>
      <c r="I3585" s="5"/>
      <c r="J3585" s="5" t="s">
        <v>42</v>
      </c>
      <c r="K3585" s="5"/>
      <c r="L3585" s="5" t="s">
        <v>142</v>
      </c>
    </row>
    <row r="3586" customFormat="false" ht="15.65" hidden="false" customHeight="true" outlineLevel="0" collapsed="false">
      <c r="A3586" s="2" t="str">
        <f aca="false">HYPERLINK("https://www.fabsurplus.com/sdi_catalog/salesItemDetails.do?id=106833")</f>
        <v>https://www.fabsurplus.com/sdi_catalog/salesItemDetails.do?id=106833</v>
      </c>
      <c r="B3586" s="2" t="s">
        <v>10235</v>
      </c>
      <c r="C3586" s="2" t="s">
        <v>10230</v>
      </c>
      <c r="D3586" s="2" t="s">
        <v>10236</v>
      </c>
      <c r="E3586" s="2" t="s">
        <v>10232</v>
      </c>
      <c r="F3586" s="2" t="s">
        <v>151</v>
      </c>
      <c r="G3586" s="2" t="s">
        <v>84</v>
      </c>
      <c r="H3586" s="2"/>
      <c r="I3586" s="2"/>
      <c r="J3586" s="2" t="s">
        <v>42</v>
      </c>
      <c r="K3586" s="2"/>
      <c r="L3586" s="2" t="s">
        <v>142</v>
      </c>
    </row>
    <row r="3587" customFormat="false" ht="15.65" hidden="false" customHeight="true" outlineLevel="0" collapsed="false">
      <c r="A3587" s="5" t="str">
        <f aca="false">HYPERLINK("https://www.fabsurplus.com/sdi_catalog/salesItemDetails.do?id=106871")</f>
        <v>https://www.fabsurplus.com/sdi_catalog/salesItemDetails.do?id=106871</v>
      </c>
      <c r="B3587" s="5" t="s">
        <v>10237</v>
      </c>
      <c r="C3587" s="5" t="s">
        <v>10199</v>
      </c>
      <c r="D3587" s="5" t="s">
        <v>9498</v>
      </c>
      <c r="E3587" s="5" t="s">
        <v>10238</v>
      </c>
      <c r="F3587" s="5" t="s">
        <v>16</v>
      </c>
      <c r="G3587" s="5" t="s">
        <v>61</v>
      </c>
      <c r="H3587" s="5" t="s">
        <v>18</v>
      </c>
      <c r="I3587" s="6" t="n">
        <v>39600</v>
      </c>
      <c r="J3587" s="5" t="s">
        <v>19</v>
      </c>
      <c r="K3587" s="5" t="s">
        <v>20</v>
      </c>
      <c r="L3587" s="7" t="s">
        <v>10239</v>
      </c>
    </row>
    <row r="3588" customFormat="false" ht="15.65" hidden="false" customHeight="true" outlineLevel="0" collapsed="false">
      <c r="A3588" s="2" t="str">
        <f aca="false">HYPERLINK("https://www.fabsurplus.com/sdi_catalog/salesItemDetails.do?id=103553")</f>
        <v>https://www.fabsurplus.com/sdi_catalog/salesItemDetails.do?id=103553</v>
      </c>
      <c r="B3588" s="2" t="s">
        <v>10240</v>
      </c>
      <c r="C3588" s="2" t="s">
        <v>10199</v>
      </c>
      <c r="D3588" s="2" t="s">
        <v>10211</v>
      </c>
      <c r="E3588" s="2" t="s">
        <v>10241</v>
      </c>
      <c r="F3588" s="2" t="s">
        <v>16</v>
      </c>
      <c r="G3588" s="2" t="s">
        <v>61</v>
      </c>
      <c r="H3588" s="2"/>
      <c r="I3588" s="3" t="n">
        <v>38138.9166666667</v>
      </c>
      <c r="J3588" s="2" t="s">
        <v>19</v>
      </c>
      <c r="K3588" s="2"/>
      <c r="L3588" s="4" t="s">
        <v>1682</v>
      </c>
    </row>
    <row r="3589" customFormat="false" ht="15.65" hidden="false" customHeight="true" outlineLevel="0" collapsed="false">
      <c r="A3589" s="5" t="str">
        <f aca="false">HYPERLINK("https://www.fabsurplus.com/sdi_catalog/salesItemDetails.do?id=103554")</f>
        <v>https://www.fabsurplus.com/sdi_catalog/salesItemDetails.do?id=103554</v>
      </c>
      <c r="B3589" s="5" t="s">
        <v>10242</v>
      </c>
      <c r="C3589" s="5" t="s">
        <v>10199</v>
      </c>
      <c r="D3589" s="5" t="s">
        <v>10243</v>
      </c>
      <c r="E3589" s="5" t="s">
        <v>10244</v>
      </c>
      <c r="F3589" s="5" t="s">
        <v>16</v>
      </c>
      <c r="G3589" s="5" t="s">
        <v>61</v>
      </c>
      <c r="H3589" s="5"/>
      <c r="I3589" s="5"/>
      <c r="J3589" s="5" t="s">
        <v>19</v>
      </c>
      <c r="K3589" s="5"/>
      <c r="L3589" s="7" t="s">
        <v>1682</v>
      </c>
    </row>
    <row r="3590" customFormat="false" ht="15.65" hidden="false" customHeight="true" outlineLevel="0" collapsed="false">
      <c r="A3590" s="2" t="str">
        <f aca="false">HYPERLINK("https://www.fabsurplus.com/sdi_catalog/salesItemDetails.do?id=103555")</f>
        <v>https://www.fabsurplus.com/sdi_catalog/salesItemDetails.do?id=103555</v>
      </c>
      <c r="B3590" s="2" t="s">
        <v>10245</v>
      </c>
      <c r="C3590" s="2" t="s">
        <v>10199</v>
      </c>
      <c r="D3590" s="2" t="s">
        <v>10246</v>
      </c>
      <c r="E3590" s="2" t="s">
        <v>10247</v>
      </c>
      <c r="F3590" s="2" t="s">
        <v>16</v>
      </c>
      <c r="G3590" s="2" t="s">
        <v>61</v>
      </c>
      <c r="H3590" s="2" t="s">
        <v>32</v>
      </c>
      <c r="I3590" s="2"/>
      <c r="J3590" s="2" t="s">
        <v>19</v>
      </c>
      <c r="K3590" s="2" t="s">
        <v>20</v>
      </c>
      <c r="L3590" s="4" t="s">
        <v>1682</v>
      </c>
    </row>
    <row r="3591" customFormat="false" ht="15.65" hidden="false" customHeight="true" outlineLevel="0" collapsed="false">
      <c r="A3591" s="5" t="str">
        <f aca="false">HYPERLINK("https://www.fabsurplus.com/sdi_catalog/salesItemDetails.do?id=108195")</f>
        <v>https://www.fabsurplus.com/sdi_catalog/salesItemDetails.do?id=108195</v>
      </c>
      <c r="B3591" s="5" t="s">
        <v>10248</v>
      </c>
      <c r="C3591" s="5" t="s">
        <v>10199</v>
      </c>
      <c r="D3591" s="5" t="s">
        <v>10249</v>
      </c>
      <c r="E3591" s="5" t="s">
        <v>10224</v>
      </c>
      <c r="F3591" s="5" t="s">
        <v>16</v>
      </c>
      <c r="G3591" s="5" t="s">
        <v>38</v>
      </c>
      <c r="H3591" s="5"/>
      <c r="I3591" s="6" t="n">
        <v>36312</v>
      </c>
      <c r="J3591" s="5" t="s">
        <v>19</v>
      </c>
      <c r="K3591" s="5"/>
      <c r="L3591" s="5" t="s">
        <v>1480</v>
      </c>
    </row>
    <row r="3592" customFormat="false" ht="15.65" hidden="false" customHeight="true" outlineLevel="0" collapsed="false">
      <c r="A3592" s="2" t="str">
        <f aca="false">HYPERLINK("https://www.fabsurplus.com/sdi_catalog/salesItemDetails.do?id=108196")</f>
        <v>https://www.fabsurplus.com/sdi_catalog/salesItemDetails.do?id=108196</v>
      </c>
      <c r="B3592" s="2" t="s">
        <v>10250</v>
      </c>
      <c r="C3592" s="2" t="s">
        <v>10199</v>
      </c>
      <c r="D3592" s="2" t="s">
        <v>10249</v>
      </c>
      <c r="E3592" s="2" t="s">
        <v>10224</v>
      </c>
      <c r="F3592" s="2" t="s">
        <v>16</v>
      </c>
      <c r="G3592" s="2" t="s">
        <v>38</v>
      </c>
      <c r="H3592" s="2"/>
      <c r="I3592" s="3" t="n">
        <v>38504</v>
      </c>
      <c r="J3592" s="2" t="s">
        <v>19</v>
      </c>
      <c r="K3592" s="2"/>
      <c r="L3592" s="2" t="s">
        <v>1480</v>
      </c>
    </row>
    <row r="3593" customFormat="false" ht="15.65" hidden="false" customHeight="true" outlineLevel="0" collapsed="false">
      <c r="A3593" s="5" t="str">
        <f aca="false">HYPERLINK("https://www.fabsurplus.com/sdi_catalog/salesItemDetails.do?id=108197")</f>
        <v>https://www.fabsurplus.com/sdi_catalog/salesItemDetails.do?id=108197</v>
      </c>
      <c r="B3593" s="5" t="s">
        <v>10251</v>
      </c>
      <c r="C3593" s="5" t="s">
        <v>10199</v>
      </c>
      <c r="D3593" s="5" t="s">
        <v>10252</v>
      </c>
      <c r="E3593" s="7" t="s">
        <v>10253</v>
      </c>
      <c r="F3593" s="5" t="s">
        <v>16</v>
      </c>
      <c r="G3593" s="5" t="s">
        <v>38</v>
      </c>
      <c r="H3593" s="5"/>
      <c r="I3593" s="6" t="n">
        <v>37773</v>
      </c>
      <c r="J3593" s="5" t="s">
        <v>19</v>
      </c>
      <c r="K3593" s="5"/>
      <c r="L3593" s="5" t="s">
        <v>1480</v>
      </c>
    </row>
    <row r="3594" customFormat="false" ht="15.65" hidden="false" customHeight="true" outlineLevel="0" collapsed="false">
      <c r="A3594" s="2" t="str">
        <f aca="false">HYPERLINK("https://www.fabsurplus.com/sdi_catalog/salesItemDetails.do?id=108198")</f>
        <v>https://www.fabsurplus.com/sdi_catalog/salesItemDetails.do?id=108198</v>
      </c>
      <c r="B3594" s="2" t="s">
        <v>10254</v>
      </c>
      <c r="C3594" s="2" t="s">
        <v>10199</v>
      </c>
      <c r="D3594" s="2" t="s">
        <v>10252</v>
      </c>
      <c r="E3594" s="4" t="s">
        <v>10253</v>
      </c>
      <c r="F3594" s="2" t="s">
        <v>16</v>
      </c>
      <c r="G3594" s="2" t="s">
        <v>38</v>
      </c>
      <c r="H3594" s="2"/>
      <c r="I3594" s="3" t="n">
        <v>37043</v>
      </c>
      <c r="J3594" s="2" t="s">
        <v>19</v>
      </c>
      <c r="K3594" s="2"/>
      <c r="L3594" s="2" t="s">
        <v>1480</v>
      </c>
    </row>
    <row r="3595" customFormat="false" ht="15.65" hidden="false" customHeight="true" outlineLevel="0" collapsed="false">
      <c r="A3595" s="5" t="str">
        <f aca="false">HYPERLINK("https://www.fabsurplus.com/sdi_catalog/salesItemDetails.do?id=91559")</f>
        <v>https://www.fabsurplus.com/sdi_catalog/salesItemDetails.do?id=91559</v>
      </c>
      <c r="B3595" s="5" t="s">
        <v>10255</v>
      </c>
      <c r="C3595" s="5" t="s">
        <v>10256</v>
      </c>
      <c r="D3595" s="5" t="s">
        <v>10257</v>
      </c>
      <c r="E3595" s="5" t="s">
        <v>10218</v>
      </c>
      <c r="F3595" s="5" t="s">
        <v>16</v>
      </c>
      <c r="G3595" s="5" t="s">
        <v>61</v>
      </c>
      <c r="H3595" s="5"/>
      <c r="I3595" s="6" t="n">
        <v>38503.9166666667</v>
      </c>
      <c r="J3595" s="5" t="s">
        <v>19</v>
      </c>
      <c r="K3595" s="5"/>
      <c r="L3595" s="5" t="s">
        <v>142</v>
      </c>
    </row>
    <row r="3596" customFormat="false" ht="15.65" hidden="false" customHeight="true" outlineLevel="0" collapsed="false">
      <c r="A3596" s="2" t="str">
        <f aca="false">HYPERLINK("https://www.fabsurplus.com/sdi_catalog/salesItemDetails.do?id=108199")</f>
        <v>https://www.fabsurplus.com/sdi_catalog/salesItemDetails.do?id=108199</v>
      </c>
      <c r="B3596" s="2" t="s">
        <v>10258</v>
      </c>
      <c r="C3596" s="2" t="s">
        <v>10199</v>
      </c>
      <c r="D3596" s="2" t="s">
        <v>10259</v>
      </c>
      <c r="E3596" s="2" t="s">
        <v>10224</v>
      </c>
      <c r="F3596" s="2" t="s">
        <v>16</v>
      </c>
      <c r="G3596" s="2" t="s">
        <v>38</v>
      </c>
      <c r="H3596" s="2"/>
      <c r="I3596" s="3" t="n">
        <v>39600</v>
      </c>
      <c r="J3596" s="2" t="s">
        <v>19</v>
      </c>
      <c r="K3596" s="2"/>
      <c r="L3596" s="2" t="s">
        <v>1480</v>
      </c>
    </row>
    <row r="3597" customFormat="false" ht="15.65" hidden="false" customHeight="true" outlineLevel="0" collapsed="false">
      <c r="A3597" s="5" t="str">
        <f aca="false">HYPERLINK("https://www.fabsurplus.com/sdi_catalog/salesItemDetails.do?id=108711")</f>
        <v>https://www.fabsurplus.com/sdi_catalog/salesItemDetails.do?id=108711</v>
      </c>
      <c r="B3597" s="5" t="s">
        <v>10260</v>
      </c>
      <c r="C3597" s="5" t="s">
        <v>10202</v>
      </c>
      <c r="D3597" s="5" t="s">
        <v>10261</v>
      </c>
      <c r="E3597" s="5" t="s">
        <v>10262</v>
      </c>
      <c r="F3597" s="5" t="s">
        <v>16</v>
      </c>
      <c r="G3597" s="5" t="s">
        <v>1287</v>
      </c>
      <c r="H3597" s="5"/>
      <c r="I3597" s="6" t="n">
        <v>42156</v>
      </c>
      <c r="J3597" s="5" t="s">
        <v>42</v>
      </c>
      <c r="K3597" s="5"/>
      <c r="L3597" s="7" t="s">
        <v>10263</v>
      </c>
    </row>
    <row r="3598" customFormat="false" ht="15.65" hidden="false" customHeight="true" outlineLevel="0" collapsed="false">
      <c r="A3598" s="2" t="str">
        <f aca="false">HYPERLINK("https://www.fabsurplus.com/sdi_catalog/salesItemDetails.do?id=91560")</f>
        <v>https://www.fabsurplus.com/sdi_catalog/salesItemDetails.do?id=91560</v>
      </c>
      <c r="B3598" s="2" t="s">
        <v>10264</v>
      </c>
      <c r="C3598" s="2" t="s">
        <v>10256</v>
      </c>
      <c r="D3598" s="2" t="s">
        <v>10257</v>
      </c>
      <c r="E3598" s="2" t="s">
        <v>10218</v>
      </c>
      <c r="F3598" s="2" t="s">
        <v>16</v>
      </c>
      <c r="G3598" s="2" t="s">
        <v>61</v>
      </c>
      <c r="H3598" s="2"/>
      <c r="I3598" s="3" t="n">
        <v>38503.9166666667</v>
      </c>
      <c r="J3598" s="2" t="s">
        <v>19</v>
      </c>
      <c r="K3598" s="2"/>
      <c r="L3598" s="2" t="s">
        <v>142</v>
      </c>
    </row>
    <row r="3599" customFormat="false" ht="15.65" hidden="false" customHeight="true" outlineLevel="0" collapsed="false">
      <c r="A3599" s="5" t="str">
        <f aca="false">HYPERLINK("https://www.fabsurplus.com/sdi_catalog/salesItemDetails.do?id=108200")</f>
        <v>https://www.fabsurplus.com/sdi_catalog/salesItemDetails.do?id=108200</v>
      </c>
      <c r="B3599" s="5" t="s">
        <v>10265</v>
      </c>
      <c r="C3599" s="5" t="s">
        <v>10256</v>
      </c>
      <c r="D3599" s="5" t="s">
        <v>10266</v>
      </c>
      <c r="E3599" s="5" t="s">
        <v>10224</v>
      </c>
      <c r="F3599" s="5" t="s">
        <v>16</v>
      </c>
      <c r="G3599" s="5" t="s">
        <v>38</v>
      </c>
      <c r="H3599" s="5"/>
      <c r="I3599" s="6" t="n">
        <v>37408</v>
      </c>
      <c r="J3599" s="5" t="s">
        <v>19</v>
      </c>
      <c r="K3599" s="5"/>
      <c r="L3599" s="5" t="s">
        <v>1480</v>
      </c>
    </row>
    <row r="3600" customFormat="false" ht="15.65" hidden="false" customHeight="true" outlineLevel="0" collapsed="false">
      <c r="A3600" s="2" t="str">
        <f aca="false">HYPERLINK("https://www.fabsurplus.com/sdi_catalog/salesItemDetails.do?id=91561")</f>
        <v>https://www.fabsurplus.com/sdi_catalog/salesItemDetails.do?id=91561</v>
      </c>
      <c r="B3600" s="2" t="s">
        <v>10267</v>
      </c>
      <c r="C3600" s="2" t="s">
        <v>10256</v>
      </c>
      <c r="D3600" s="2" t="s">
        <v>10257</v>
      </c>
      <c r="E3600" s="2" t="s">
        <v>10218</v>
      </c>
      <c r="F3600" s="2" t="s">
        <v>16</v>
      </c>
      <c r="G3600" s="2" t="s">
        <v>61</v>
      </c>
      <c r="H3600" s="2"/>
      <c r="I3600" s="3" t="n">
        <v>38868.9166666667</v>
      </c>
      <c r="J3600" s="2" t="s">
        <v>19</v>
      </c>
      <c r="K3600" s="2"/>
      <c r="L3600" s="2" t="s">
        <v>142</v>
      </c>
    </row>
    <row r="3601" customFormat="false" ht="15.65" hidden="false" customHeight="true" outlineLevel="0" collapsed="false">
      <c r="A3601" s="5" t="str">
        <f aca="false">HYPERLINK("https://www.fabsurplus.com/sdi_catalog/salesItemDetails.do?id=91563")</f>
        <v>https://www.fabsurplus.com/sdi_catalog/salesItemDetails.do?id=91563</v>
      </c>
      <c r="B3601" s="5" t="s">
        <v>10268</v>
      </c>
      <c r="C3601" s="5" t="s">
        <v>10199</v>
      </c>
      <c r="D3601" s="5" t="s">
        <v>10269</v>
      </c>
      <c r="E3601" s="5" t="s">
        <v>10270</v>
      </c>
      <c r="F3601" s="5" t="s">
        <v>16</v>
      </c>
      <c r="G3601" s="5" t="s">
        <v>38</v>
      </c>
      <c r="H3601" s="5"/>
      <c r="I3601" s="6" t="n">
        <v>38503.9166666667</v>
      </c>
      <c r="J3601" s="5" t="s">
        <v>19</v>
      </c>
      <c r="K3601" s="5"/>
      <c r="L3601" s="5" t="s">
        <v>142</v>
      </c>
    </row>
    <row r="3602" customFormat="false" ht="15.65" hidden="false" customHeight="true" outlineLevel="0" collapsed="false">
      <c r="A3602" s="2" t="str">
        <f aca="false">HYPERLINK("https://www.fabsurplus.com/sdi_catalog/salesItemDetails.do?id=91566")</f>
        <v>https://www.fabsurplus.com/sdi_catalog/salesItemDetails.do?id=91566</v>
      </c>
      <c r="B3602" s="2" t="s">
        <v>10271</v>
      </c>
      <c r="C3602" s="2" t="s">
        <v>10202</v>
      </c>
      <c r="D3602" s="2" t="s">
        <v>10272</v>
      </c>
      <c r="E3602" s="2" t="s">
        <v>10273</v>
      </c>
      <c r="F3602" s="2" t="s">
        <v>16</v>
      </c>
      <c r="G3602" s="2" t="s">
        <v>61</v>
      </c>
      <c r="H3602" s="2" t="s">
        <v>32</v>
      </c>
      <c r="I3602" s="3" t="n">
        <v>40329.9166666667</v>
      </c>
      <c r="J3602" s="2" t="s">
        <v>19</v>
      </c>
      <c r="K3602" s="2" t="s">
        <v>20</v>
      </c>
      <c r="L3602" s="2" t="s">
        <v>142</v>
      </c>
    </row>
    <row r="3603" customFormat="false" ht="15.65" hidden="false" customHeight="true" outlineLevel="0" collapsed="false">
      <c r="A3603" s="5" t="str">
        <f aca="false">HYPERLINK("https://www.fabsurplus.com/sdi_catalog/salesItemDetails.do?id=91567")</f>
        <v>https://www.fabsurplus.com/sdi_catalog/salesItemDetails.do?id=91567</v>
      </c>
      <c r="B3603" s="5" t="s">
        <v>10274</v>
      </c>
      <c r="C3603" s="5" t="s">
        <v>10256</v>
      </c>
      <c r="D3603" s="5" t="s">
        <v>10249</v>
      </c>
      <c r="E3603" s="5" t="s">
        <v>10275</v>
      </c>
      <c r="F3603" s="5" t="s">
        <v>16</v>
      </c>
      <c r="G3603" s="5" t="s">
        <v>38</v>
      </c>
      <c r="H3603" s="5" t="s">
        <v>32</v>
      </c>
      <c r="I3603" s="6" t="n">
        <v>37407.9166666667</v>
      </c>
      <c r="J3603" s="5" t="s">
        <v>19</v>
      </c>
      <c r="K3603" s="5" t="s">
        <v>20</v>
      </c>
      <c r="L3603" s="7" t="s">
        <v>10276</v>
      </c>
    </row>
    <row r="3604" customFormat="false" ht="15.65" hidden="false" customHeight="true" outlineLevel="0" collapsed="false">
      <c r="A3604" s="2" t="str">
        <f aca="false">HYPERLINK("https://www.fabsurplus.com/sdi_catalog/salesItemDetails.do?id=106420")</f>
        <v>https://www.fabsurplus.com/sdi_catalog/salesItemDetails.do?id=106420</v>
      </c>
      <c r="B3604" s="2" t="s">
        <v>10277</v>
      </c>
      <c r="C3604" s="2" t="s">
        <v>10202</v>
      </c>
      <c r="D3604" s="2" t="s">
        <v>10278</v>
      </c>
      <c r="E3604" s="2" t="s">
        <v>10279</v>
      </c>
      <c r="F3604" s="2" t="s">
        <v>16</v>
      </c>
      <c r="G3604" s="2" t="s">
        <v>38</v>
      </c>
      <c r="H3604" s="2" t="s">
        <v>18</v>
      </c>
      <c r="I3604" s="2"/>
      <c r="J3604" s="2" t="s">
        <v>19</v>
      </c>
      <c r="K3604" s="2" t="s">
        <v>20</v>
      </c>
      <c r="L3604" s="2" t="s">
        <v>8175</v>
      </c>
    </row>
    <row r="3605" customFormat="false" ht="15.65" hidden="false" customHeight="true" outlineLevel="0" collapsed="false">
      <c r="A3605" s="5" t="str">
        <f aca="false">HYPERLINK("https://www.fabsurplus.com/sdi_catalog/salesItemDetails.do?id=106421")</f>
        <v>https://www.fabsurplus.com/sdi_catalog/salesItemDetails.do?id=106421</v>
      </c>
      <c r="B3605" s="5" t="s">
        <v>10280</v>
      </c>
      <c r="C3605" s="5" t="s">
        <v>10202</v>
      </c>
      <c r="D3605" s="5" t="s">
        <v>10281</v>
      </c>
      <c r="E3605" s="5" t="s">
        <v>10282</v>
      </c>
      <c r="F3605" s="5" t="s">
        <v>16</v>
      </c>
      <c r="G3605" s="5" t="s">
        <v>2858</v>
      </c>
      <c r="H3605" s="5" t="s">
        <v>18</v>
      </c>
      <c r="I3605" s="5"/>
      <c r="J3605" s="5" t="s">
        <v>19</v>
      </c>
      <c r="K3605" s="5" t="s">
        <v>20</v>
      </c>
      <c r="L3605" s="5" t="s">
        <v>2863</v>
      </c>
    </row>
    <row r="3606" customFormat="false" ht="15.65" hidden="false" customHeight="true" outlineLevel="0" collapsed="false">
      <c r="A3606" s="2" t="str">
        <f aca="false">HYPERLINK("https://www.fabsurplus.com/sdi_catalog/salesItemDetails.do?id=106422")</f>
        <v>https://www.fabsurplus.com/sdi_catalog/salesItemDetails.do?id=106422</v>
      </c>
      <c r="B3606" s="2" t="s">
        <v>10283</v>
      </c>
      <c r="C3606" s="2" t="s">
        <v>10202</v>
      </c>
      <c r="D3606" s="2" t="s">
        <v>10284</v>
      </c>
      <c r="E3606" s="2" t="s">
        <v>10285</v>
      </c>
      <c r="F3606" s="2" t="s">
        <v>16</v>
      </c>
      <c r="G3606" s="2" t="s">
        <v>2858</v>
      </c>
      <c r="H3606" s="2" t="s">
        <v>18</v>
      </c>
      <c r="I3606" s="2"/>
      <c r="J3606" s="2" t="s">
        <v>19</v>
      </c>
      <c r="K3606" s="2" t="s">
        <v>20</v>
      </c>
      <c r="L3606" s="2" t="s">
        <v>2863</v>
      </c>
    </row>
    <row r="3607" customFormat="false" ht="15.65" hidden="false" customHeight="true" outlineLevel="0" collapsed="false">
      <c r="A3607" s="5" t="str">
        <f aca="false">HYPERLINK("https://www.fabsurplus.com/sdi_catalog/salesItemDetails.do?id=106424")</f>
        <v>https://www.fabsurplus.com/sdi_catalog/salesItemDetails.do?id=106424</v>
      </c>
      <c r="B3607" s="5" t="s">
        <v>10286</v>
      </c>
      <c r="C3607" s="5" t="s">
        <v>10202</v>
      </c>
      <c r="D3607" s="5" t="s">
        <v>2567</v>
      </c>
      <c r="E3607" s="5" t="s">
        <v>10282</v>
      </c>
      <c r="F3607" s="5" t="s">
        <v>16</v>
      </c>
      <c r="G3607" s="5" t="s">
        <v>2858</v>
      </c>
      <c r="H3607" s="5" t="s">
        <v>18</v>
      </c>
      <c r="I3607" s="5"/>
      <c r="J3607" s="5" t="s">
        <v>19</v>
      </c>
      <c r="K3607" s="5" t="s">
        <v>20</v>
      </c>
      <c r="L3607" s="5" t="s">
        <v>2863</v>
      </c>
    </row>
    <row r="3608" customFormat="false" ht="15.65" hidden="false" customHeight="true" outlineLevel="0" collapsed="false">
      <c r="A3608" s="2" t="str">
        <f aca="false">HYPERLINK("https://www.fabsurplus.com/sdi_catalog/salesItemDetails.do?id=106425")</f>
        <v>https://www.fabsurplus.com/sdi_catalog/salesItemDetails.do?id=106425</v>
      </c>
      <c r="B3608" s="2" t="s">
        <v>10287</v>
      </c>
      <c r="C3608" s="2" t="s">
        <v>10202</v>
      </c>
      <c r="D3608" s="2" t="s">
        <v>2567</v>
      </c>
      <c r="E3608" s="2" t="s">
        <v>10288</v>
      </c>
      <c r="F3608" s="2" t="s">
        <v>16</v>
      </c>
      <c r="G3608" s="2" t="s">
        <v>2858</v>
      </c>
      <c r="H3608" s="2" t="s">
        <v>18</v>
      </c>
      <c r="I3608" s="2"/>
      <c r="J3608" s="2" t="s">
        <v>19</v>
      </c>
      <c r="K3608" s="2" t="s">
        <v>20</v>
      </c>
      <c r="L3608" s="2" t="s">
        <v>4017</v>
      </c>
    </row>
    <row r="3609" customFormat="false" ht="15.65" hidden="false" customHeight="true" outlineLevel="0" collapsed="false">
      <c r="A3609" s="5" t="str">
        <f aca="false">HYPERLINK("https://www.fabsurplus.com/sdi_catalog/salesItemDetails.do?id=108482")</f>
        <v>https://www.fabsurplus.com/sdi_catalog/salesItemDetails.do?id=108482</v>
      </c>
      <c r="B3609" s="5" t="s">
        <v>10289</v>
      </c>
      <c r="C3609" s="5" t="s">
        <v>10202</v>
      </c>
      <c r="D3609" s="5" t="s">
        <v>9493</v>
      </c>
      <c r="E3609" s="5" t="s">
        <v>8214</v>
      </c>
      <c r="F3609" s="5" t="s">
        <v>16</v>
      </c>
      <c r="G3609" s="5"/>
      <c r="H3609" s="5"/>
      <c r="I3609" s="5"/>
      <c r="J3609" s="5" t="s">
        <v>19</v>
      </c>
      <c r="K3609" s="5"/>
      <c r="L3609" s="5"/>
    </row>
    <row r="3610" customFormat="false" ht="15.65" hidden="false" customHeight="true" outlineLevel="0" collapsed="false">
      <c r="A3610" s="2" t="str">
        <f aca="false">HYPERLINK("https://www.fabsurplus.com/sdi_catalog/salesItemDetails.do?id=108483")</f>
        <v>https://www.fabsurplus.com/sdi_catalog/salesItemDetails.do?id=108483</v>
      </c>
      <c r="B3610" s="2" t="s">
        <v>10290</v>
      </c>
      <c r="C3610" s="2" t="s">
        <v>10202</v>
      </c>
      <c r="D3610" s="2" t="s">
        <v>10291</v>
      </c>
      <c r="E3610" s="2" t="s">
        <v>6534</v>
      </c>
      <c r="F3610" s="2" t="s">
        <v>16</v>
      </c>
      <c r="G3610" s="2" t="s">
        <v>61</v>
      </c>
      <c r="H3610" s="2"/>
      <c r="I3610" s="2"/>
      <c r="J3610" s="2" t="s">
        <v>19</v>
      </c>
      <c r="K3610" s="2"/>
      <c r="L3610" s="2"/>
    </row>
    <row r="3611" customFormat="false" ht="15.65" hidden="false" customHeight="true" outlineLevel="0" collapsed="false">
      <c r="A3611" s="5" t="str">
        <f aca="false">HYPERLINK("https://www.fabsurplus.com/sdi_catalog/salesItemDetails.do?id=108484")</f>
        <v>https://www.fabsurplus.com/sdi_catalog/salesItemDetails.do?id=108484</v>
      </c>
      <c r="B3611" s="5" t="s">
        <v>10292</v>
      </c>
      <c r="C3611" s="5" t="s">
        <v>10202</v>
      </c>
      <c r="D3611" s="5" t="s">
        <v>9495</v>
      </c>
      <c r="E3611" s="5" t="s">
        <v>7067</v>
      </c>
      <c r="F3611" s="5" t="s">
        <v>86</v>
      </c>
      <c r="G3611" s="5" t="s">
        <v>61</v>
      </c>
      <c r="H3611" s="5"/>
      <c r="I3611" s="5"/>
      <c r="J3611" s="5" t="s">
        <v>19</v>
      </c>
      <c r="K3611" s="5"/>
      <c r="L3611" s="5"/>
    </row>
    <row r="3612" customFormat="false" ht="15.65" hidden="false" customHeight="true" outlineLevel="0" collapsed="false">
      <c r="A3612" s="2" t="str">
        <f aca="false">HYPERLINK("https://www.fabsurplus.com/sdi_catalog/salesItemDetails.do?id=108485")</f>
        <v>https://www.fabsurplus.com/sdi_catalog/salesItemDetails.do?id=108485</v>
      </c>
      <c r="B3612" s="2" t="s">
        <v>10293</v>
      </c>
      <c r="C3612" s="2" t="s">
        <v>10202</v>
      </c>
      <c r="D3612" s="2" t="s">
        <v>9498</v>
      </c>
      <c r="E3612" s="2" t="s">
        <v>8214</v>
      </c>
      <c r="F3612" s="2" t="s">
        <v>203</v>
      </c>
      <c r="G3612" s="2" t="s">
        <v>61</v>
      </c>
      <c r="H3612" s="2"/>
      <c r="I3612" s="2"/>
      <c r="J3612" s="2" t="s">
        <v>19</v>
      </c>
      <c r="K3612" s="2"/>
      <c r="L3612" s="2"/>
    </row>
    <row r="3613" customFormat="false" ht="15.65" hidden="false" customHeight="true" outlineLevel="0" collapsed="false">
      <c r="A3613" s="5" t="str">
        <f aca="false">HYPERLINK("https://www.fabsurplus.com/sdi_catalog/salesItemDetails.do?id=106715")</f>
        <v>https://www.fabsurplus.com/sdi_catalog/salesItemDetails.do?id=106715</v>
      </c>
      <c r="B3613" s="5" t="s">
        <v>10294</v>
      </c>
      <c r="C3613" s="5" t="s">
        <v>10199</v>
      </c>
      <c r="D3613" s="5" t="s">
        <v>10295</v>
      </c>
      <c r="E3613" s="5" t="s">
        <v>10296</v>
      </c>
      <c r="F3613" s="5" t="s">
        <v>16</v>
      </c>
      <c r="G3613" s="5" t="s">
        <v>61</v>
      </c>
      <c r="H3613" s="5"/>
      <c r="I3613" s="6" t="n">
        <v>41061</v>
      </c>
      <c r="J3613" s="5" t="s">
        <v>19</v>
      </c>
      <c r="K3613" s="5"/>
      <c r="L3613" s="5" t="s">
        <v>518</v>
      </c>
    </row>
    <row r="3614" customFormat="false" ht="15.65" hidden="false" customHeight="true" outlineLevel="0" collapsed="false">
      <c r="A3614" s="2" t="str">
        <f aca="false">HYPERLINK("https://www.fabsurplus.com/sdi_catalog/salesItemDetails.do?id=106716")</f>
        <v>https://www.fabsurplus.com/sdi_catalog/salesItemDetails.do?id=106716</v>
      </c>
      <c r="B3614" s="2" t="s">
        <v>10297</v>
      </c>
      <c r="C3614" s="2" t="s">
        <v>10199</v>
      </c>
      <c r="D3614" s="2" t="s">
        <v>10298</v>
      </c>
      <c r="E3614" s="2" t="s">
        <v>10224</v>
      </c>
      <c r="F3614" s="2" t="s">
        <v>16</v>
      </c>
      <c r="G3614" s="2" t="s">
        <v>61</v>
      </c>
      <c r="H3614" s="2"/>
      <c r="I3614" s="3" t="n">
        <v>38504</v>
      </c>
      <c r="J3614" s="2" t="s">
        <v>19</v>
      </c>
      <c r="K3614" s="2"/>
      <c r="L3614" s="2" t="s">
        <v>518</v>
      </c>
    </row>
    <row r="3615" customFormat="false" ht="15.65" hidden="false" customHeight="true" outlineLevel="0" collapsed="false">
      <c r="A3615" s="5" t="str">
        <f aca="false">HYPERLINK("https://www.fabsurplus.com/sdi_catalog/salesItemDetails.do?id=106717")</f>
        <v>https://www.fabsurplus.com/sdi_catalog/salesItemDetails.do?id=106717</v>
      </c>
      <c r="B3615" s="5" t="s">
        <v>10299</v>
      </c>
      <c r="C3615" s="5" t="s">
        <v>10199</v>
      </c>
      <c r="D3615" s="5" t="s">
        <v>10300</v>
      </c>
      <c r="E3615" s="5" t="s">
        <v>7421</v>
      </c>
      <c r="F3615" s="5" t="s">
        <v>16</v>
      </c>
      <c r="G3615" s="5" t="s">
        <v>61</v>
      </c>
      <c r="H3615" s="5"/>
      <c r="I3615" s="6" t="n">
        <v>37773</v>
      </c>
      <c r="J3615" s="5" t="s">
        <v>19</v>
      </c>
      <c r="K3615" s="5"/>
      <c r="L3615" s="5" t="s">
        <v>518</v>
      </c>
    </row>
    <row r="3616" customFormat="false" ht="15.65" hidden="false" customHeight="true" outlineLevel="0" collapsed="false">
      <c r="A3616" s="2" t="str">
        <f aca="false">HYPERLINK("https://www.fabsurplus.com/sdi_catalog/salesItemDetails.do?id=106718")</f>
        <v>https://www.fabsurplus.com/sdi_catalog/salesItemDetails.do?id=106718</v>
      </c>
      <c r="B3616" s="2" t="s">
        <v>10301</v>
      </c>
      <c r="C3616" s="2" t="s">
        <v>10199</v>
      </c>
      <c r="D3616" s="2" t="s">
        <v>10300</v>
      </c>
      <c r="E3616" s="2" t="s">
        <v>7421</v>
      </c>
      <c r="F3616" s="2" t="s">
        <v>16</v>
      </c>
      <c r="G3616" s="2" t="s">
        <v>61</v>
      </c>
      <c r="H3616" s="2"/>
      <c r="I3616" s="2"/>
      <c r="J3616" s="2" t="s">
        <v>19</v>
      </c>
      <c r="K3616" s="2"/>
      <c r="L3616" s="2" t="s">
        <v>518</v>
      </c>
    </row>
    <row r="3617" customFormat="false" ht="15.65" hidden="false" customHeight="true" outlineLevel="0" collapsed="false">
      <c r="A3617" s="5" t="str">
        <f aca="false">HYPERLINK("https://www.fabsurplus.com/sdi_catalog/salesItemDetails.do?id=106719")</f>
        <v>https://www.fabsurplus.com/sdi_catalog/salesItemDetails.do?id=106719</v>
      </c>
      <c r="B3617" s="5" t="s">
        <v>10302</v>
      </c>
      <c r="C3617" s="5" t="s">
        <v>10199</v>
      </c>
      <c r="D3617" s="5" t="s">
        <v>10215</v>
      </c>
      <c r="E3617" s="5" t="s">
        <v>10303</v>
      </c>
      <c r="F3617" s="5" t="s">
        <v>16</v>
      </c>
      <c r="G3617" s="5" t="s">
        <v>61</v>
      </c>
      <c r="H3617" s="5"/>
      <c r="I3617" s="6" t="n">
        <v>39600</v>
      </c>
      <c r="J3617" s="5" t="s">
        <v>19</v>
      </c>
      <c r="K3617" s="5"/>
      <c r="L3617" s="5" t="s">
        <v>518</v>
      </c>
    </row>
    <row r="3618" customFormat="false" ht="15.65" hidden="false" customHeight="true" outlineLevel="0" collapsed="false">
      <c r="A3618" s="2" t="str">
        <f aca="false">HYPERLINK("https://www.fabsurplus.com/sdi_catalog/salesItemDetails.do?id=106720")</f>
        <v>https://www.fabsurplus.com/sdi_catalog/salesItemDetails.do?id=106720</v>
      </c>
      <c r="B3618" s="2" t="s">
        <v>10304</v>
      </c>
      <c r="C3618" s="2" t="s">
        <v>10199</v>
      </c>
      <c r="D3618" s="2" t="s">
        <v>9498</v>
      </c>
      <c r="E3618" s="2" t="s">
        <v>10305</v>
      </c>
      <c r="F3618" s="2" t="s">
        <v>16</v>
      </c>
      <c r="G3618" s="2" t="s">
        <v>61</v>
      </c>
      <c r="H3618" s="2" t="s">
        <v>18</v>
      </c>
      <c r="I3618" s="3" t="n">
        <v>39600</v>
      </c>
      <c r="J3618" s="2" t="s">
        <v>19</v>
      </c>
      <c r="K3618" s="2" t="s">
        <v>20</v>
      </c>
      <c r="L3618" s="2" t="s">
        <v>518</v>
      </c>
    </row>
    <row r="3619" customFormat="false" ht="15.65" hidden="false" customHeight="true" outlineLevel="0" collapsed="false">
      <c r="A3619" s="5" t="str">
        <f aca="false">HYPERLINK("https://www.fabsurplus.com/sdi_catalog/salesItemDetails.do?id=106721")</f>
        <v>https://www.fabsurplus.com/sdi_catalog/salesItemDetails.do?id=106721</v>
      </c>
      <c r="B3619" s="5" t="s">
        <v>10306</v>
      </c>
      <c r="C3619" s="5" t="s">
        <v>10199</v>
      </c>
      <c r="D3619" s="5" t="s">
        <v>10227</v>
      </c>
      <c r="E3619" s="5" t="s">
        <v>10307</v>
      </c>
      <c r="F3619" s="5" t="s">
        <v>16</v>
      </c>
      <c r="G3619" s="5" t="s">
        <v>61</v>
      </c>
      <c r="H3619" s="5"/>
      <c r="I3619" s="6" t="n">
        <v>40330</v>
      </c>
      <c r="J3619" s="5" t="s">
        <v>19</v>
      </c>
      <c r="K3619" s="5"/>
      <c r="L3619" s="5" t="s">
        <v>518</v>
      </c>
    </row>
    <row r="3620" customFormat="false" ht="15.65" hidden="false" customHeight="true" outlineLevel="0" collapsed="false">
      <c r="A3620" s="2" t="str">
        <f aca="false">HYPERLINK("https://www.fabsurplus.com/sdi_catalog/salesItemDetails.do?id=106722")</f>
        <v>https://www.fabsurplus.com/sdi_catalog/salesItemDetails.do?id=106722</v>
      </c>
      <c r="B3620" s="2" t="s">
        <v>10308</v>
      </c>
      <c r="C3620" s="2" t="s">
        <v>10199</v>
      </c>
      <c r="D3620" s="2" t="s">
        <v>10227</v>
      </c>
      <c r="E3620" s="2" t="s">
        <v>10307</v>
      </c>
      <c r="F3620" s="2" t="s">
        <v>16</v>
      </c>
      <c r="G3620" s="2" t="s">
        <v>61</v>
      </c>
      <c r="H3620" s="2"/>
      <c r="I3620" s="3" t="n">
        <v>40695</v>
      </c>
      <c r="J3620" s="2" t="s">
        <v>19</v>
      </c>
      <c r="K3620" s="2"/>
      <c r="L3620" s="2" t="s">
        <v>518</v>
      </c>
    </row>
    <row r="3621" customFormat="false" ht="15.65" hidden="false" customHeight="true" outlineLevel="0" collapsed="false">
      <c r="A3621" s="5" t="str">
        <f aca="false">HYPERLINK("https://www.fabsurplus.com/sdi_catalog/salesItemDetails.do?id=106723")</f>
        <v>https://www.fabsurplus.com/sdi_catalog/salesItemDetails.do?id=106723</v>
      </c>
      <c r="B3621" s="5" t="s">
        <v>10309</v>
      </c>
      <c r="C3621" s="5" t="s">
        <v>10199</v>
      </c>
      <c r="D3621" s="5" t="s">
        <v>10227</v>
      </c>
      <c r="E3621" s="5" t="s">
        <v>10307</v>
      </c>
      <c r="F3621" s="5" t="s">
        <v>16</v>
      </c>
      <c r="G3621" s="5" t="s">
        <v>61</v>
      </c>
      <c r="H3621" s="5"/>
      <c r="I3621" s="5"/>
      <c r="J3621" s="5" t="s">
        <v>19</v>
      </c>
      <c r="K3621" s="5"/>
      <c r="L3621" s="5" t="s">
        <v>518</v>
      </c>
    </row>
    <row r="3622" customFormat="false" ht="15.65" hidden="false" customHeight="true" outlineLevel="0" collapsed="false">
      <c r="A3622" s="2" t="str">
        <f aca="false">HYPERLINK("https://www.fabsurplus.com/sdi_catalog/salesItemDetails.do?id=106724")</f>
        <v>https://www.fabsurplus.com/sdi_catalog/salesItemDetails.do?id=106724</v>
      </c>
      <c r="B3622" s="2" t="s">
        <v>10310</v>
      </c>
      <c r="C3622" s="2" t="s">
        <v>10199</v>
      </c>
      <c r="D3622" s="2" t="s">
        <v>10227</v>
      </c>
      <c r="E3622" s="2" t="s">
        <v>10307</v>
      </c>
      <c r="F3622" s="2" t="s">
        <v>16</v>
      </c>
      <c r="G3622" s="2" t="s">
        <v>61</v>
      </c>
      <c r="H3622" s="2"/>
      <c r="I3622" s="3" t="n">
        <v>40695</v>
      </c>
      <c r="J3622" s="2" t="s">
        <v>19</v>
      </c>
      <c r="K3622" s="2"/>
      <c r="L3622" s="2" t="s">
        <v>518</v>
      </c>
    </row>
    <row r="3623" customFormat="false" ht="15.65" hidden="false" customHeight="true" outlineLevel="0" collapsed="false">
      <c r="A3623" s="5" t="str">
        <f aca="false">HYPERLINK("https://www.fabsurplus.com/sdi_catalog/salesItemDetails.do?id=106725")</f>
        <v>https://www.fabsurplus.com/sdi_catalog/salesItemDetails.do?id=106725</v>
      </c>
      <c r="B3623" s="5" t="s">
        <v>10311</v>
      </c>
      <c r="C3623" s="5" t="s">
        <v>10199</v>
      </c>
      <c r="D3623" s="5" t="s">
        <v>10312</v>
      </c>
      <c r="E3623" s="5" t="s">
        <v>10307</v>
      </c>
      <c r="F3623" s="5" t="s">
        <v>16</v>
      </c>
      <c r="G3623" s="5" t="s">
        <v>61</v>
      </c>
      <c r="H3623" s="5"/>
      <c r="I3623" s="6" t="n">
        <v>40330</v>
      </c>
      <c r="J3623" s="5" t="s">
        <v>19</v>
      </c>
      <c r="K3623" s="5"/>
      <c r="L3623" s="5" t="s">
        <v>518</v>
      </c>
    </row>
    <row r="3624" customFormat="false" ht="15.65" hidden="false" customHeight="true" outlineLevel="0" collapsed="false">
      <c r="A3624" s="2" t="str">
        <f aca="false">HYPERLINK("https://www.fabsurplus.com/sdi_catalog/salesItemDetails.do?id=106726")</f>
        <v>https://www.fabsurplus.com/sdi_catalog/salesItemDetails.do?id=106726</v>
      </c>
      <c r="B3624" s="2" t="s">
        <v>10313</v>
      </c>
      <c r="C3624" s="2" t="s">
        <v>10199</v>
      </c>
      <c r="D3624" s="2" t="s">
        <v>10312</v>
      </c>
      <c r="E3624" s="2" t="s">
        <v>10307</v>
      </c>
      <c r="F3624" s="2" t="s">
        <v>16</v>
      </c>
      <c r="G3624" s="2" t="s">
        <v>61</v>
      </c>
      <c r="H3624" s="2"/>
      <c r="I3624" s="2"/>
      <c r="J3624" s="2" t="s">
        <v>19</v>
      </c>
      <c r="K3624" s="2"/>
      <c r="L3624" s="2" t="s">
        <v>518</v>
      </c>
    </row>
    <row r="3625" customFormat="false" ht="15.65" hidden="false" customHeight="true" outlineLevel="0" collapsed="false">
      <c r="A3625" s="5" t="str">
        <f aca="false">HYPERLINK("https://www.fabsurplus.com/sdi_catalog/salesItemDetails.do?id=106727")</f>
        <v>https://www.fabsurplus.com/sdi_catalog/salesItemDetails.do?id=106727</v>
      </c>
      <c r="B3625" s="5" t="s">
        <v>10314</v>
      </c>
      <c r="C3625" s="5" t="s">
        <v>10199</v>
      </c>
      <c r="D3625" s="5" t="s">
        <v>10315</v>
      </c>
      <c r="E3625" s="5" t="s">
        <v>7334</v>
      </c>
      <c r="F3625" s="5" t="s">
        <v>16</v>
      </c>
      <c r="G3625" s="5" t="s">
        <v>38</v>
      </c>
      <c r="H3625" s="5"/>
      <c r="I3625" s="6" t="n">
        <v>37773</v>
      </c>
      <c r="J3625" s="5" t="s">
        <v>19</v>
      </c>
      <c r="K3625" s="5"/>
      <c r="L3625" s="5" t="s">
        <v>518</v>
      </c>
    </row>
    <row r="3626" customFormat="false" ht="15.65" hidden="false" customHeight="true" outlineLevel="0" collapsed="false">
      <c r="A3626" s="2" t="str">
        <f aca="false">HYPERLINK("https://www.fabsurplus.com/sdi_catalog/salesItemDetails.do?id=106728")</f>
        <v>https://www.fabsurplus.com/sdi_catalog/salesItemDetails.do?id=106728</v>
      </c>
      <c r="B3626" s="2" t="s">
        <v>10316</v>
      </c>
      <c r="C3626" s="2" t="s">
        <v>10199</v>
      </c>
      <c r="D3626" s="2" t="s">
        <v>10315</v>
      </c>
      <c r="E3626" s="2" t="s">
        <v>7334</v>
      </c>
      <c r="F3626" s="2" t="s">
        <v>16</v>
      </c>
      <c r="G3626" s="2" t="s">
        <v>38</v>
      </c>
      <c r="H3626" s="2"/>
      <c r="I3626" s="3" t="n">
        <v>37773</v>
      </c>
      <c r="J3626" s="2" t="s">
        <v>19</v>
      </c>
      <c r="K3626" s="2"/>
      <c r="L3626" s="2" t="s">
        <v>518</v>
      </c>
    </row>
    <row r="3627" customFormat="false" ht="15.65" hidden="false" customHeight="true" outlineLevel="0" collapsed="false">
      <c r="A3627" s="5" t="str">
        <f aca="false">HYPERLINK("https://www.fabsurplus.com/sdi_catalog/salesItemDetails.do?id=106729")</f>
        <v>https://www.fabsurplus.com/sdi_catalog/salesItemDetails.do?id=106729</v>
      </c>
      <c r="B3627" s="5" t="s">
        <v>10317</v>
      </c>
      <c r="C3627" s="5" t="s">
        <v>10199</v>
      </c>
      <c r="D3627" s="5" t="s">
        <v>10315</v>
      </c>
      <c r="E3627" s="5" t="s">
        <v>7334</v>
      </c>
      <c r="F3627" s="5" t="s">
        <v>16</v>
      </c>
      <c r="G3627" s="5" t="s">
        <v>38</v>
      </c>
      <c r="H3627" s="5"/>
      <c r="I3627" s="6" t="n">
        <v>38869</v>
      </c>
      <c r="J3627" s="5" t="s">
        <v>19</v>
      </c>
      <c r="K3627" s="5"/>
      <c r="L3627" s="5" t="s">
        <v>518</v>
      </c>
    </row>
    <row r="3628" customFormat="false" ht="15.65" hidden="false" customHeight="true" outlineLevel="0" collapsed="false">
      <c r="A3628" s="2" t="str">
        <f aca="false">HYPERLINK("https://www.fabsurplus.com/sdi_catalog/salesItemDetails.do?id=106730")</f>
        <v>https://www.fabsurplus.com/sdi_catalog/salesItemDetails.do?id=106730</v>
      </c>
      <c r="B3628" s="2" t="s">
        <v>10318</v>
      </c>
      <c r="C3628" s="2" t="s">
        <v>10199</v>
      </c>
      <c r="D3628" s="2" t="s">
        <v>10315</v>
      </c>
      <c r="E3628" s="2" t="s">
        <v>7334</v>
      </c>
      <c r="F3628" s="2" t="s">
        <v>16</v>
      </c>
      <c r="G3628" s="2" t="s">
        <v>38</v>
      </c>
      <c r="H3628" s="2"/>
      <c r="I3628" s="3" t="n">
        <v>37408</v>
      </c>
      <c r="J3628" s="2" t="s">
        <v>19</v>
      </c>
      <c r="K3628" s="2"/>
      <c r="L3628" s="2" t="s">
        <v>518</v>
      </c>
    </row>
    <row r="3629" customFormat="false" ht="15.65" hidden="false" customHeight="true" outlineLevel="0" collapsed="false">
      <c r="A3629" s="5" t="str">
        <f aca="false">HYPERLINK("https://www.fabsurplus.com/sdi_catalog/salesItemDetails.do?id=106731")</f>
        <v>https://www.fabsurplus.com/sdi_catalog/salesItemDetails.do?id=106731</v>
      </c>
      <c r="B3629" s="5" t="s">
        <v>10319</v>
      </c>
      <c r="C3629" s="5" t="s">
        <v>10199</v>
      </c>
      <c r="D3629" s="5" t="s">
        <v>9488</v>
      </c>
      <c r="E3629" s="5" t="s">
        <v>10241</v>
      </c>
      <c r="F3629" s="5" t="s">
        <v>16</v>
      </c>
      <c r="G3629" s="5" t="s">
        <v>61</v>
      </c>
      <c r="H3629" s="5"/>
      <c r="I3629" s="6" t="n">
        <v>38869</v>
      </c>
      <c r="J3629" s="5" t="s">
        <v>19</v>
      </c>
      <c r="K3629" s="5"/>
      <c r="L3629" s="5" t="s">
        <v>518</v>
      </c>
    </row>
    <row r="3630" customFormat="false" ht="15.65" hidden="false" customHeight="true" outlineLevel="0" collapsed="false">
      <c r="A3630" s="2" t="str">
        <f aca="false">HYPERLINK("https://www.fabsurplus.com/sdi_catalog/salesItemDetails.do?id=106732")</f>
        <v>https://www.fabsurplus.com/sdi_catalog/salesItemDetails.do?id=106732</v>
      </c>
      <c r="B3630" s="2" t="s">
        <v>10320</v>
      </c>
      <c r="C3630" s="2" t="s">
        <v>10256</v>
      </c>
      <c r="D3630" s="2" t="s">
        <v>10266</v>
      </c>
      <c r="E3630" s="2" t="s">
        <v>10224</v>
      </c>
      <c r="F3630" s="2" t="s">
        <v>16</v>
      </c>
      <c r="G3630" s="2" t="s">
        <v>38</v>
      </c>
      <c r="H3630" s="2"/>
      <c r="I3630" s="3" t="n">
        <v>37773</v>
      </c>
      <c r="J3630" s="2" t="s">
        <v>19</v>
      </c>
      <c r="K3630" s="2"/>
      <c r="L3630" s="2" t="s">
        <v>518</v>
      </c>
    </row>
    <row r="3631" customFormat="false" ht="15.65" hidden="false" customHeight="true" outlineLevel="0" collapsed="false">
      <c r="A3631" s="5" t="str">
        <f aca="false">HYPERLINK("https://www.fabsurplus.com/sdi_catalog/salesItemDetails.do?id=106733")</f>
        <v>https://www.fabsurplus.com/sdi_catalog/salesItemDetails.do?id=106733</v>
      </c>
      <c r="B3631" s="5" t="s">
        <v>10321</v>
      </c>
      <c r="C3631" s="5" t="s">
        <v>10256</v>
      </c>
      <c r="D3631" s="5" t="s">
        <v>10266</v>
      </c>
      <c r="E3631" s="5" t="s">
        <v>10224</v>
      </c>
      <c r="F3631" s="5" t="s">
        <v>16</v>
      </c>
      <c r="G3631" s="5" t="s">
        <v>38</v>
      </c>
      <c r="H3631" s="5"/>
      <c r="I3631" s="6" t="n">
        <v>36312</v>
      </c>
      <c r="J3631" s="5" t="s">
        <v>19</v>
      </c>
      <c r="K3631" s="5"/>
      <c r="L3631" s="5" t="s">
        <v>518</v>
      </c>
    </row>
    <row r="3632" customFormat="false" ht="15.65" hidden="false" customHeight="true" outlineLevel="0" collapsed="false">
      <c r="A3632" s="2" t="str">
        <f aca="false">HYPERLINK("https://www.fabsurplus.com/sdi_catalog/salesItemDetails.do?id=106734")</f>
        <v>https://www.fabsurplus.com/sdi_catalog/salesItemDetails.do?id=106734</v>
      </c>
      <c r="B3632" s="2" t="s">
        <v>10322</v>
      </c>
      <c r="C3632" s="2" t="s">
        <v>10256</v>
      </c>
      <c r="D3632" s="2" t="s">
        <v>9488</v>
      </c>
      <c r="E3632" s="2" t="s">
        <v>10323</v>
      </c>
      <c r="F3632" s="2" t="s">
        <v>16</v>
      </c>
      <c r="G3632" s="2" t="s">
        <v>61</v>
      </c>
      <c r="H3632" s="2"/>
      <c r="I3632" s="2"/>
      <c r="J3632" s="2" t="s">
        <v>19</v>
      </c>
      <c r="K3632" s="2"/>
      <c r="L3632" s="2" t="s">
        <v>518</v>
      </c>
    </row>
    <row r="3633" customFormat="false" ht="15.65" hidden="false" customHeight="true" outlineLevel="0" collapsed="false">
      <c r="A3633" s="5" t="str">
        <f aca="false">HYPERLINK("https://www.fabsurplus.com/sdi_catalog/salesItemDetails.do?id=109550")</f>
        <v>https://www.fabsurplus.com/sdi_catalog/salesItemDetails.do?id=109550</v>
      </c>
      <c r="B3633" s="5" t="s">
        <v>10324</v>
      </c>
      <c r="C3633" s="5" t="s">
        <v>10202</v>
      </c>
      <c r="D3633" s="5" t="s">
        <v>10211</v>
      </c>
      <c r="E3633" s="5" t="s">
        <v>10323</v>
      </c>
      <c r="F3633" s="5" t="s">
        <v>16</v>
      </c>
      <c r="G3633" s="5" t="s">
        <v>61</v>
      </c>
      <c r="H3633" s="5" t="s">
        <v>2785</v>
      </c>
      <c r="I3633" s="6" t="n">
        <v>38869</v>
      </c>
      <c r="J3633" s="5" t="s">
        <v>19</v>
      </c>
      <c r="K3633" s="5" t="s">
        <v>20</v>
      </c>
      <c r="L3633" s="5" t="s">
        <v>402</v>
      </c>
    </row>
    <row r="3634" customFormat="false" ht="15.65" hidden="false" customHeight="true" outlineLevel="0" collapsed="false">
      <c r="A3634" s="2" t="str">
        <f aca="false">HYPERLINK("https://www.fabsurplus.com/sdi_catalog/salesItemDetails.do?id=106735")</f>
        <v>https://www.fabsurplus.com/sdi_catalog/salesItemDetails.do?id=106735</v>
      </c>
      <c r="B3634" s="2" t="s">
        <v>10325</v>
      </c>
      <c r="C3634" s="2" t="s">
        <v>10256</v>
      </c>
      <c r="D3634" s="2" t="s">
        <v>9488</v>
      </c>
      <c r="E3634" s="2" t="s">
        <v>10323</v>
      </c>
      <c r="F3634" s="2" t="s">
        <v>16</v>
      </c>
      <c r="G3634" s="2" t="s">
        <v>61</v>
      </c>
      <c r="H3634" s="2"/>
      <c r="I3634" s="2"/>
      <c r="J3634" s="2" t="s">
        <v>19</v>
      </c>
      <c r="K3634" s="2"/>
      <c r="L3634" s="2" t="s">
        <v>518</v>
      </c>
    </row>
    <row r="3635" customFormat="false" ht="15.65" hidden="false" customHeight="true" outlineLevel="0" collapsed="false">
      <c r="A3635" s="5" t="str">
        <f aca="false">HYPERLINK("https://www.fabsurplus.com/sdi_catalog/salesItemDetails.do?id=98296")</f>
        <v>https://www.fabsurplus.com/sdi_catalog/salesItemDetails.do?id=98296</v>
      </c>
      <c r="B3635" s="5" t="s">
        <v>10326</v>
      </c>
      <c r="C3635" s="5" t="s">
        <v>10199</v>
      </c>
      <c r="D3635" s="5" t="s">
        <v>10327</v>
      </c>
      <c r="E3635" s="5" t="s">
        <v>10224</v>
      </c>
      <c r="F3635" s="5" t="s">
        <v>16</v>
      </c>
      <c r="G3635" s="5" t="s">
        <v>61</v>
      </c>
      <c r="H3635" s="5"/>
      <c r="I3635" s="5"/>
      <c r="J3635" s="5" t="s">
        <v>19</v>
      </c>
      <c r="K3635" s="5"/>
      <c r="L3635" s="5"/>
    </row>
    <row r="3636" customFormat="false" ht="15.65" hidden="false" customHeight="true" outlineLevel="0" collapsed="false">
      <c r="A3636" s="2" t="str">
        <f aca="false">HYPERLINK("https://www.fabsurplus.com/sdi_catalog/salesItemDetails.do?id=98297")</f>
        <v>https://www.fabsurplus.com/sdi_catalog/salesItemDetails.do?id=98297</v>
      </c>
      <c r="B3636" s="2" t="s">
        <v>10328</v>
      </c>
      <c r="C3636" s="2" t="s">
        <v>10199</v>
      </c>
      <c r="D3636" s="2" t="s">
        <v>10327</v>
      </c>
      <c r="E3636" s="2" t="s">
        <v>10224</v>
      </c>
      <c r="F3636" s="2" t="s">
        <v>16</v>
      </c>
      <c r="G3636" s="2" t="s">
        <v>61</v>
      </c>
      <c r="H3636" s="2"/>
      <c r="I3636" s="2"/>
      <c r="J3636" s="2" t="s">
        <v>19</v>
      </c>
      <c r="K3636" s="2"/>
      <c r="L3636" s="2"/>
    </row>
    <row r="3637" customFormat="false" ht="15.65" hidden="false" customHeight="true" outlineLevel="0" collapsed="false">
      <c r="A3637" s="5" t="str">
        <f aca="false">HYPERLINK("https://www.fabsurplus.com/sdi_catalog/salesItemDetails.do?id=98298")</f>
        <v>https://www.fabsurplus.com/sdi_catalog/salesItemDetails.do?id=98298</v>
      </c>
      <c r="B3637" s="5" t="s">
        <v>10329</v>
      </c>
      <c r="C3637" s="5" t="s">
        <v>10199</v>
      </c>
      <c r="D3637" s="5" t="s">
        <v>10300</v>
      </c>
      <c r="E3637" s="5" t="s">
        <v>10224</v>
      </c>
      <c r="F3637" s="5" t="s">
        <v>16</v>
      </c>
      <c r="G3637" s="5" t="s">
        <v>61</v>
      </c>
      <c r="H3637" s="5"/>
      <c r="I3637" s="6" t="n">
        <v>39233.9166666667</v>
      </c>
      <c r="J3637" s="5" t="s">
        <v>19</v>
      </c>
      <c r="K3637" s="5"/>
      <c r="L3637" s="5"/>
    </row>
    <row r="3638" customFormat="false" ht="15.65" hidden="false" customHeight="true" outlineLevel="0" collapsed="false">
      <c r="A3638" s="2" t="str">
        <f aca="false">HYPERLINK("https://www.fabsurplus.com/sdi_catalog/salesItemDetails.do?id=110465")</f>
        <v>https://www.fabsurplus.com/sdi_catalog/salesItemDetails.do?id=110465</v>
      </c>
      <c r="B3638" s="2" t="s">
        <v>10330</v>
      </c>
      <c r="C3638" s="2" t="s">
        <v>10331</v>
      </c>
      <c r="D3638" s="2" t="s">
        <v>10332</v>
      </c>
      <c r="E3638" s="2" t="s">
        <v>164</v>
      </c>
      <c r="F3638" s="2" t="s">
        <v>16</v>
      </c>
      <c r="G3638" s="2" t="s">
        <v>165</v>
      </c>
      <c r="H3638" s="2"/>
      <c r="I3638" s="2"/>
      <c r="J3638" s="2" t="s">
        <v>42</v>
      </c>
      <c r="K3638" s="2"/>
      <c r="L3638" s="2" t="s">
        <v>10333</v>
      </c>
    </row>
    <row r="3639" customFormat="false" ht="15.65" hidden="false" customHeight="true" outlineLevel="0" collapsed="false">
      <c r="A3639" s="5" t="str">
        <f aca="false">HYPERLINK("https://www.fabsurplus.com/sdi_catalog/salesItemDetails.do?id=79602")</f>
        <v>https://www.fabsurplus.com/sdi_catalog/salesItemDetails.do?id=79602</v>
      </c>
      <c r="B3639" s="5" t="s">
        <v>10334</v>
      </c>
      <c r="C3639" s="5" t="s">
        <v>10335</v>
      </c>
      <c r="D3639" s="5" t="s">
        <v>10336</v>
      </c>
      <c r="E3639" s="5" t="s">
        <v>10337</v>
      </c>
      <c r="F3639" s="5" t="s">
        <v>16</v>
      </c>
      <c r="G3639" s="5" t="s">
        <v>1491</v>
      </c>
      <c r="H3639" s="5" t="s">
        <v>18</v>
      </c>
      <c r="I3639" s="6" t="n">
        <v>38138.9166666667</v>
      </c>
      <c r="J3639" s="5" t="s">
        <v>19</v>
      </c>
      <c r="K3639" s="5" t="s">
        <v>20</v>
      </c>
      <c r="L3639" s="7" t="s">
        <v>10338</v>
      </c>
    </row>
    <row r="3640" customFormat="false" ht="15.65" hidden="false" customHeight="true" outlineLevel="0" collapsed="false">
      <c r="A3640" s="2" t="str">
        <f aca="false">HYPERLINK("https://www.fabsurplus.com/sdi_catalog/salesItemDetails.do?id=98495")</f>
        <v>https://www.fabsurplus.com/sdi_catalog/salesItemDetails.do?id=98495</v>
      </c>
      <c r="B3640" s="2" t="s">
        <v>10339</v>
      </c>
      <c r="C3640" s="2" t="s">
        <v>10340</v>
      </c>
      <c r="D3640" s="2" t="s">
        <v>10341</v>
      </c>
      <c r="E3640" s="2" t="s">
        <v>10342</v>
      </c>
      <c r="F3640" s="2" t="s">
        <v>151</v>
      </c>
      <c r="G3640" s="2" t="s">
        <v>10343</v>
      </c>
      <c r="H3640" s="2" t="s">
        <v>18</v>
      </c>
      <c r="I3640" s="3" t="n">
        <v>35734.9583333333</v>
      </c>
      <c r="J3640" s="2" t="s">
        <v>19</v>
      </c>
      <c r="K3640" s="2" t="s">
        <v>20</v>
      </c>
      <c r="L3640" s="4" t="s">
        <v>10344</v>
      </c>
    </row>
    <row r="3641" customFormat="false" ht="15.65" hidden="false" customHeight="true" outlineLevel="0" collapsed="false">
      <c r="A3641" s="5" t="str">
        <f aca="false">HYPERLINK("https://www.fabsurplus.com/sdi_catalog/salesItemDetails.do?id=98496")</f>
        <v>https://www.fabsurplus.com/sdi_catalog/salesItemDetails.do?id=98496</v>
      </c>
      <c r="B3641" s="5" t="s">
        <v>10345</v>
      </c>
      <c r="C3641" s="5" t="s">
        <v>10340</v>
      </c>
      <c r="D3641" s="5" t="s">
        <v>10346</v>
      </c>
      <c r="E3641" s="5" t="s">
        <v>10347</v>
      </c>
      <c r="F3641" s="5" t="s">
        <v>16</v>
      </c>
      <c r="G3641" s="5" t="s">
        <v>10348</v>
      </c>
      <c r="H3641" s="5"/>
      <c r="I3641" s="5"/>
      <c r="J3641" s="5" t="s">
        <v>19</v>
      </c>
      <c r="K3641" s="5"/>
      <c r="L3641" s="5" t="s">
        <v>518</v>
      </c>
    </row>
    <row r="3642" customFormat="false" ht="15.65" hidden="false" customHeight="true" outlineLevel="0" collapsed="false">
      <c r="A3642" s="2" t="str">
        <f aca="false">HYPERLINK("https://www.fabsurplus.com/sdi_catalog/salesItemDetails.do?id=106736")</f>
        <v>https://www.fabsurplus.com/sdi_catalog/salesItemDetails.do?id=106736</v>
      </c>
      <c r="B3642" s="2" t="s">
        <v>10349</v>
      </c>
      <c r="C3642" s="2" t="s">
        <v>10340</v>
      </c>
      <c r="D3642" s="2" t="s">
        <v>10350</v>
      </c>
      <c r="E3642" s="2" t="s">
        <v>10351</v>
      </c>
      <c r="F3642" s="2" t="s">
        <v>16</v>
      </c>
      <c r="G3642" s="2" t="s">
        <v>61</v>
      </c>
      <c r="H3642" s="2"/>
      <c r="I3642" s="3" t="n">
        <v>38869</v>
      </c>
      <c r="J3642" s="2" t="s">
        <v>19</v>
      </c>
      <c r="K3642" s="2"/>
      <c r="L3642" s="2" t="s">
        <v>518</v>
      </c>
    </row>
    <row r="3643" customFormat="false" ht="15.65" hidden="false" customHeight="true" outlineLevel="0" collapsed="false">
      <c r="A3643" s="5" t="str">
        <f aca="false">HYPERLINK("https://www.fabsurplus.com/sdi_catalog/salesItemDetails.do?id=106737")</f>
        <v>https://www.fabsurplus.com/sdi_catalog/salesItemDetails.do?id=106737</v>
      </c>
      <c r="B3643" s="5" t="s">
        <v>10352</v>
      </c>
      <c r="C3643" s="5" t="s">
        <v>10340</v>
      </c>
      <c r="D3643" s="5" t="s">
        <v>10350</v>
      </c>
      <c r="E3643" s="5" t="s">
        <v>10351</v>
      </c>
      <c r="F3643" s="5" t="s">
        <v>16</v>
      </c>
      <c r="G3643" s="5" t="s">
        <v>61</v>
      </c>
      <c r="H3643" s="5"/>
      <c r="I3643" s="6" t="n">
        <v>38869</v>
      </c>
      <c r="J3643" s="5" t="s">
        <v>19</v>
      </c>
      <c r="K3643" s="5"/>
      <c r="L3643" s="5" t="s">
        <v>518</v>
      </c>
    </row>
    <row r="3644" customFormat="false" ht="15.65" hidden="false" customHeight="true" outlineLevel="0" collapsed="false">
      <c r="A3644" s="2" t="str">
        <f aca="false">HYPERLINK("https://www.fabsurplus.com/sdi_catalog/salesItemDetails.do?id=84373")</f>
        <v>https://www.fabsurplus.com/sdi_catalog/salesItemDetails.do?id=84373</v>
      </c>
      <c r="B3644" s="2" t="s">
        <v>10353</v>
      </c>
      <c r="C3644" s="2" t="s">
        <v>10354</v>
      </c>
      <c r="D3644" s="2" t="s">
        <v>10355</v>
      </c>
      <c r="E3644" s="2" t="s">
        <v>10356</v>
      </c>
      <c r="F3644" s="2" t="s">
        <v>151</v>
      </c>
      <c r="G3644" s="2"/>
      <c r="H3644" s="2" t="s">
        <v>18</v>
      </c>
      <c r="I3644" s="2"/>
      <c r="J3644" s="2" t="s">
        <v>19</v>
      </c>
      <c r="K3644" s="2" t="s">
        <v>20</v>
      </c>
      <c r="L3644" s="4" t="s">
        <v>10357</v>
      </c>
    </row>
    <row r="3645" customFormat="false" ht="15.65" hidden="false" customHeight="true" outlineLevel="0" collapsed="false">
      <c r="A3645" s="5" t="str">
        <f aca="false">HYPERLINK("https://www.fabsurplus.com/sdi_catalog/salesItemDetails.do?id=79889")</f>
        <v>https://www.fabsurplus.com/sdi_catalog/salesItemDetails.do?id=79889</v>
      </c>
      <c r="B3645" s="5" t="s">
        <v>10358</v>
      </c>
      <c r="C3645" s="5" t="s">
        <v>10359</v>
      </c>
      <c r="D3645" s="5" t="s">
        <v>10360</v>
      </c>
      <c r="E3645" s="5" t="s">
        <v>8517</v>
      </c>
      <c r="F3645" s="5" t="s">
        <v>16</v>
      </c>
      <c r="G3645" s="5" t="s">
        <v>1236</v>
      </c>
      <c r="H3645" s="5" t="s">
        <v>1395</v>
      </c>
      <c r="I3645" s="5"/>
      <c r="J3645" s="5" t="s">
        <v>19</v>
      </c>
      <c r="K3645" s="5" t="s">
        <v>20</v>
      </c>
      <c r="L3645" s="7" t="s">
        <v>10361</v>
      </c>
    </row>
    <row r="3646" customFormat="false" ht="15.65" hidden="false" customHeight="true" outlineLevel="0" collapsed="false">
      <c r="A3646" s="2" t="str">
        <f aca="false">HYPERLINK("https://www.fabsurplus.com/sdi_catalog/salesItemDetails.do?id=86303")</f>
        <v>https://www.fabsurplus.com/sdi_catalog/salesItemDetails.do?id=86303</v>
      </c>
      <c r="B3646" s="2" t="s">
        <v>10362</v>
      </c>
      <c r="C3646" s="2" t="s">
        <v>10363</v>
      </c>
      <c r="D3646" s="2" t="s">
        <v>10364</v>
      </c>
      <c r="E3646" s="2" t="s">
        <v>8891</v>
      </c>
      <c r="F3646" s="2" t="s">
        <v>16</v>
      </c>
      <c r="G3646" s="2" t="s">
        <v>2803</v>
      </c>
      <c r="H3646" s="2" t="s">
        <v>18</v>
      </c>
      <c r="I3646" s="3" t="n">
        <v>35247</v>
      </c>
      <c r="J3646" s="2" t="s">
        <v>19</v>
      </c>
      <c r="K3646" s="2" t="s">
        <v>20</v>
      </c>
      <c r="L3646" s="4" t="s">
        <v>10365</v>
      </c>
    </row>
    <row r="3647" customFormat="false" ht="15.65" hidden="false" customHeight="true" outlineLevel="0" collapsed="false">
      <c r="A3647" s="5" t="str">
        <f aca="false">HYPERLINK("https://www.fabsurplus.com/sdi_catalog/salesItemDetails.do?id=106206")</f>
        <v>https://www.fabsurplus.com/sdi_catalog/salesItemDetails.do?id=106206</v>
      </c>
      <c r="B3647" s="5" t="s">
        <v>10366</v>
      </c>
      <c r="C3647" s="5" t="s">
        <v>10367</v>
      </c>
      <c r="D3647" s="5" t="s">
        <v>10368</v>
      </c>
      <c r="E3647" s="5" t="s">
        <v>10369</v>
      </c>
      <c r="F3647" s="5" t="s">
        <v>151</v>
      </c>
      <c r="G3647" s="5" t="s">
        <v>104</v>
      </c>
      <c r="H3647" s="5" t="s">
        <v>32</v>
      </c>
      <c r="I3647" s="5"/>
      <c r="J3647" s="5" t="s">
        <v>19</v>
      </c>
      <c r="K3647" s="5" t="s">
        <v>20</v>
      </c>
      <c r="L3647" s="7" t="s">
        <v>10370</v>
      </c>
    </row>
    <row r="3648" customFormat="false" ht="15.65" hidden="false" customHeight="true" outlineLevel="0" collapsed="false">
      <c r="A3648" s="2" t="str">
        <f aca="false">HYPERLINK("https://www.fabsurplus.com/sdi_catalog/salesItemDetails.do?id=83634")</f>
        <v>https://www.fabsurplus.com/sdi_catalog/salesItemDetails.do?id=83634</v>
      </c>
      <c r="B3648" s="2" t="s">
        <v>10371</v>
      </c>
      <c r="C3648" s="2" t="s">
        <v>10372</v>
      </c>
      <c r="D3648" s="2" t="s">
        <v>10373</v>
      </c>
      <c r="E3648" s="2" t="s">
        <v>10374</v>
      </c>
      <c r="F3648" s="2" t="s">
        <v>151</v>
      </c>
      <c r="G3648" s="2" t="s">
        <v>10375</v>
      </c>
      <c r="H3648" s="2" t="s">
        <v>98</v>
      </c>
      <c r="I3648" s="3" t="n">
        <v>38929.9166666667</v>
      </c>
      <c r="J3648" s="2" t="s">
        <v>19</v>
      </c>
      <c r="K3648" s="2" t="s">
        <v>20</v>
      </c>
      <c r="L3648" s="4" t="s">
        <v>10376</v>
      </c>
    </row>
    <row r="3649" customFormat="false" ht="15.65" hidden="false" customHeight="true" outlineLevel="0" collapsed="false">
      <c r="A3649" s="5" t="str">
        <f aca="false">HYPERLINK("https://www.fabsurplus.com/sdi_catalog/salesItemDetails.do?id=83836")</f>
        <v>https://www.fabsurplus.com/sdi_catalog/salesItemDetails.do?id=83836</v>
      </c>
      <c r="B3649" s="5" t="s">
        <v>10377</v>
      </c>
      <c r="C3649" s="5" t="s">
        <v>10378</v>
      </c>
      <c r="D3649" s="5" t="s">
        <v>10379</v>
      </c>
      <c r="E3649" s="5"/>
      <c r="F3649" s="5" t="s">
        <v>16</v>
      </c>
      <c r="G3649" s="5"/>
      <c r="H3649" s="5" t="s">
        <v>18</v>
      </c>
      <c r="I3649" s="5"/>
      <c r="J3649" s="5" t="s">
        <v>19</v>
      </c>
      <c r="K3649" s="5" t="s">
        <v>20</v>
      </c>
      <c r="L3649" s="7" t="s">
        <v>10380</v>
      </c>
    </row>
    <row r="3650" customFormat="false" ht="15.65" hidden="false" customHeight="true" outlineLevel="0" collapsed="false">
      <c r="A3650" s="2" t="str">
        <f aca="false">HYPERLINK("https://www.fabsurplus.com/sdi_catalog/salesItemDetails.do?id=100709")</f>
        <v>https://www.fabsurplus.com/sdi_catalog/salesItemDetails.do?id=100709</v>
      </c>
      <c r="B3650" s="2" t="s">
        <v>10381</v>
      </c>
      <c r="C3650" s="2" t="s">
        <v>10382</v>
      </c>
      <c r="D3650" s="2" t="s">
        <v>10383</v>
      </c>
      <c r="E3650" s="2" t="s">
        <v>10384</v>
      </c>
      <c r="F3650" s="2" t="s">
        <v>250</v>
      </c>
      <c r="G3650" s="2"/>
      <c r="H3650" s="2"/>
      <c r="I3650" s="3" t="n">
        <v>39203</v>
      </c>
      <c r="J3650" s="2" t="s">
        <v>19</v>
      </c>
      <c r="K3650" s="2"/>
      <c r="L3650" s="2" t="s">
        <v>10385</v>
      </c>
    </row>
    <row r="3651" customFormat="false" ht="15.65" hidden="false" customHeight="true" outlineLevel="0" collapsed="false">
      <c r="A3651" s="5" t="str">
        <f aca="false">HYPERLINK("https://www.fabsurplus.com/sdi_catalog/salesItemDetails.do?id=106661")</f>
        <v>https://www.fabsurplus.com/sdi_catalog/salesItemDetails.do?id=106661</v>
      </c>
      <c r="B3651" s="5" t="s">
        <v>10386</v>
      </c>
      <c r="C3651" s="5" t="s">
        <v>10387</v>
      </c>
      <c r="D3651" s="5" t="s">
        <v>10388</v>
      </c>
      <c r="E3651" s="5" t="s">
        <v>10389</v>
      </c>
      <c r="F3651" s="5" t="s">
        <v>16</v>
      </c>
      <c r="G3651" s="5" t="s">
        <v>38</v>
      </c>
      <c r="H3651" s="5"/>
      <c r="I3651" s="5"/>
      <c r="J3651" s="5" t="s">
        <v>19</v>
      </c>
      <c r="K3651" s="5"/>
      <c r="L3651" s="5" t="s">
        <v>518</v>
      </c>
    </row>
    <row r="3652" customFormat="false" ht="15.65" hidden="false" customHeight="true" outlineLevel="0" collapsed="false">
      <c r="A3652" s="2" t="str">
        <f aca="false">HYPERLINK("https://www.fabsurplus.com/sdi_catalog/salesItemDetails.do?id=107012")</f>
        <v>https://www.fabsurplus.com/sdi_catalog/salesItemDetails.do?id=107012</v>
      </c>
      <c r="B3652" s="2" t="s">
        <v>10390</v>
      </c>
      <c r="C3652" s="2" t="s">
        <v>10391</v>
      </c>
      <c r="D3652" s="2" t="s">
        <v>10392</v>
      </c>
      <c r="E3652" s="2" t="s">
        <v>10393</v>
      </c>
      <c r="F3652" s="2" t="s">
        <v>151</v>
      </c>
      <c r="G3652" s="2" t="s">
        <v>1293</v>
      </c>
      <c r="H3652" s="2" t="s">
        <v>32</v>
      </c>
      <c r="I3652" s="3" t="n">
        <v>37438</v>
      </c>
      <c r="J3652" s="2" t="s">
        <v>19</v>
      </c>
      <c r="K3652" s="2" t="s">
        <v>20</v>
      </c>
      <c r="L3652" s="4" t="s">
        <v>10394</v>
      </c>
    </row>
    <row r="3653" customFormat="false" ht="15.65" hidden="false" customHeight="true" outlineLevel="0" collapsed="false">
      <c r="A3653" s="5" t="str">
        <f aca="false">HYPERLINK("https://www.fabsurplus.com/sdi_catalog/salesItemDetails.do?id=106740")</f>
        <v>https://www.fabsurplus.com/sdi_catalog/salesItemDetails.do?id=106740</v>
      </c>
      <c r="B3653" s="5" t="s">
        <v>10395</v>
      </c>
      <c r="C3653" s="5" t="s">
        <v>10396</v>
      </c>
      <c r="D3653" s="5" t="s">
        <v>10397</v>
      </c>
      <c r="E3653" s="5" t="s">
        <v>59</v>
      </c>
      <c r="F3653" s="5" t="s">
        <v>16</v>
      </c>
      <c r="G3653" s="5" t="s">
        <v>61</v>
      </c>
      <c r="H3653" s="5"/>
      <c r="I3653" s="5"/>
      <c r="J3653" s="5" t="s">
        <v>19</v>
      </c>
      <c r="K3653" s="5"/>
      <c r="L3653" s="5" t="s">
        <v>518</v>
      </c>
    </row>
    <row r="3654" customFormat="false" ht="15.65" hidden="false" customHeight="true" outlineLevel="0" collapsed="false">
      <c r="A3654" s="2" t="str">
        <f aca="false">HYPERLINK("https://www.fabsurplus.com/sdi_catalog/salesItemDetails.do?id=84387")</f>
        <v>https://www.fabsurplus.com/sdi_catalog/salesItemDetails.do?id=84387</v>
      </c>
      <c r="B3654" s="2" t="s">
        <v>10398</v>
      </c>
      <c r="C3654" s="2" t="s">
        <v>10399</v>
      </c>
      <c r="D3654" s="2" t="s">
        <v>10400</v>
      </c>
      <c r="E3654" s="2" t="s">
        <v>6809</v>
      </c>
      <c r="F3654" s="2" t="s">
        <v>145</v>
      </c>
      <c r="G3654" s="2"/>
      <c r="H3654" s="2" t="s">
        <v>98</v>
      </c>
      <c r="I3654" s="2"/>
      <c r="J3654" s="2" t="s">
        <v>19</v>
      </c>
      <c r="K3654" s="2" t="s">
        <v>20</v>
      </c>
      <c r="L3654" s="4" t="s">
        <v>10401</v>
      </c>
    </row>
    <row r="3655" customFormat="false" ht="15.65" hidden="false" customHeight="true" outlineLevel="0" collapsed="false">
      <c r="A3655" s="5" t="str">
        <f aca="false">HYPERLINK("https://www.fabsurplus.com/sdi_catalog/salesItemDetails.do?id=21521")</f>
        <v>https://www.fabsurplus.com/sdi_catalog/salesItemDetails.do?id=21521</v>
      </c>
      <c r="B3655" s="5" t="s">
        <v>10402</v>
      </c>
      <c r="C3655" s="5" t="s">
        <v>10403</v>
      </c>
      <c r="D3655" s="5" t="s">
        <v>10404</v>
      </c>
      <c r="E3655" s="5" t="s">
        <v>10405</v>
      </c>
      <c r="F3655" s="5" t="s">
        <v>16</v>
      </c>
      <c r="G3655" s="5" t="s">
        <v>5777</v>
      </c>
      <c r="H3655" s="5" t="s">
        <v>32</v>
      </c>
      <c r="I3655" s="6" t="n">
        <v>34851</v>
      </c>
      <c r="J3655" s="5" t="s">
        <v>19</v>
      </c>
      <c r="K3655" s="5" t="s">
        <v>20</v>
      </c>
      <c r="L3655" s="5" t="s">
        <v>10406</v>
      </c>
    </row>
    <row r="3656" customFormat="false" ht="15.65" hidden="false" customHeight="true" outlineLevel="0" collapsed="false">
      <c r="A3656" s="2" t="str">
        <f aca="false">HYPERLINK("https://www.fabsurplus.com/sdi_catalog/salesItemDetails.do?id=52191")</f>
        <v>https://www.fabsurplus.com/sdi_catalog/salesItemDetails.do?id=52191</v>
      </c>
      <c r="B3656" s="2" t="s">
        <v>10407</v>
      </c>
      <c r="C3656" s="2" t="s">
        <v>10408</v>
      </c>
      <c r="D3656" s="2" t="s">
        <v>10409</v>
      </c>
      <c r="E3656" s="2" t="s">
        <v>10410</v>
      </c>
      <c r="F3656" s="2" t="s">
        <v>16</v>
      </c>
      <c r="G3656" s="2" t="s">
        <v>97</v>
      </c>
      <c r="H3656" s="2" t="s">
        <v>18</v>
      </c>
      <c r="I3656" s="3" t="n">
        <v>36312</v>
      </c>
      <c r="J3656" s="2" t="s">
        <v>19</v>
      </c>
      <c r="K3656" s="2" t="s">
        <v>20</v>
      </c>
      <c r="L3656" s="4" t="s">
        <v>10411</v>
      </c>
    </row>
    <row r="3657" customFormat="false" ht="15.65" hidden="false" customHeight="true" outlineLevel="0" collapsed="false">
      <c r="A3657" s="5" t="str">
        <f aca="false">HYPERLINK("https://www.fabsurplus.com/sdi_catalog/salesItemDetails.do?id=71921")</f>
        <v>https://www.fabsurplus.com/sdi_catalog/salesItemDetails.do?id=71921</v>
      </c>
      <c r="B3657" s="5" t="s">
        <v>10412</v>
      </c>
      <c r="C3657" s="5" t="s">
        <v>10408</v>
      </c>
      <c r="D3657" s="5" t="s">
        <v>10413</v>
      </c>
      <c r="E3657" s="5" t="s">
        <v>10414</v>
      </c>
      <c r="F3657" s="5" t="s">
        <v>16</v>
      </c>
      <c r="G3657" s="5" t="s">
        <v>97</v>
      </c>
      <c r="H3657" s="5" t="s">
        <v>18</v>
      </c>
      <c r="I3657" s="6" t="n">
        <v>36434</v>
      </c>
      <c r="J3657" s="5" t="s">
        <v>19</v>
      </c>
      <c r="K3657" s="5" t="s">
        <v>20</v>
      </c>
      <c r="L3657" s="7" t="s">
        <v>10415</v>
      </c>
    </row>
    <row r="3658" customFormat="false" ht="15.65" hidden="false" customHeight="true" outlineLevel="0" collapsed="false">
      <c r="A3658" s="2" t="str">
        <f aca="false">HYPERLINK("https://www.fabsurplus.com/sdi_catalog/salesItemDetails.do?id=20268")</f>
        <v>https://www.fabsurplus.com/sdi_catalog/salesItemDetails.do?id=20268</v>
      </c>
      <c r="B3658" s="2" t="s">
        <v>10416</v>
      </c>
      <c r="C3658" s="2" t="s">
        <v>10417</v>
      </c>
      <c r="D3658" s="2" t="s">
        <v>10418</v>
      </c>
      <c r="E3658" s="2" t="s">
        <v>10419</v>
      </c>
      <c r="F3658" s="2" t="s">
        <v>3051</v>
      </c>
      <c r="G3658" s="2" t="s">
        <v>38</v>
      </c>
      <c r="H3658" s="2" t="s">
        <v>18</v>
      </c>
      <c r="I3658" s="3" t="n">
        <v>38869</v>
      </c>
      <c r="J3658" s="2" t="s">
        <v>19</v>
      </c>
      <c r="K3658" s="2" t="s">
        <v>20</v>
      </c>
      <c r="L3658" s="4" t="s">
        <v>10420</v>
      </c>
    </row>
    <row r="3659" customFormat="false" ht="15.65" hidden="false" customHeight="true" outlineLevel="0" collapsed="false">
      <c r="A3659" s="5" t="str">
        <f aca="false">HYPERLINK("https://www.fabsurplus.com/sdi_catalog/salesItemDetails.do?id=109560")</f>
        <v>https://www.fabsurplus.com/sdi_catalog/salesItemDetails.do?id=109560</v>
      </c>
      <c r="B3659" s="5" t="s">
        <v>10421</v>
      </c>
      <c r="C3659" s="5" t="s">
        <v>10422</v>
      </c>
      <c r="D3659" s="5" t="s">
        <v>10423</v>
      </c>
      <c r="E3659" s="5" t="s">
        <v>10424</v>
      </c>
      <c r="F3659" s="5" t="s">
        <v>16</v>
      </c>
      <c r="G3659" s="5" t="s">
        <v>2327</v>
      </c>
      <c r="H3659" s="5"/>
      <c r="I3659" s="6" t="n">
        <v>40664</v>
      </c>
      <c r="J3659" s="5" t="s">
        <v>19</v>
      </c>
      <c r="K3659" s="5"/>
      <c r="L3659" s="7" t="s">
        <v>10425</v>
      </c>
    </row>
    <row r="3660" customFormat="false" ht="15.65" hidden="false" customHeight="true" outlineLevel="0" collapsed="false">
      <c r="A3660" s="2" t="str">
        <f aca="false">HYPERLINK("https://www.fabsurplus.com/sdi_catalog/salesItemDetails.do?id=77185")</f>
        <v>https://www.fabsurplus.com/sdi_catalog/salesItemDetails.do?id=77185</v>
      </c>
      <c r="B3660" s="2" t="s">
        <v>10426</v>
      </c>
      <c r="C3660" s="2" t="s">
        <v>10427</v>
      </c>
      <c r="D3660" s="2" t="s">
        <v>10428</v>
      </c>
      <c r="E3660" s="2" t="s">
        <v>10429</v>
      </c>
      <c r="F3660" s="2" t="s">
        <v>16</v>
      </c>
      <c r="G3660" s="2"/>
      <c r="H3660" s="2" t="s">
        <v>32</v>
      </c>
      <c r="I3660" s="2"/>
      <c r="J3660" s="2" t="s">
        <v>19</v>
      </c>
      <c r="K3660" s="2" t="s">
        <v>20</v>
      </c>
      <c r="L3660" s="4" t="s">
        <v>10430</v>
      </c>
    </row>
    <row r="3661" customFormat="false" ht="15.65" hidden="false" customHeight="true" outlineLevel="0" collapsed="false">
      <c r="A3661" s="5" t="str">
        <f aca="false">HYPERLINK("https://www.fabsurplus.com/sdi_catalog/salesItemDetails.do?id=110466")</f>
        <v>https://www.fabsurplus.com/sdi_catalog/salesItemDetails.do?id=110466</v>
      </c>
      <c r="B3661" s="5" t="s">
        <v>10431</v>
      </c>
      <c r="C3661" s="5" t="s">
        <v>10427</v>
      </c>
      <c r="D3661" s="5" t="s">
        <v>10432</v>
      </c>
      <c r="E3661" s="5" t="s">
        <v>164</v>
      </c>
      <c r="F3661" s="5" t="s">
        <v>16</v>
      </c>
      <c r="G3661" s="5" t="s">
        <v>165</v>
      </c>
      <c r="H3661" s="5"/>
      <c r="I3661" s="5"/>
      <c r="J3661" s="5" t="s">
        <v>42</v>
      </c>
      <c r="K3661" s="5"/>
      <c r="L3661" s="5" t="s">
        <v>10433</v>
      </c>
    </row>
    <row r="3662" customFormat="false" ht="15.65" hidden="false" customHeight="true" outlineLevel="0" collapsed="false">
      <c r="A3662" s="2" t="str">
        <f aca="false">HYPERLINK("https://www.fabsurplus.com/sdi_catalog/salesItemDetails.do?id=110467")</f>
        <v>https://www.fabsurplus.com/sdi_catalog/salesItemDetails.do?id=110467</v>
      </c>
      <c r="B3662" s="2" t="s">
        <v>10434</v>
      </c>
      <c r="C3662" s="2" t="s">
        <v>10427</v>
      </c>
      <c r="D3662" s="2" t="s">
        <v>10435</v>
      </c>
      <c r="E3662" s="2" t="s">
        <v>164</v>
      </c>
      <c r="F3662" s="2" t="s">
        <v>16</v>
      </c>
      <c r="G3662" s="2" t="s">
        <v>165</v>
      </c>
      <c r="H3662" s="2"/>
      <c r="I3662" s="2"/>
      <c r="J3662" s="2" t="s">
        <v>42</v>
      </c>
      <c r="K3662" s="2"/>
      <c r="L3662" s="2" t="s">
        <v>10436</v>
      </c>
    </row>
    <row r="3663" customFormat="false" ht="15.65" hidden="false" customHeight="true" outlineLevel="0" collapsed="false">
      <c r="A3663" s="5" t="str">
        <f aca="false">HYPERLINK("https://www.fabsurplus.com/sdi_catalog/salesItemDetails.do?id=77189")</f>
        <v>https://www.fabsurplus.com/sdi_catalog/salesItemDetails.do?id=77189</v>
      </c>
      <c r="B3663" s="5" t="s">
        <v>10437</v>
      </c>
      <c r="C3663" s="5" t="s">
        <v>10427</v>
      </c>
      <c r="D3663" s="5" t="s">
        <v>10438</v>
      </c>
      <c r="E3663" s="5" t="s">
        <v>10439</v>
      </c>
      <c r="F3663" s="5" t="s">
        <v>236</v>
      </c>
      <c r="G3663" s="5" t="s">
        <v>1501</v>
      </c>
      <c r="H3663" s="5" t="s">
        <v>1969</v>
      </c>
      <c r="I3663" s="6" t="n">
        <v>40330</v>
      </c>
      <c r="J3663" s="5" t="s">
        <v>19</v>
      </c>
      <c r="K3663" s="5" t="s">
        <v>20</v>
      </c>
      <c r="L3663" s="7" t="s">
        <v>10440</v>
      </c>
    </row>
    <row r="3664" customFormat="false" ht="15.65" hidden="false" customHeight="true" outlineLevel="0" collapsed="false">
      <c r="A3664" s="2" t="str">
        <f aca="false">HYPERLINK("https://www.fabsurplus.com/sdi_catalog/salesItemDetails.do?id=77191")</f>
        <v>https://www.fabsurplus.com/sdi_catalog/salesItemDetails.do?id=77191</v>
      </c>
      <c r="B3664" s="2" t="s">
        <v>10441</v>
      </c>
      <c r="C3664" s="2" t="s">
        <v>10427</v>
      </c>
      <c r="D3664" s="2" t="s">
        <v>10442</v>
      </c>
      <c r="E3664" s="2" t="s">
        <v>10443</v>
      </c>
      <c r="F3664" s="2" t="s">
        <v>60</v>
      </c>
      <c r="G3664" s="2" t="s">
        <v>1501</v>
      </c>
      <c r="H3664" s="2" t="s">
        <v>18</v>
      </c>
      <c r="I3664" s="2"/>
      <c r="J3664" s="2" t="s">
        <v>19</v>
      </c>
      <c r="K3664" s="2" t="s">
        <v>20</v>
      </c>
      <c r="L3664" s="4" t="s">
        <v>10444</v>
      </c>
    </row>
    <row r="3665" customFormat="false" ht="15.65" hidden="false" customHeight="true" outlineLevel="0" collapsed="false">
      <c r="A3665" s="5" t="str">
        <f aca="false">HYPERLINK("https://www.fabsurplus.com/sdi_catalog/salesItemDetails.do?id=77198")</f>
        <v>https://www.fabsurplus.com/sdi_catalog/salesItemDetails.do?id=77198</v>
      </c>
      <c r="B3665" s="5" t="s">
        <v>10445</v>
      </c>
      <c r="C3665" s="5" t="s">
        <v>10427</v>
      </c>
      <c r="D3665" s="5" t="s">
        <v>10446</v>
      </c>
      <c r="E3665" s="5" t="s">
        <v>10447</v>
      </c>
      <c r="F3665" s="5" t="s">
        <v>86</v>
      </c>
      <c r="G3665" s="5" t="s">
        <v>1501</v>
      </c>
      <c r="H3665" s="5" t="s">
        <v>18</v>
      </c>
      <c r="I3665" s="5"/>
      <c r="J3665" s="5" t="s">
        <v>19</v>
      </c>
      <c r="K3665" s="5" t="s">
        <v>20</v>
      </c>
      <c r="L3665" s="7" t="s">
        <v>10448</v>
      </c>
    </row>
    <row r="3666" customFormat="false" ht="15.65" hidden="false" customHeight="true" outlineLevel="0" collapsed="false">
      <c r="A3666" s="2" t="str">
        <f aca="false">HYPERLINK("https://www.fabsurplus.com/sdi_catalog/salesItemDetails.do?id=77208")</f>
        <v>https://www.fabsurplus.com/sdi_catalog/salesItemDetails.do?id=77208</v>
      </c>
      <c r="B3666" s="2" t="s">
        <v>10449</v>
      </c>
      <c r="C3666" s="2" t="s">
        <v>10427</v>
      </c>
      <c r="D3666" s="2" t="s">
        <v>10442</v>
      </c>
      <c r="E3666" s="2" t="s">
        <v>10450</v>
      </c>
      <c r="F3666" s="2" t="s">
        <v>86</v>
      </c>
      <c r="G3666" s="2" t="s">
        <v>1501</v>
      </c>
      <c r="H3666" s="2" t="s">
        <v>18</v>
      </c>
      <c r="I3666" s="2"/>
      <c r="J3666" s="2" t="s">
        <v>19</v>
      </c>
      <c r="K3666" s="2" t="s">
        <v>20</v>
      </c>
      <c r="L3666" s="4" t="s">
        <v>10451</v>
      </c>
    </row>
    <row r="3667" customFormat="false" ht="15.65" hidden="false" customHeight="true" outlineLevel="0" collapsed="false">
      <c r="A3667" s="5" t="str">
        <f aca="false">HYPERLINK("https://www.fabsurplus.com/sdi_catalog/salesItemDetails.do?id=108588")</f>
        <v>https://www.fabsurplus.com/sdi_catalog/salesItemDetails.do?id=108588</v>
      </c>
      <c r="B3667" s="5" t="s">
        <v>10452</v>
      </c>
      <c r="C3667" s="5" t="s">
        <v>10453</v>
      </c>
      <c r="D3667" s="5" t="s">
        <v>10454</v>
      </c>
      <c r="E3667" s="5" t="s">
        <v>10455</v>
      </c>
      <c r="F3667" s="5" t="s">
        <v>16</v>
      </c>
      <c r="G3667" s="5" t="s">
        <v>84</v>
      </c>
      <c r="H3667" s="5" t="s">
        <v>32</v>
      </c>
      <c r="I3667" s="6" t="n">
        <v>39234</v>
      </c>
      <c r="J3667" s="5" t="s">
        <v>19</v>
      </c>
      <c r="K3667" s="5" t="s">
        <v>20</v>
      </c>
      <c r="L3667" s="5" t="s">
        <v>6187</v>
      </c>
    </row>
    <row r="3668" customFormat="false" ht="15.65" hidden="false" customHeight="true" outlineLevel="0" collapsed="false">
      <c r="A3668" s="2" t="str">
        <f aca="false">HYPERLINK("https://www.fabsurplus.com/sdi_catalog/salesItemDetails.do?id=108589")</f>
        <v>https://www.fabsurplus.com/sdi_catalog/salesItemDetails.do?id=108589</v>
      </c>
      <c r="B3668" s="2" t="s">
        <v>10456</v>
      </c>
      <c r="C3668" s="2" t="s">
        <v>10453</v>
      </c>
      <c r="D3668" s="2" t="s">
        <v>10454</v>
      </c>
      <c r="E3668" s="2" t="s">
        <v>10455</v>
      </c>
      <c r="F3668" s="2" t="s">
        <v>16</v>
      </c>
      <c r="G3668" s="2" t="s">
        <v>84</v>
      </c>
      <c r="H3668" s="2" t="s">
        <v>32</v>
      </c>
      <c r="I3668" s="3" t="n">
        <v>39234</v>
      </c>
      <c r="J3668" s="2" t="s">
        <v>19</v>
      </c>
      <c r="K3668" s="2" t="s">
        <v>20</v>
      </c>
      <c r="L3668" s="2" t="s">
        <v>6187</v>
      </c>
    </row>
    <row r="3669" customFormat="false" ht="15.65" hidden="false" customHeight="true" outlineLevel="0" collapsed="false">
      <c r="A3669" s="5" t="str">
        <f aca="false">HYPERLINK("https://www.fabsurplus.com/sdi_catalog/salesItemDetails.do?id=108590")</f>
        <v>https://www.fabsurplus.com/sdi_catalog/salesItemDetails.do?id=108590</v>
      </c>
      <c r="B3669" s="5" t="s">
        <v>10457</v>
      </c>
      <c r="C3669" s="5" t="s">
        <v>10453</v>
      </c>
      <c r="D3669" s="5" t="s">
        <v>10454</v>
      </c>
      <c r="E3669" s="5" t="s">
        <v>10455</v>
      </c>
      <c r="F3669" s="5" t="s">
        <v>16</v>
      </c>
      <c r="G3669" s="5" t="s">
        <v>84</v>
      </c>
      <c r="H3669" s="5" t="s">
        <v>32</v>
      </c>
      <c r="I3669" s="6" t="n">
        <v>39234</v>
      </c>
      <c r="J3669" s="5" t="s">
        <v>19</v>
      </c>
      <c r="K3669" s="5" t="s">
        <v>20</v>
      </c>
      <c r="L3669" s="5" t="s">
        <v>6187</v>
      </c>
    </row>
    <row r="3670" customFormat="false" ht="15.65" hidden="false" customHeight="true" outlineLevel="0" collapsed="false">
      <c r="A3670" s="2" t="str">
        <f aca="false">HYPERLINK("https://www.fabsurplus.com/sdi_catalog/salesItemDetails.do?id=108591")</f>
        <v>https://www.fabsurplus.com/sdi_catalog/salesItemDetails.do?id=108591</v>
      </c>
      <c r="B3670" s="2" t="s">
        <v>10458</v>
      </c>
      <c r="C3670" s="2" t="s">
        <v>10453</v>
      </c>
      <c r="D3670" s="2" t="s">
        <v>10454</v>
      </c>
      <c r="E3670" s="2" t="s">
        <v>10455</v>
      </c>
      <c r="F3670" s="2" t="s">
        <v>16</v>
      </c>
      <c r="G3670" s="2" t="s">
        <v>84</v>
      </c>
      <c r="H3670" s="2" t="s">
        <v>32</v>
      </c>
      <c r="I3670" s="3" t="n">
        <v>39234</v>
      </c>
      <c r="J3670" s="2" t="s">
        <v>19</v>
      </c>
      <c r="K3670" s="2" t="s">
        <v>20</v>
      </c>
      <c r="L3670" s="2" t="s">
        <v>6187</v>
      </c>
    </row>
    <row r="3671" customFormat="false" ht="15.65" hidden="false" customHeight="true" outlineLevel="0" collapsed="false">
      <c r="A3671" s="5" t="str">
        <f aca="false">HYPERLINK("https://www.fabsurplus.com/sdi_catalog/salesItemDetails.do?id=108592")</f>
        <v>https://www.fabsurplus.com/sdi_catalog/salesItemDetails.do?id=108592</v>
      </c>
      <c r="B3671" s="5" t="s">
        <v>10459</v>
      </c>
      <c r="C3671" s="5" t="s">
        <v>10453</v>
      </c>
      <c r="D3671" s="5" t="s">
        <v>10460</v>
      </c>
      <c r="E3671" s="5" t="s">
        <v>10455</v>
      </c>
      <c r="F3671" s="5" t="s">
        <v>16</v>
      </c>
      <c r="G3671" s="5" t="s">
        <v>84</v>
      </c>
      <c r="H3671" s="5" t="s">
        <v>32</v>
      </c>
      <c r="I3671" s="6" t="n">
        <v>40695</v>
      </c>
      <c r="J3671" s="5" t="s">
        <v>19</v>
      </c>
      <c r="K3671" s="5" t="s">
        <v>20</v>
      </c>
      <c r="L3671" s="5" t="s">
        <v>6187</v>
      </c>
    </row>
    <row r="3672" customFormat="false" ht="15.65" hidden="false" customHeight="true" outlineLevel="0" collapsed="false">
      <c r="A3672" s="2" t="str">
        <f aca="false">HYPERLINK("https://www.fabsurplus.com/sdi_catalog/salesItemDetails.do?id=108593")</f>
        <v>https://www.fabsurplus.com/sdi_catalog/salesItemDetails.do?id=108593</v>
      </c>
      <c r="B3672" s="2" t="s">
        <v>10461</v>
      </c>
      <c r="C3672" s="2" t="s">
        <v>10453</v>
      </c>
      <c r="D3672" s="2" t="s">
        <v>10460</v>
      </c>
      <c r="E3672" s="2" t="s">
        <v>10455</v>
      </c>
      <c r="F3672" s="2" t="s">
        <v>16</v>
      </c>
      <c r="G3672" s="2" t="s">
        <v>84</v>
      </c>
      <c r="H3672" s="2" t="s">
        <v>32</v>
      </c>
      <c r="I3672" s="3" t="n">
        <v>40695</v>
      </c>
      <c r="J3672" s="2" t="s">
        <v>19</v>
      </c>
      <c r="K3672" s="2" t="s">
        <v>20</v>
      </c>
      <c r="L3672" s="4" t="s">
        <v>10462</v>
      </c>
    </row>
    <row r="3673" customFormat="false" ht="15.65" hidden="false" customHeight="true" outlineLevel="0" collapsed="false">
      <c r="A3673" s="5" t="str">
        <f aca="false">HYPERLINK("https://www.fabsurplus.com/sdi_catalog/salesItemDetails.do?id=108035")</f>
        <v>https://www.fabsurplus.com/sdi_catalog/salesItemDetails.do?id=108035</v>
      </c>
      <c r="B3673" s="5" t="s">
        <v>10463</v>
      </c>
      <c r="C3673" s="5" t="s">
        <v>10464</v>
      </c>
      <c r="D3673" s="5" t="s">
        <v>10465</v>
      </c>
      <c r="E3673" s="5" t="s">
        <v>10466</v>
      </c>
      <c r="F3673" s="5" t="s">
        <v>16</v>
      </c>
      <c r="G3673" s="5" t="s">
        <v>61</v>
      </c>
      <c r="H3673" s="5"/>
      <c r="I3673" s="5"/>
      <c r="J3673" s="5" t="s">
        <v>19</v>
      </c>
      <c r="K3673" s="5"/>
      <c r="L3673" s="5" t="s">
        <v>142</v>
      </c>
    </row>
    <row r="3674" customFormat="false" ht="15.65" hidden="false" customHeight="true" outlineLevel="0" collapsed="false">
      <c r="A3674" s="2" t="str">
        <f aca="false">HYPERLINK("https://www.fabsurplus.com/sdi_catalog/salesItemDetails.do?id=54208")</f>
        <v>https://www.fabsurplus.com/sdi_catalog/salesItemDetails.do?id=54208</v>
      </c>
      <c r="B3674" s="2" t="s">
        <v>10467</v>
      </c>
      <c r="C3674" s="2" t="s">
        <v>10468</v>
      </c>
      <c r="D3674" s="2" t="s">
        <v>10469</v>
      </c>
      <c r="E3674" s="2" t="s">
        <v>10470</v>
      </c>
      <c r="F3674" s="2" t="s">
        <v>16</v>
      </c>
      <c r="G3674" s="2" t="s">
        <v>38</v>
      </c>
      <c r="H3674" s="2" t="s">
        <v>18</v>
      </c>
      <c r="I3674" s="3" t="n">
        <v>39356</v>
      </c>
      <c r="J3674" s="2" t="s">
        <v>19</v>
      </c>
      <c r="K3674" s="2" t="s">
        <v>20</v>
      </c>
      <c r="L3674" s="4" t="s">
        <v>10471</v>
      </c>
    </row>
    <row r="3675" customFormat="false" ht="15.65" hidden="false" customHeight="true" outlineLevel="0" collapsed="false">
      <c r="A3675" s="5" t="str">
        <f aca="false">HYPERLINK("https://www.fabsurplus.com/sdi_catalog/salesItemDetails.do?id=109585")</f>
        <v>https://www.fabsurplus.com/sdi_catalog/salesItemDetails.do?id=109585</v>
      </c>
      <c r="B3675" s="5" t="s">
        <v>10472</v>
      </c>
      <c r="C3675" s="5" t="s">
        <v>10473</v>
      </c>
      <c r="D3675" s="5" t="s">
        <v>10474</v>
      </c>
      <c r="E3675" s="5" t="s">
        <v>10475</v>
      </c>
      <c r="F3675" s="5" t="s">
        <v>16</v>
      </c>
      <c r="G3675" s="5" t="s">
        <v>61</v>
      </c>
      <c r="H3675" s="5"/>
      <c r="I3675" s="5"/>
      <c r="J3675" s="5" t="s">
        <v>42</v>
      </c>
      <c r="K3675" s="5"/>
      <c r="L3675" s="5" t="s">
        <v>2398</v>
      </c>
    </row>
    <row r="3676" customFormat="false" ht="15.65" hidden="false" customHeight="true" outlineLevel="0" collapsed="false">
      <c r="A3676" s="2" t="str">
        <f aca="false">HYPERLINK("https://www.fabsurplus.com/sdi_catalog/salesItemDetails.do?id=109587")</f>
        <v>https://www.fabsurplus.com/sdi_catalog/salesItemDetails.do?id=109587</v>
      </c>
      <c r="B3676" s="2" t="s">
        <v>10476</v>
      </c>
      <c r="C3676" s="2" t="s">
        <v>10473</v>
      </c>
      <c r="D3676" s="2" t="s">
        <v>10477</v>
      </c>
      <c r="E3676" s="2" t="s">
        <v>10478</v>
      </c>
      <c r="F3676" s="2" t="s">
        <v>16</v>
      </c>
      <c r="G3676" s="2"/>
      <c r="H3676" s="2"/>
      <c r="I3676" s="2"/>
      <c r="J3676" s="2" t="s">
        <v>42</v>
      </c>
      <c r="K3676" s="2"/>
      <c r="L3676" s="2" t="s">
        <v>2398</v>
      </c>
    </row>
    <row r="3677" customFormat="false" ht="15.65" hidden="false" customHeight="true" outlineLevel="0" collapsed="false">
      <c r="A3677" s="5" t="str">
        <f aca="false">HYPERLINK("https://www.fabsurplus.com/sdi_catalog/salesItemDetails.do?id=109591")</f>
        <v>https://www.fabsurplus.com/sdi_catalog/salesItemDetails.do?id=109591</v>
      </c>
      <c r="B3677" s="5" t="s">
        <v>10479</v>
      </c>
      <c r="C3677" s="5" t="s">
        <v>10473</v>
      </c>
      <c r="D3677" s="5" t="s">
        <v>10480</v>
      </c>
      <c r="E3677" s="5" t="s">
        <v>10481</v>
      </c>
      <c r="F3677" s="5" t="s">
        <v>16</v>
      </c>
      <c r="G3677" s="5"/>
      <c r="H3677" s="5"/>
      <c r="I3677" s="5"/>
      <c r="J3677" s="5" t="s">
        <v>42</v>
      </c>
      <c r="K3677" s="5"/>
      <c r="L3677" s="5" t="s">
        <v>2398</v>
      </c>
    </row>
    <row r="3678" customFormat="false" ht="15.65" hidden="false" customHeight="true" outlineLevel="0" collapsed="false">
      <c r="A3678" s="2" t="str">
        <f aca="false">HYPERLINK("https://www.fabsurplus.com/sdi_catalog/salesItemDetails.do?id=109592")</f>
        <v>https://www.fabsurplus.com/sdi_catalog/salesItemDetails.do?id=109592</v>
      </c>
      <c r="B3678" s="2" t="s">
        <v>10482</v>
      </c>
      <c r="C3678" s="2" t="s">
        <v>10473</v>
      </c>
      <c r="D3678" s="2" t="s">
        <v>10483</v>
      </c>
      <c r="E3678" s="2" t="s">
        <v>10484</v>
      </c>
      <c r="F3678" s="2" t="s">
        <v>16</v>
      </c>
      <c r="G3678" s="2" t="s">
        <v>38</v>
      </c>
      <c r="H3678" s="2"/>
      <c r="I3678" s="2"/>
      <c r="J3678" s="2" t="s">
        <v>42</v>
      </c>
      <c r="K3678" s="2"/>
      <c r="L3678" s="2" t="s">
        <v>2398</v>
      </c>
    </row>
    <row r="3679" customFormat="false" ht="15.65" hidden="false" customHeight="true" outlineLevel="0" collapsed="false">
      <c r="A3679" s="5" t="str">
        <f aca="false">HYPERLINK("https://www.fabsurplus.com/sdi_catalog/salesItemDetails.do?id=106527")</f>
        <v>https://www.fabsurplus.com/sdi_catalog/salesItemDetails.do?id=106527</v>
      </c>
      <c r="B3679" s="5" t="s">
        <v>10485</v>
      </c>
      <c r="C3679" s="5" t="s">
        <v>10473</v>
      </c>
      <c r="D3679" s="5" t="s">
        <v>10486</v>
      </c>
      <c r="E3679" s="5" t="s">
        <v>10487</v>
      </c>
      <c r="F3679" s="5" t="s">
        <v>16</v>
      </c>
      <c r="G3679" s="5" t="s">
        <v>3938</v>
      </c>
      <c r="H3679" s="5" t="s">
        <v>18</v>
      </c>
      <c r="I3679" s="5"/>
      <c r="J3679" s="5" t="s">
        <v>19</v>
      </c>
      <c r="K3679" s="5" t="s">
        <v>20</v>
      </c>
      <c r="L3679" s="5" t="s">
        <v>2863</v>
      </c>
    </row>
    <row r="3680" customFormat="false" ht="15.65" hidden="false" customHeight="true" outlineLevel="0" collapsed="false">
      <c r="A3680" s="2" t="str">
        <f aca="false">HYPERLINK("https://www.fabsurplus.com/sdi_catalog/salesItemDetails.do?id=108874")</f>
        <v>https://www.fabsurplus.com/sdi_catalog/salesItemDetails.do?id=108874</v>
      </c>
      <c r="B3680" s="2" t="s">
        <v>10488</v>
      </c>
      <c r="C3680" s="2" t="s">
        <v>10489</v>
      </c>
      <c r="D3680" s="2" t="s">
        <v>10490</v>
      </c>
      <c r="E3680" s="2" t="s">
        <v>10491</v>
      </c>
      <c r="F3680" s="2" t="s">
        <v>16</v>
      </c>
      <c r="G3680" s="2"/>
      <c r="H3680" s="2"/>
      <c r="I3680" s="2"/>
      <c r="J3680" s="2" t="s">
        <v>42</v>
      </c>
      <c r="K3680" s="2"/>
      <c r="L3680" s="2" t="s">
        <v>131</v>
      </c>
    </row>
    <row r="3681" customFormat="false" ht="15.65" hidden="false" customHeight="true" outlineLevel="0" collapsed="false">
      <c r="A3681" s="5" t="str">
        <f aca="false">HYPERLINK("https://www.fabsurplus.com/sdi_catalog/salesItemDetails.do?id=84342")</f>
        <v>https://www.fabsurplus.com/sdi_catalog/salesItemDetails.do?id=84342</v>
      </c>
      <c r="B3681" s="5" t="s">
        <v>10492</v>
      </c>
      <c r="C3681" s="5" t="s">
        <v>10473</v>
      </c>
      <c r="D3681" s="5" t="s">
        <v>10493</v>
      </c>
      <c r="E3681" s="5" t="s">
        <v>10494</v>
      </c>
      <c r="F3681" s="5" t="s">
        <v>16</v>
      </c>
      <c r="G3681" s="5"/>
      <c r="H3681" s="5" t="s">
        <v>32</v>
      </c>
      <c r="I3681" s="5"/>
      <c r="J3681" s="5" t="s">
        <v>19</v>
      </c>
      <c r="K3681" s="5" t="s">
        <v>20</v>
      </c>
      <c r="L3681" s="7" t="s">
        <v>10495</v>
      </c>
    </row>
    <row r="3682" customFormat="false" ht="15.65" hidden="false" customHeight="true" outlineLevel="0" collapsed="false">
      <c r="A3682" s="2" t="str">
        <f aca="false">HYPERLINK("https://www.fabsurplus.com/sdi_catalog/salesItemDetails.do?id=84351")</f>
        <v>https://www.fabsurplus.com/sdi_catalog/salesItemDetails.do?id=84351</v>
      </c>
      <c r="B3682" s="2" t="s">
        <v>10496</v>
      </c>
      <c r="C3682" s="2" t="s">
        <v>10473</v>
      </c>
      <c r="D3682" s="2" t="s">
        <v>10497</v>
      </c>
      <c r="E3682" s="2" t="s">
        <v>10494</v>
      </c>
      <c r="F3682" s="2" t="s">
        <v>16</v>
      </c>
      <c r="G3682" s="2"/>
      <c r="H3682" s="2" t="s">
        <v>32</v>
      </c>
      <c r="I3682" s="2"/>
      <c r="J3682" s="2" t="s">
        <v>19</v>
      </c>
      <c r="K3682" s="2" t="s">
        <v>20</v>
      </c>
      <c r="L3682" s="4" t="s">
        <v>10498</v>
      </c>
    </row>
    <row r="3683" customFormat="false" ht="15.65" hidden="false" customHeight="true" outlineLevel="0" collapsed="false">
      <c r="A3683" s="5" t="str">
        <f aca="false">HYPERLINK("https://www.fabsurplus.com/sdi_catalog/salesItemDetails.do?id=84364")</f>
        <v>https://www.fabsurplus.com/sdi_catalog/salesItemDetails.do?id=84364</v>
      </c>
      <c r="B3683" s="5" t="s">
        <v>10499</v>
      </c>
      <c r="C3683" s="5" t="s">
        <v>10473</v>
      </c>
      <c r="D3683" s="5" t="s">
        <v>10500</v>
      </c>
      <c r="E3683" s="5" t="s">
        <v>10501</v>
      </c>
      <c r="F3683" s="5" t="s">
        <v>16</v>
      </c>
      <c r="G3683" s="5" t="s">
        <v>10502</v>
      </c>
      <c r="H3683" s="5" t="s">
        <v>32</v>
      </c>
      <c r="I3683" s="5"/>
      <c r="J3683" s="5" t="s">
        <v>19</v>
      </c>
      <c r="K3683" s="5" t="s">
        <v>20</v>
      </c>
      <c r="L3683" s="7" t="s">
        <v>10503</v>
      </c>
    </row>
    <row r="3684" customFormat="false" ht="15.65" hidden="false" customHeight="true" outlineLevel="0" collapsed="false">
      <c r="A3684" s="2" t="str">
        <f aca="false">HYPERLINK("https://www.fabsurplus.com/sdi_catalog/salesItemDetails.do?id=84365")</f>
        <v>https://www.fabsurplus.com/sdi_catalog/salesItemDetails.do?id=84365</v>
      </c>
      <c r="B3684" s="2" t="s">
        <v>10504</v>
      </c>
      <c r="C3684" s="2" t="s">
        <v>10473</v>
      </c>
      <c r="D3684" s="2" t="s">
        <v>10505</v>
      </c>
      <c r="E3684" s="2" t="s">
        <v>10501</v>
      </c>
      <c r="F3684" s="2" t="s">
        <v>16</v>
      </c>
      <c r="G3684" s="2" t="s">
        <v>104</v>
      </c>
      <c r="H3684" s="2" t="s">
        <v>32</v>
      </c>
      <c r="I3684" s="2"/>
      <c r="J3684" s="2" t="s">
        <v>19</v>
      </c>
      <c r="K3684" s="2" t="s">
        <v>20</v>
      </c>
      <c r="L3684" s="4" t="s">
        <v>10506</v>
      </c>
    </row>
    <row r="3685" customFormat="false" ht="15.65" hidden="false" customHeight="true" outlineLevel="0" collapsed="false">
      <c r="A3685" s="5" t="str">
        <f aca="false">HYPERLINK("https://www.fabsurplus.com/sdi_catalog/salesItemDetails.do?id=108694")</f>
        <v>https://www.fabsurplus.com/sdi_catalog/salesItemDetails.do?id=108694</v>
      </c>
      <c r="B3685" s="5" t="s">
        <v>10507</v>
      </c>
      <c r="C3685" s="5" t="s">
        <v>10473</v>
      </c>
      <c r="D3685" s="5" t="s">
        <v>10508</v>
      </c>
      <c r="E3685" s="5" t="s">
        <v>10509</v>
      </c>
      <c r="F3685" s="5" t="s">
        <v>16</v>
      </c>
      <c r="G3685" s="5" t="s">
        <v>1287</v>
      </c>
      <c r="H3685" s="5"/>
      <c r="I3685" s="6" t="n">
        <v>39965</v>
      </c>
      <c r="J3685" s="5" t="s">
        <v>42</v>
      </c>
      <c r="K3685" s="5"/>
      <c r="L3685" s="7" t="s">
        <v>10510</v>
      </c>
    </row>
    <row r="3686" customFormat="false" ht="15.65" hidden="false" customHeight="true" outlineLevel="0" collapsed="false">
      <c r="A3686" s="2" t="str">
        <f aca="false">HYPERLINK("https://www.fabsurplus.com/sdi_catalog/salesItemDetails.do?id=18839")</f>
        <v>https://www.fabsurplus.com/sdi_catalog/salesItemDetails.do?id=18839</v>
      </c>
      <c r="B3686" s="2" t="s">
        <v>10511</v>
      </c>
      <c r="C3686" s="2" t="s">
        <v>10489</v>
      </c>
      <c r="D3686" s="2" t="s">
        <v>10512</v>
      </c>
      <c r="E3686" s="2" t="s">
        <v>10513</v>
      </c>
      <c r="F3686" s="2" t="s">
        <v>16</v>
      </c>
      <c r="G3686" s="2"/>
      <c r="H3686" s="2"/>
      <c r="I3686" s="2"/>
      <c r="J3686" s="2" t="s">
        <v>19</v>
      </c>
      <c r="K3686" s="2"/>
      <c r="L3686" s="2"/>
    </row>
    <row r="3687" customFormat="false" ht="15.65" hidden="false" customHeight="true" outlineLevel="0" collapsed="false">
      <c r="A3687" s="5" t="str">
        <f aca="false">HYPERLINK("https://www.fabsurplus.com/sdi_catalog/salesItemDetails.do?id=108202")</f>
        <v>https://www.fabsurplus.com/sdi_catalog/salesItemDetails.do?id=108202</v>
      </c>
      <c r="B3687" s="5" t="s">
        <v>10514</v>
      </c>
      <c r="C3687" s="5" t="s">
        <v>10489</v>
      </c>
      <c r="D3687" s="5" t="s">
        <v>10515</v>
      </c>
      <c r="E3687" s="5" t="s">
        <v>10516</v>
      </c>
      <c r="F3687" s="5" t="s">
        <v>16</v>
      </c>
      <c r="G3687" s="5"/>
      <c r="H3687" s="5"/>
      <c r="I3687" s="6" t="n">
        <v>35947</v>
      </c>
      <c r="J3687" s="5" t="s">
        <v>19</v>
      </c>
      <c r="K3687" s="5"/>
      <c r="L3687" s="5" t="s">
        <v>1480</v>
      </c>
    </row>
    <row r="3688" customFormat="false" ht="15.65" hidden="false" customHeight="true" outlineLevel="0" collapsed="false">
      <c r="A3688" s="2" t="str">
        <f aca="false">HYPERLINK("https://www.fabsurplus.com/sdi_catalog/salesItemDetails.do?id=108203")</f>
        <v>https://www.fabsurplus.com/sdi_catalog/salesItemDetails.do?id=108203</v>
      </c>
      <c r="B3688" s="2" t="s">
        <v>10517</v>
      </c>
      <c r="C3688" s="2" t="s">
        <v>10489</v>
      </c>
      <c r="D3688" s="2" t="s">
        <v>10518</v>
      </c>
      <c r="E3688" s="2"/>
      <c r="F3688" s="2" t="s">
        <v>16</v>
      </c>
      <c r="G3688" s="2"/>
      <c r="H3688" s="2"/>
      <c r="I3688" s="2"/>
      <c r="J3688" s="2" t="s">
        <v>19</v>
      </c>
      <c r="K3688" s="2"/>
      <c r="L3688" s="2" t="s">
        <v>1480</v>
      </c>
    </row>
    <row r="3689" customFormat="false" ht="15.65" hidden="false" customHeight="true" outlineLevel="0" collapsed="false">
      <c r="A3689" s="5" t="str">
        <f aca="false">HYPERLINK("https://www.fabsurplus.com/sdi_catalog/salesItemDetails.do?id=108204")</f>
        <v>https://www.fabsurplus.com/sdi_catalog/salesItemDetails.do?id=108204</v>
      </c>
      <c r="B3689" s="5" t="s">
        <v>10519</v>
      </c>
      <c r="C3689" s="5" t="s">
        <v>10489</v>
      </c>
      <c r="D3689" s="5" t="s">
        <v>10520</v>
      </c>
      <c r="E3689" s="5" t="s">
        <v>10521</v>
      </c>
      <c r="F3689" s="5" t="s">
        <v>16</v>
      </c>
      <c r="G3689" s="5"/>
      <c r="H3689" s="5"/>
      <c r="I3689" s="6" t="n">
        <v>35217</v>
      </c>
      <c r="J3689" s="5" t="s">
        <v>19</v>
      </c>
      <c r="K3689" s="5"/>
      <c r="L3689" s="5" t="s">
        <v>1480</v>
      </c>
    </row>
    <row r="3690" customFormat="false" ht="15.65" hidden="false" customHeight="true" outlineLevel="0" collapsed="false">
      <c r="A3690" s="2" t="str">
        <f aca="false">HYPERLINK("https://www.fabsurplus.com/sdi_catalog/salesItemDetails.do?id=108205")</f>
        <v>https://www.fabsurplus.com/sdi_catalog/salesItemDetails.do?id=108205</v>
      </c>
      <c r="B3690" s="2" t="s">
        <v>10522</v>
      </c>
      <c r="C3690" s="2" t="s">
        <v>10489</v>
      </c>
      <c r="D3690" s="2" t="s">
        <v>10523</v>
      </c>
      <c r="E3690" s="2" t="s">
        <v>10524</v>
      </c>
      <c r="F3690" s="2" t="s">
        <v>16</v>
      </c>
      <c r="G3690" s="2"/>
      <c r="H3690" s="2"/>
      <c r="I3690" s="2"/>
      <c r="J3690" s="2" t="s">
        <v>19</v>
      </c>
      <c r="K3690" s="2"/>
      <c r="L3690" s="2" t="s">
        <v>1480</v>
      </c>
    </row>
    <row r="3691" customFormat="false" ht="15.65" hidden="false" customHeight="true" outlineLevel="0" collapsed="false">
      <c r="A3691" s="5" t="str">
        <f aca="false">HYPERLINK("https://www.fabsurplus.com/sdi_catalog/salesItemDetails.do?id=108974")</f>
        <v>https://www.fabsurplus.com/sdi_catalog/salesItemDetails.do?id=108974</v>
      </c>
      <c r="B3691" s="5" t="s">
        <v>10525</v>
      </c>
      <c r="C3691" s="5" t="s">
        <v>10473</v>
      </c>
      <c r="D3691" s="5" t="s">
        <v>10526</v>
      </c>
      <c r="E3691" s="5" t="s">
        <v>10527</v>
      </c>
      <c r="F3691" s="5" t="s">
        <v>16</v>
      </c>
      <c r="G3691" s="5" t="s">
        <v>10528</v>
      </c>
      <c r="H3691" s="5" t="s">
        <v>32</v>
      </c>
      <c r="I3691" s="6" t="n">
        <v>36192</v>
      </c>
      <c r="J3691" s="5" t="s">
        <v>19</v>
      </c>
      <c r="K3691" s="5" t="s">
        <v>20</v>
      </c>
      <c r="L3691" s="7" t="s">
        <v>10529</v>
      </c>
    </row>
    <row r="3692" customFormat="false" ht="15.65" hidden="false" customHeight="true" outlineLevel="0" collapsed="false">
      <c r="A3692" s="2" t="str">
        <f aca="false">HYPERLINK("https://www.fabsurplus.com/sdi_catalog/salesItemDetails.do?id=106946")</f>
        <v>https://www.fabsurplus.com/sdi_catalog/salesItemDetails.do?id=106946</v>
      </c>
      <c r="B3692" s="2" t="s">
        <v>10530</v>
      </c>
      <c r="C3692" s="2" t="s">
        <v>10473</v>
      </c>
      <c r="D3692" s="2" t="s">
        <v>10493</v>
      </c>
      <c r="E3692" s="2" t="s">
        <v>10494</v>
      </c>
      <c r="F3692" s="2" t="s">
        <v>151</v>
      </c>
      <c r="G3692" s="2" t="s">
        <v>6309</v>
      </c>
      <c r="H3692" s="2" t="s">
        <v>32</v>
      </c>
      <c r="I3692" s="2"/>
      <c r="J3692" s="2" t="s">
        <v>19</v>
      </c>
      <c r="K3692" s="2" t="s">
        <v>20</v>
      </c>
      <c r="L3692" s="4" t="s">
        <v>10531</v>
      </c>
    </row>
    <row r="3693" customFormat="false" ht="15.65" hidden="false" customHeight="true" outlineLevel="0" collapsed="false">
      <c r="A3693" s="5" t="str">
        <f aca="false">HYPERLINK("https://www.fabsurplus.com/sdi_catalog/salesItemDetails.do?id=108486")</f>
        <v>https://www.fabsurplus.com/sdi_catalog/salesItemDetails.do?id=108486</v>
      </c>
      <c r="B3693" s="5" t="s">
        <v>10532</v>
      </c>
      <c r="C3693" s="5" t="s">
        <v>10473</v>
      </c>
      <c r="D3693" s="5" t="s">
        <v>10533</v>
      </c>
      <c r="E3693" s="5" t="s">
        <v>1778</v>
      </c>
      <c r="F3693" s="5" t="s">
        <v>16</v>
      </c>
      <c r="G3693" s="5"/>
      <c r="H3693" s="5"/>
      <c r="I3693" s="5"/>
      <c r="J3693" s="5" t="s">
        <v>19</v>
      </c>
      <c r="K3693" s="5"/>
      <c r="L3693" s="5"/>
    </row>
    <row r="3694" customFormat="false" ht="15.65" hidden="false" customHeight="true" outlineLevel="0" collapsed="false">
      <c r="A3694" s="2" t="str">
        <f aca="false">HYPERLINK("https://www.fabsurplus.com/sdi_catalog/salesItemDetails.do?id=109285")</f>
        <v>https://www.fabsurplus.com/sdi_catalog/salesItemDetails.do?id=109285</v>
      </c>
      <c r="B3694" s="2" t="s">
        <v>10534</v>
      </c>
      <c r="C3694" s="2" t="s">
        <v>10473</v>
      </c>
      <c r="D3694" s="2" t="s">
        <v>10535</v>
      </c>
      <c r="E3694" s="2" t="s">
        <v>10536</v>
      </c>
      <c r="F3694" s="2" t="s">
        <v>16</v>
      </c>
      <c r="G3694" s="2" t="s">
        <v>38</v>
      </c>
      <c r="H3694" s="2" t="s">
        <v>32</v>
      </c>
      <c r="I3694" s="3" t="n">
        <v>36312</v>
      </c>
      <c r="J3694" s="2" t="s">
        <v>19</v>
      </c>
      <c r="K3694" s="2" t="s">
        <v>20</v>
      </c>
      <c r="L3694" s="4" t="s">
        <v>10537</v>
      </c>
    </row>
    <row r="3695" customFormat="false" ht="15.65" hidden="false" customHeight="true" outlineLevel="0" collapsed="false">
      <c r="A3695" s="5" t="str">
        <f aca="false">HYPERLINK("https://www.fabsurplus.com/sdi_catalog/salesItemDetails.do?id=108715")</f>
        <v>https://www.fabsurplus.com/sdi_catalog/salesItemDetails.do?id=108715</v>
      </c>
      <c r="B3695" s="5" t="s">
        <v>10538</v>
      </c>
      <c r="C3695" s="5" t="s">
        <v>10539</v>
      </c>
      <c r="D3695" s="5" t="s">
        <v>10540</v>
      </c>
      <c r="E3695" s="5" t="s">
        <v>10541</v>
      </c>
      <c r="F3695" s="5" t="s">
        <v>16</v>
      </c>
      <c r="G3695" s="5" t="s">
        <v>1293</v>
      </c>
      <c r="H3695" s="5" t="s">
        <v>18</v>
      </c>
      <c r="I3695" s="5"/>
      <c r="J3695" s="5" t="s">
        <v>42</v>
      </c>
      <c r="K3695" s="5" t="s">
        <v>20</v>
      </c>
      <c r="L3695" s="7" t="s">
        <v>10542</v>
      </c>
    </row>
    <row r="3696" customFormat="false" ht="15.65" hidden="false" customHeight="true" outlineLevel="0" collapsed="false">
      <c r="A3696" s="2" t="str">
        <f aca="false">HYPERLINK("https://www.fabsurplus.com/sdi_catalog/salesItemDetails.do?id=78169")</f>
        <v>https://www.fabsurplus.com/sdi_catalog/salesItemDetails.do?id=78169</v>
      </c>
      <c r="B3696" s="2" t="s">
        <v>10543</v>
      </c>
      <c r="C3696" s="2" t="s">
        <v>10544</v>
      </c>
      <c r="D3696" s="2" t="s">
        <v>10545</v>
      </c>
      <c r="E3696" s="2" t="s">
        <v>10546</v>
      </c>
      <c r="F3696" s="2" t="s">
        <v>16</v>
      </c>
      <c r="G3696" s="2" t="s">
        <v>38</v>
      </c>
      <c r="H3696" s="2" t="s">
        <v>18</v>
      </c>
      <c r="I3696" s="3" t="n">
        <v>37772.9166666667</v>
      </c>
      <c r="J3696" s="2" t="s">
        <v>19</v>
      </c>
      <c r="K3696" s="2" t="s">
        <v>20</v>
      </c>
      <c r="L3696" s="4" t="s">
        <v>10547</v>
      </c>
    </row>
    <row r="3697" customFormat="false" ht="15.65" hidden="false" customHeight="true" outlineLevel="0" collapsed="false">
      <c r="A3697" s="5" t="str">
        <f aca="false">HYPERLINK("https://www.fabsurplus.com/sdi_catalog/salesItemDetails.do?id=78170")</f>
        <v>https://www.fabsurplus.com/sdi_catalog/salesItemDetails.do?id=78170</v>
      </c>
      <c r="B3697" s="5" t="s">
        <v>10548</v>
      </c>
      <c r="C3697" s="5" t="s">
        <v>10544</v>
      </c>
      <c r="D3697" s="5" t="s">
        <v>10545</v>
      </c>
      <c r="E3697" s="5" t="s">
        <v>10549</v>
      </c>
      <c r="F3697" s="5" t="s">
        <v>16</v>
      </c>
      <c r="G3697" s="5" t="s">
        <v>38</v>
      </c>
      <c r="H3697" s="5" t="s">
        <v>18</v>
      </c>
      <c r="I3697" s="6" t="n">
        <v>37803</v>
      </c>
      <c r="J3697" s="5" t="s">
        <v>19</v>
      </c>
      <c r="K3697" s="5" t="s">
        <v>20</v>
      </c>
      <c r="L3697" s="7" t="s">
        <v>10550</v>
      </c>
    </row>
    <row r="3698" customFormat="false" ht="15.65" hidden="false" customHeight="true" outlineLevel="0" collapsed="false">
      <c r="A3698" s="2" t="str">
        <f aca="false">HYPERLINK("https://www.fabsurplus.com/sdi_catalog/salesItemDetails.do?id=108696")</f>
        <v>https://www.fabsurplus.com/sdi_catalog/salesItemDetails.do?id=108696</v>
      </c>
      <c r="B3698" s="2" t="s">
        <v>10551</v>
      </c>
      <c r="C3698" s="2" t="s">
        <v>10552</v>
      </c>
      <c r="D3698" s="2" t="s">
        <v>10553</v>
      </c>
      <c r="E3698" s="2" t="s">
        <v>10554</v>
      </c>
      <c r="F3698" s="2" t="s">
        <v>16</v>
      </c>
      <c r="G3698" s="2" t="s">
        <v>10555</v>
      </c>
      <c r="H3698" s="2"/>
      <c r="I3698" s="3" t="n">
        <v>39600</v>
      </c>
      <c r="J3698" s="2" t="s">
        <v>42</v>
      </c>
      <c r="K3698" s="2"/>
      <c r="L3698" s="4" t="s">
        <v>10556</v>
      </c>
    </row>
    <row r="3699" customFormat="false" ht="15.65" hidden="false" customHeight="true" outlineLevel="0" collapsed="false">
      <c r="A3699" s="5" t="str">
        <f aca="false">HYPERLINK("https://www.fabsurplus.com/sdi_catalog/salesItemDetails.do?id=107898")</f>
        <v>https://www.fabsurplus.com/sdi_catalog/salesItemDetails.do?id=107898</v>
      </c>
      <c r="B3699" s="5" t="s">
        <v>10557</v>
      </c>
      <c r="C3699" s="5" t="s">
        <v>10558</v>
      </c>
      <c r="D3699" s="5" t="s">
        <v>10559</v>
      </c>
      <c r="E3699" s="5" t="s">
        <v>279</v>
      </c>
      <c r="F3699" s="5" t="s">
        <v>16</v>
      </c>
      <c r="G3699" s="5" t="s">
        <v>104</v>
      </c>
      <c r="H3699" s="5" t="s">
        <v>275</v>
      </c>
      <c r="I3699" s="5"/>
      <c r="J3699" s="5" t="s">
        <v>19</v>
      </c>
      <c r="K3699" s="5" t="s">
        <v>20</v>
      </c>
      <c r="L3699" s="5" t="s">
        <v>10560</v>
      </c>
    </row>
    <row r="3700" customFormat="false" ht="15.65" hidden="false" customHeight="true" outlineLevel="0" collapsed="false">
      <c r="A3700" s="2" t="str">
        <f aca="false">HYPERLINK("https://www.fabsurplus.com/sdi_catalog/salesItemDetails.do?id=107903")</f>
        <v>https://www.fabsurplus.com/sdi_catalog/salesItemDetails.do?id=107903</v>
      </c>
      <c r="B3700" s="2" t="s">
        <v>10561</v>
      </c>
      <c r="C3700" s="2" t="s">
        <v>10558</v>
      </c>
      <c r="D3700" s="2" t="s">
        <v>10562</v>
      </c>
      <c r="E3700" s="2" t="s">
        <v>279</v>
      </c>
      <c r="F3700" s="2" t="s">
        <v>16</v>
      </c>
      <c r="G3700" s="2" t="s">
        <v>104</v>
      </c>
      <c r="H3700" s="2" t="s">
        <v>275</v>
      </c>
      <c r="I3700" s="2"/>
      <c r="J3700" s="2" t="s">
        <v>19</v>
      </c>
      <c r="K3700" s="2" t="s">
        <v>20</v>
      </c>
      <c r="L3700" s="2" t="s">
        <v>10563</v>
      </c>
    </row>
    <row r="3701" customFormat="false" ht="15.65" hidden="false" customHeight="true" outlineLevel="0" collapsed="false">
      <c r="A3701" s="5" t="str">
        <f aca="false">HYPERLINK("https://www.fabsurplus.com/sdi_catalog/salesItemDetails.do?id=110468")</f>
        <v>https://www.fabsurplus.com/sdi_catalog/salesItemDetails.do?id=110468</v>
      </c>
      <c r="B3701" s="5" t="s">
        <v>10564</v>
      </c>
      <c r="C3701" s="5" t="s">
        <v>10558</v>
      </c>
      <c r="D3701" s="5" t="s">
        <v>10565</v>
      </c>
      <c r="E3701" s="5" t="s">
        <v>763</v>
      </c>
      <c r="F3701" s="5" t="s">
        <v>16</v>
      </c>
      <c r="G3701" s="5" t="s">
        <v>165</v>
      </c>
      <c r="H3701" s="5"/>
      <c r="I3701" s="5"/>
      <c r="J3701" s="5" t="s">
        <v>42</v>
      </c>
      <c r="K3701" s="5"/>
      <c r="L3701" s="5" t="s">
        <v>10566</v>
      </c>
    </row>
    <row r="3702" customFormat="false" ht="15.65" hidden="false" customHeight="true" outlineLevel="0" collapsed="false">
      <c r="A3702" s="2" t="str">
        <f aca="false">HYPERLINK("https://www.fabsurplus.com/sdi_catalog/salesItemDetails.do?id=110469")</f>
        <v>https://www.fabsurplus.com/sdi_catalog/salesItemDetails.do?id=110469</v>
      </c>
      <c r="B3702" s="2" t="s">
        <v>10567</v>
      </c>
      <c r="C3702" s="2" t="s">
        <v>10558</v>
      </c>
      <c r="D3702" s="2" t="s">
        <v>10568</v>
      </c>
      <c r="E3702" s="2" t="s">
        <v>763</v>
      </c>
      <c r="F3702" s="2" t="s">
        <v>16</v>
      </c>
      <c r="G3702" s="2" t="s">
        <v>165</v>
      </c>
      <c r="H3702" s="2"/>
      <c r="I3702" s="2"/>
      <c r="J3702" s="2" t="s">
        <v>42</v>
      </c>
      <c r="K3702" s="2"/>
      <c r="L3702" s="2" t="s">
        <v>10569</v>
      </c>
    </row>
    <row r="3703" customFormat="false" ht="15.65" hidden="false" customHeight="true" outlineLevel="0" collapsed="false">
      <c r="A3703" s="5" t="str">
        <f aca="false">HYPERLINK("https://www.fabsurplus.com/sdi_catalog/salesItemDetails.do?id=110470")</f>
        <v>https://www.fabsurplus.com/sdi_catalog/salesItemDetails.do?id=110470</v>
      </c>
      <c r="B3703" s="5" t="s">
        <v>10570</v>
      </c>
      <c r="C3703" s="5" t="s">
        <v>10558</v>
      </c>
      <c r="D3703" s="5" t="s">
        <v>10571</v>
      </c>
      <c r="E3703" s="5" t="s">
        <v>763</v>
      </c>
      <c r="F3703" s="5" t="s">
        <v>16</v>
      </c>
      <c r="G3703" s="5" t="s">
        <v>165</v>
      </c>
      <c r="H3703" s="5"/>
      <c r="I3703" s="5"/>
      <c r="J3703" s="5" t="s">
        <v>42</v>
      </c>
      <c r="K3703" s="5"/>
      <c r="L3703" s="5" t="s">
        <v>10572</v>
      </c>
    </row>
    <row r="3704" customFormat="false" ht="15.65" hidden="false" customHeight="true" outlineLevel="0" collapsed="false">
      <c r="A3704" s="2" t="str">
        <f aca="false">HYPERLINK("https://www.fabsurplus.com/sdi_catalog/salesItemDetails.do?id=110471")</f>
        <v>https://www.fabsurplus.com/sdi_catalog/salesItemDetails.do?id=110471</v>
      </c>
      <c r="B3704" s="2" t="s">
        <v>10573</v>
      </c>
      <c r="C3704" s="2" t="s">
        <v>10558</v>
      </c>
      <c r="D3704" s="2" t="s">
        <v>10574</v>
      </c>
      <c r="E3704" s="2" t="s">
        <v>763</v>
      </c>
      <c r="F3704" s="2" t="s">
        <v>16</v>
      </c>
      <c r="G3704" s="2" t="s">
        <v>165</v>
      </c>
      <c r="H3704" s="2"/>
      <c r="I3704" s="2"/>
      <c r="J3704" s="2" t="s">
        <v>42</v>
      </c>
      <c r="K3704" s="2"/>
      <c r="L3704" s="2" t="s">
        <v>10575</v>
      </c>
    </row>
    <row r="3705" customFormat="false" ht="15.65" hidden="false" customHeight="true" outlineLevel="0" collapsed="false">
      <c r="A3705" s="5" t="str">
        <f aca="false">HYPERLINK("https://www.fabsurplus.com/sdi_catalog/salesItemDetails.do?id=110472")</f>
        <v>https://www.fabsurplus.com/sdi_catalog/salesItemDetails.do?id=110472</v>
      </c>
      <c r="B3705" s="5" t="s">
        <v>10576</v>
      </c>
      <c r="C3705" s="5" t="s">
        <v>10558</v>
      </c>
      <c r="D3705" s="5" t="s">
        <v>10577</v>
      </c>
      <c r="E3705" s="5" t="s">
        <v>763</v>
      </c>
      <c r="F3705" s="5" t="s">
        <v>16</v>
      </c>
      <c r="G3705" s="5" t="s">
        <v>165</v>
      </c>
      <c r="H3705" s="5"/>
      <c r="I3705" s="5"/>
      <c r="J3705" s="5" t="s">
        <v>42</v>
      </c>
      <c r="K3705" s="5"/>
      <c r="L3705" s="5" t="s">
        <v>10578</v>
      </c>
    </row>
    <row r="3706" customFormat="false" ht="15.65" hidden="false" customHeight="true" outlineLevel="0" collapsed="false">
      <c r="A3706" s="2" t="str">
        <f aca="false">HYPERLINK("https://www.fabsurplus.com/sdi_catalog/salesItemDetails.do?id=107913")</f>
        <v>https://www.fabsurplus.com/sdi_catalog/salesItemDetails.do?id=107913</v>
      </c>
      <c r="B3706" s="2" t="s">
        <v>10579</v>
      </c>
      <c r="C3706" s="2" t="s">
        <v>10558</v>
      </c>
      <c r="D3706" s="2" t="s">
        <v>10580</v>
      </c>
      <c r="E3706" s="2" t="s">
        <v>279</v>
      </c>
      <c r="F3706" s="2" t="s">
        <v>16</v>
      </c>
      <c r="G3706" s="2" t="s">
        <v>104</v>
      </c>
      <c r="H3706" s="2" t="s">
        <v>275</v>
      </c>
      <c r="I3706" s="2"/>
      <c r="J3706" s="2" t="s">
        <v>19</v>
      </c>
      <c r="K3706" s="2"/>
      <c r="L3706" s="2" t="s">
        <v>10581</v>
      </c>
    </row>
    <row r="3707" customFormat="false" ht="15.65" hidden="false" customHeight="true" outlineLevel="0" collapsed="false">
      <c r="A3707" s="5" t="str">
        <f aca="false">HYPERLINK("https://www.fabsurplus.com/sdi_catalog/salesItemDetails.do?id=110473")</f>
        <v>https://www.fabsurplus.com/sdi_catalog/salesItemDetails.do?id=110473</v>
      </c>
      <c r="B3707" s="5" t="s">
        <v>10582</v>
      </c>
      <c r="C3707" s="5" t="s">
        <v>10558</v>
      </c>
      <c r="D3707" s="5" t="s">
        <v>10583</v>
      </c>
      <c r="E3707" s="5" t="s">
        <v>763</v>
      </c>
      <c r="F3707" s="5" t="s">
        <v>16</v>
      </c>
      <c r="G3707" s="5" t="s">
        <v>165</v>
      </c>
      <c r="H3707" s="5"/>
      <c r="I3707" s="5"/>
      <c r="J3707" s="5" t="s">
        <v>42</v>
      </c>
      <c r="K3707" s="5"/>
      <c r="L3707" s="5" t="s">
        <v>10584</v>
      </c>
    </row>
    <row r="3708" customFormat="false" ht="15.65" hidden="false" customHeight="true" outlineLevel="0" collapsed="false">
      <c r="A3708" s="2" t="str">
        <f aca="false">HYPERLINK("https://www.fabsurplus.com/sdi_catalog/salesItemDetails.do?id=110474")</f>
        <v>https://www.fabsurplus.com/sdi_catalog/salesItemDetails.do?id=110474</v>
      </c>
      <c r="B3708" s="2" t="s">
        <v>10585</v>
      </c>
      <c r="C3708" s="2" t="s">
        <v>10558</v>
      </c>
      <c r="D3708" s="2" t="s">
        <v>10583</v>
      </c>
      <c r="E3708" s="2" t="s">
        <v>763</v>
      </c>
      <c r="F3708" s="2" t="s">
        <v>16</v>
      </c>
      <c r="G3708" s="2" t="s">
        <v>165</v>
      </c>
      <c r="H3708" s="2"/>
      <c r="I3708" s="2"/>
      <c r="J3708" s="2" t="s">
        <v>42</v>
      </c>
      <c r="K3708" s="2"/>
      <c r="L3708" s="2" t="s">
        <v>10586</v>
      </c>
    </row>
    <row r="3709" customFormat="false" ht="15.65" hidden="false" customHeight="true" outlineLevel="0" collapsed="false">
      <c r="A3709" s="5" t="str">
        <f aca="false">HYPERLINK("https://www.fabsurplus.com/sdi_catalog/salesItemDetails.do?id=110475")</f>
        <v>https://www.fabsurplus.com/sdi_catalog/salesItemDetails.do?id=110475</v>
      </c>
      <c r="B3709" s="5" t="s">
        <v>10587</v>
      </c>
      <c r="C3709" s="5" t="s">
        <v>10558</v>
      </c>
      <c r="D3709" s="5" t="s">
        <v>10588</v>
      </c>
      <c r="E3709" s="5" t="s">
        <v>763</v>
      </c>
      <c r="F3709" s="5" t="s">
        <v>16</v>
      </c>
      <c r="G3709" s="5" t="s">
        <v>165</v>
      </c>
      <c r="H3709" s="5"/>
      <c r="I3709" s="5"/>
      <c r="J3709" s="5" t="s">
        <v>42</v>
      </c>
      <c r="K3709" s="5"/>
      <c r="L3709" s="5" t="s">
        <v>10589</v>
      </c>
    </row>
    <row r="3710" customFormat="false" ht="15.65" hidden="false" customHeight="true" outlineLevel="0" collapsed="false">
      <c r="A3710" s="2" t="str">
        <f aca="false">HYPERLINK("https://www.fabsurplus.com/sdi_catalog/salesItemDetails.do?id=110476")</f>
        <v>https://www.fabsurplus.com/sdi_catalog/salesItemDetails.do?id=110476</v>
      </c>
      <c r="B3710" s="2" t="s">
        <v>10590</v>
      </c>
      <c r="C3710" s="2" t="s">
        <v>10591</v>
      </c>
      <c r="D3710" s="2" t="s">
        <v>877</v>
      </c>
      <c r="E3710" s="2" t="s">
        <v>164</v>
      </c>
      <c r="F3710" s="2" t="s">
        <v>16</v>
      </c>
      <c r="G3710" s="2" t="s">
        <v>165</v>
      </c>
      <c r="H3710" s="2"/>
      <c r="I3710" s="2"/>
      <c r="J3710" s="2" t="s">
        <v>42</v>
      </c>
      <c r="K3710" s="2"/>
      <c r="L3710" s="2" t="s">
        <v>10592</v>
      </c>
    </row>
    <row r="3711" customFormat="false" ht="15.65" hidden="false" customHeight="true" outlineLevel="0" collapsed="false">
      <c r="A3711" s="5" t="str">
        <f aca="false">HYPERLINK("https://www.fabsurplus.com/sdi_catalog/salesItemDetails.do?id=110477")</f>
        <v>https://www.fabsurplus.com/sdi_catalog/salesItemDetails.do?id=110477</v>
      </c>
      <c r="B3711" s="5" t="s">
        <v>10593</v>
      </c>
      <c r="C3711" s="5" t="s">
        <v>10558</v>
      </c>
      <c r="D3711" s="5" t="s">
        <v>10594</v>
      </c>
      <c r="E3711" s="5" t="s">
        <v>170</v>
      </c>
      <c r="F3711" s="5" t="s">
        <v>16</v>
      </c>
      <c r="G3711" s="5" t="s">
        <v>165</v>
      </c>
      <c r="H3711" s="5"/>
      <c r="I3711" s="5"/>
      <c r="J3711" s="5" t="s">
        <v>42</v>
      </c>
      <c r="K3711" s="5"/>
      <c r="L3711" s="5" t="s">
        <v>10595</v>
      </c>
    </row>
    <row r="3712" customFormat="false" ht="15.65" hidden="false" customHeight="true" outlineLevel="0" collapsed="false">
      <c r="A3712" s="2" t="str">
        <f aca="false">HYPERLINK("https://www.fabsurplus.com/sdi_catalog/salesItemDetails.do?id=110478")</f>
        <v>https://www.fabsurplus.com/sdi_catalog/salesItemDetails.do?id=110478</v>
      </c>
      <c r="B3712" s="2" t="s">
        <v>10596</v>
      </c>
      <c r="C3712" s="2" t="s">
        <v>10558</v>
      </c>
      <c r="D3712" s="2" t="s">
        <v>10594</v>
      </c>
      <c r="E3712" s="2" t="s">
        <v>170</v>
      </c>
      <c r="F3712" s="2" t="s">
        <v>16</v>
      </c>
      <c r="G3712" s="2" t="s">
        <v>165</v>
      </c>
      <c r="H3712" s="2"/>
      <c r="I3712" s="2"/>
      <c r="J3712" s="2" t="s">
        <v>42</v>
      </c>
      <c r="K3712" s="2"/>
      <c r="L3712" s="2" t="s">
        <v>10595</v>
      </c>
    </row>
    <row r="3713" customFormat="false" ht="15.65" hidden="false" customHeight="true" outlineLevel="0" collapsed="false">
      <c r="A3713" s="5" t="str">
        <f aca="false">HYPERLINK("https://www.fabsurplus.com/sdi_catalog/salesItemDetails.do?id=110479")</f>
        <v>https://www.fabsurplus.com/sdi_catalog/salesItemDetails.do?id=110479</v>
      </c>
      <c r="B3713" s="5" t="s">
        <v>10597</v>
      </c>
      <c r="C3713" s="5" t="s">
        <v>10558</v>
      </c>
      <c r="D3713" s="5" t="s">
        <v>10594</v>
      </c>
      <c r="E3713" s="5" t="s">
        <v>170</v>
      </c>
      <c r="F3713" s="5" t="s">
        <v>16</v>
      </c>
      <c r="G3713" s="5" t="s">
        <v>165</v>
      </c>
      <c r="H3713" s="5"/>
      <c r="I3713" s="5"/>
      <c r="J3713" s="5" t="s">
        <v>42</v>
      </c>
      <c r="K3713" s="5"/>
      <c r="L3713" s="5" t="s">
        <v>10595</v>
      </c>
    </row>
    <row r="3714" customFormat="false" ht="15.65" hidden="false" customHeight="true" outlineLevel="0" collapsed="false">
      <c r="A3714" s="2" t="str">
        <f aca="false">HYPERLINK("https://www.fabsurplus.com/sdi_catalog/salesItemDetails.do?id=110480")</f>
        <v>https://www.fabsurplus.com/sdi_catalog/salesItemDetails.do?id=110480</v>
      </c>
      <c r="B3714" s="2" t="s">
        <v>10598</v>
      </c>
      <c r="C3714" s="2" t="s">
        <v>10558</v>
      </c>
      <c r="D3714" s="2" t="s">
        <v>10594</v>
      </c>
      <c r="E3714" s="2" t="s">
        <v>170</v>
      </c>
      <c r="F3714" s="2" t="s">
        <v>16</v>
      </c>
      <c r="G3714" s="2" t="s">
        <v>165</v>
      </c>
      <c r="H3714" s="2"/>
      <c r="I3714" s="2"/>
      <c r="J3714" s="2" t="s">
        <v>42</v>
      </c>
      <c r="K3714" s="2"/>
      <c r="L3714" s="2" t="s">
        <v>10595</v>
      </c>
    </row>
    <row r="3715" customFormat="false" ht="15.65" hidden="false" customHeight="true" outlineLevel="0" collapsed="false">
      <c r="A3715" s="5" t="str">
        <f aca="false">HYPERLINK("https://www.fabsurplus.com/sdi_catalog/salesItemDetails.do?id=110481")</f>
        <v>https://www.fabsurplus.com/sdi_catalog/salesItemDetails.do?id=110481</v>
      </c>
      <c r="B3715" s="5" t="s">
        <v>10599</v>
      </c>
      <c r="C3715" s="5" t="s">
        <v>10558</v>
      </c>
      <c r="D3715" s="5" t="s">
        <v>10594</v>
      </c>
      <c r="E3715" s="5" t="s">
        <v>170</v>
      </c>
      <c r="F3715" s="5" t="s">
        <v>16</v>
      </c>
      <c r="G3715" s="5" t="s">
        <v>165</v>
      </c>
      <c r="H3715" s="5"/>
      <c r="I3715" s="5"/>
      <c r="J3715" s="5" t="s">
        <v>42</v>
      </c>
      <c r="K3715" s="5"/>
      <c r="L3715" s="5" t="s">
        <v>10595</v>
      </c>
    </row>
    <row r="3716" customFormat="false" ht="15.65" hidden="false" customHeight="true" outlineLevel="0" collapsed="false">
      <c r="A3716" s="2" t="str">
        <f aca="false">HYPERLINK("https://www.fabsurplus.com/sdi_catalog/salesItemDetails.do?id=110482")</f>
        <v>https://www.fabsurplus.com/sdi_catalog/salesItemDetails.do?id=110482</v>
      </c>
      <c r="B3716" s="2" t="s">
        <v>10600</v>
      </c>
      <c r="C3716" s="2" t="s">
        <v>10558</v>
      </c>
      <c r="D3716" s="2" t="s">
        <v>10601</v>
      </c>
      <c r="E3716" s="2" t="s">
        <v>170</v>
      </c>
      <c r="F3716" s="2" t="s">
        <v>16</v>
      </c>
      <c r="G3716" s="2" t="s">
        <v>165</v>
      </c>
      <c r="H3716" s="2"/>
      <c r="I3716" s="2"/>
      <c r="J3716" s="2" t="s">
        <v>42</v>
      </c>
      <c r="K3716" s="2"/>
      <c r="L3716" s="2" t="s">
        <v>10602</v>
      </c>
    </row>
    <row r="3717" customFormat="false" ht="15.65" hidden="false" customHeight="true" outlineLevel="0" collapsed="false">
      <c r="A3717" s="5" t="str">
        <f aca="false">HYPERLINK("https://www.fabsurplus.com/sdi_catalog/salesItemDetails.do?id=110483")</f>
        <v>https://www.fabsurplus.com/sdi_catalog/salesItemDetails.do?id=110483</v>
      </c>
      <c r="B3717" s="5" t="s">
        <v>10603</v>
      </c>
      <c r="C3717" s="5" t="s">
        <v>10558</v>
      </c>
      <c r="D3717" s="5" t="s">
        <v>10559</v>
      </c>
      <c r="E3717" s="5" t="s">
        <v>170</v>
      </c>
      <c r="F3717" s="5" t="s">
        <v>16</v>
      </c>
      <c r="G3717" s="5" t="s">
        <v>165</v>
      </c>
      <c r="H3717" s="5"/>
      <c r="I3717" s="5"/>
      <c r="J3717" s="5" t="s">
        <v>42</v>
      </c>
      <c r="K3717" s="5"/>
      <c r="L3717" s="5" t="s">
        <v>10604</v>
      </c>
    </row>
    <row r="3718" customFormat="false" ht="15.65" hidden="false" customHeight="true" outlineLevel="0" collapsed="false">
      <c r="A3718" s="2" t="str">
        <f aca="false">HYPERLINK("https://www.fabsurplus.com/sdi_catalog/salesItemDetails.do?id=110484")</f>
        <v>https://www.fabsurplus.com/sdi_catalog/salesItemDetails.do?id=110484</v>
      </c>
      <c r="B3718" s="2" t="s">
        <v>10605</v>
      </c>
      <c r="C3718" s="2" t="s">
        <v>10558</v>
      </c>
      <c r="D3718" s="2" t="s">
        <v>10559</v>
      </c>
      <c r="E3718" s="2" t="s">
        <v>170</v>
      </c>
      <c r="F3718" s="2" t="s">
        <v>16</v>
      </c>
      <c r="G3718" s="2" t="s">
        <v>165</v>
      </c>
      <c r="H3718" s="2"/>
      <c r="I3718" s="2"/>
      <c r="J3718" s="2" t="s">
        <v>42</v>
      </c>
      <c r="K3718" s="2"/>
      <c r="L3718" s="2" t="s">
        <v>10604</v>
      </c>
    </row>
    <row r="3719" customFormat="false" ht="15.65" hidden="false" customHeight="true" outlineLevel="0" collapsed="false">
      <c r="A3719" s="5" t="str">
        <f aca="false">HYPERLINK("https://www.fabsurplus.com/sdi_catalog/salesItemDetails.do?id=110485")</f>
        <v>https://www.fabsurplus.com/sdi_catalog/salesItemDetails.do?id=110485</v>
      </c>
      <c r="B3719" s="5" t="s">
        <v>10606</v>
      </c>
      <c r="C3719" s="5" t="s">
        <v>10558</v>
      </c>
      <c r="D3719" s="5" t="s">
        <v>10559</v>
      </c>
      <c r="E3719" s="5" t="s">
        <v>170</v>
      </c>
      <c r="F3719" s="5" t="s">
        <v>16</v>
      </c>
      <c r="G3719" s="5" t="s">
        <v>165</v>
      </c>
      <c r="H3719" s="5"/>
      <c r="I3719" s="5"/>
      <c r="J3719" s="5" t="s">
        <v>42</v>
      </c>
      <c r="K3719" s="5"/>
      <c r="L3719" s="5" t="s">
        <v>10607</v>
      </c>
    </row>
    <row r="3720" customFormat="false" ht="15.65" hidden="false" customHeight="true" outlineLevel="0" collapsed="false">
      <c r="A3720" s="2" t="str">
        <f aca="false">HYPERLINK("https://www.fabsurplus.com/sdi_catalog/salesItemDetails.do?id=110486")</f>
        <v>https://www.fabsurplus.com/sdi_catalog/salesItemDetails.do?id=110486</v>
      </c>
      <c r="B3720" s="2" t="s">
        <v>10608</v>
      </c>
      <c r="C3720" s="2" t="s">
        <v>10558</v>
      </c>
      <c r="D3720" s="2" t="s">
        <v>10559</v>
      </c>
      <c r="E3720" s="2" t="s">
        <v>170</v>
      </c>
      <c r="F3720" s="2" t="s">
        <v>16</v>
      </c>
      <c r="G3720" s="2" t="s">
        <v>165</v>
      </c>
      <c r="H3720" s="2"/>
      <c r="I3720" s="2"/>
      <c r="J3720" s="2" t="s">
        <v>42</v>
      </c>
      <c r="K3720" s="2"/>
      <c r="L3720" s="2" t="s">
        <v>10609</v>
      </c>
    </row>
    <row r="3721" customFormat="false" ht="15.65" hidden="false" customHeight="true" outlineLevel="0" collapsed="false">
      <c r="A3721" s="5" t="str">
        <f aca="false">HYPERLINK("https://www.fabsurplus.com/sdi_catalog/salesItemDetails.do?id=110487")</f>
        <v>https://www.fabsurplus.com/sdi_catalog/salesItemDetails.do?id=110487</v>
      </c>
      <c r="B3721" s="5" t="s">
        <v>10610</v>
      </c>
      <c r="C3721" s="5" t="s">
        <v>10558</v>
      </c>
      <c r="D3721" s="5" t="s">
        <v>10559</v>
      </c>
      <c r="E3721" s="5" t="s">
        <v>170</v>
      </c>
      <c r="F3721" s="5" t="s">
        <v>16</v>
      </c>
      <c r="G3721" s="5" t="s">
        <v>165</v>
      </c>
      <c r="H3721" s="5"/>
      <c r="I3721" s="5"/>
      <c r="J3721" s="5" t="s">
        <v>42</v>
      </c>
      <c r="K3721" s="5"/>
      <c r="L3721" s="5" t="s">
        <v>10609</v>
      </c>
    </row>
    <row r="3722" customFormat="false" ht="15.65" hidden="false" customHeight="true" outlineLevel="0" collapsed="false">
      <c r="A3722" s="2" t="str">
        <f aca="false">HYPERLINK("https://www.fabsurplus.com/sdi_catalog/salesItemDetails.do?id=110488")</f>
        <v>https://www.fabsurplus.com/sdi_catalog/salesItemDetails.do?id=110488</v>
      </c>
      <c r="B3722" s="2" t="s">
        <v>10611</v>
      </c>
      <c r="C3722" s="2" t="s">
        <v>10558</v>
      </c>
      <c r="D3722" s="2" t="s">
        <v>10559</v>
      </c>
      <c r="E3722" s="2" t="s">
        <v>170</v>
      </c>
      <c r="F3722" s="2" t="s">
        <v>16</v>
      </c>
      <c r="G3722" s="2" t="s">
        <v>165</v>
      </c>
      <c r="H3722" s="2"/>
      <c r="I3722" s="2"/>
      <c r="J3722" s="2" t="s">
        <v>42</v>
      </c>
      <c r="K3722" s="2"/>
      <c r="L3722" s="2" t="s">
        <v>10609</v>
      </c>
    </row>
    <row r="3723" customFormat="false" ht="15.65" hidden="false" customHeight="true" outlineLevel="0" collapsed="false">
      <c r="A3723" s="5" t="str">
        <f aca="false">HYPERLINK("https://www.fabsurplus.com/sdi_catalog/salesItemDetails.do?id=110489")</f>
        <v>https://www.fabsurplus.com/sdi_catalog/salesItemDetails.do?id=110489</v>
      </c>
      <c r="B3723" s="5" t="s">
        <v>10612</v>
      </c>
      <c r="C3723" s="5" t="s">
        <v>10558</v>
      </c>
      <c r="D3723" s="5" t="s">
        <v>10559</v>
      </c>
      <c r="E3723" s="5" t="s">
        <v>170</v>
      </c>
      <c r="F3723" s="5" t="s">
        <v>16</v>
      </c>
      <c r="G3723" s="5" t="s">
        <v>165</v>
      </c>
      <c r="H3723" s="5"/>
      <c r="I3723" s="5"/>
      <c r="J3723" s="5" t="s">
        <v>42</v>
      </c>
      <c r="K3723" s="5"/>
      <c r="L3723" s="5" t="s">
        <v>10613</v>
      </c>
    </row>
    <row r="3724" customFormat="false" ht="15.65" hidden="false" customHeight="true" outlineLevel="0" collapsed="false">
      <c r="A3724" s="2" t="str">
        <f aca="false">HYPERLINK("https://www.fabsurplus.com/sdi_catalog/salesItemDetails.do?id=110490")</f>
        <v>https://www.fabsurplus.com/sdi_catalog/salesItemDetails.do?id=110490</v>
      </c>
      <c r="B3724" s="2" t="s">
        <v>10614</v>
      </c>
      <c r="C3724" s="2" t="s">
        <v>10558</v>
      </c>
      <c r="D3724" s="2" t="s">
        <v>10562</v>
      </c>
      <c r="E3724" s="2" t="s">
        <v>170</v>
      </c>
      <c r="F3724" s="2" t="s">
        <v>16</v>
      </c>
      <c r="G3724" s="2" t="s">
        <v>165</v>
      </c>
      <c r="H3724" s="2"/>
      <c r="I3724" s="2"/>
      <c r="J3724" s="2" t="s">
        <v>42</v>
      </c>
      <c r="K3724" s="2"/>
      <c r="L3724" s="2" t="s">
        <v>10615</v>
      </c>
    </row>
    <row r="3725" customFormat="false" ht="15.65" hidden="false" customHeight="true" outlineLevel="0" collapsed="false">
      <c r="A3725" s="5" t="str">
        <f aca="false">HYPERLINK("https://www.fabsurplus.com/sdi_catalog/salesItemDetails.do?id=110491")</f>
        <v>https://www.fabsurplus.com/sdi_catalog/salesItemDetails.do?id=110491</v>
      </c>
      <c r="B3725" s="5" t="s">
        <v>10616</v>
      </c>
      <c r="C3725" s="5" t="s">
        <v>10558</v>
      </c>
      <c r="D3725" s="5" t="s">
        <v>10562</v>
      </c>
      <c r="E3725" s="5" t="s">
        <v>170</v>
      </c>
      <c r="F3725" s="5" t="s">
        <v>16</v>
      </c>
      <c r="G3725" s="5" t="s">
        <v>165</v>
      </c>
      <c r="H3725" s="5"/>
      <c r="I3725" s="5"/>
      <c r="J3725" s="5" t="s">
        <v>42</v>
      </c>
      <c r="K3725" s="5"/>
      <c r="L3725" s="5" t="s">
        <v>10615</v>
      </c>
    </row>
    <row r="3726" customFormat="false" ht="15.65" hidden="false" customHeight="true" outlineLevel="0" collapsed="false">
      <c r="A3726" s="2" t="str">
        <f aca="false">HYPERLINK("https://www.fabsurplus.com/sdi_catalog/salesItemDetails.do?id=110492")</f>
        <v>https://www.fabsurplus.com/sdi_catalog/salesItemDetails.do?id=110492</v>
      </c>
      <c r="B3726" s="2" t="s">
        <v>10617</v>
      </c>
      <c r="C3726" s="2" t="s">
        <v>10558</v>
      </c>
      <c r="D3726" s="2" t="s">
        <v>10618</v>
      </c>
      <c r="E3726" s="2" t="s">
        <v>164</v>
      </c>
      <c r="F3726" s="2" t="s">
        <v>16</v>
      </c>
      <c r="G3726" s="2" t="s">
        <v>165</v>
      </c>
      <c r="H3726" s="2"/>
      <c r="I3726" s="2"/>
      <c r="J3726" s="2" t="s">
        <v>42</v>
      </c>
      <c r="K3726" s="2"/>
      <c r="L3726" s="2" t="s">
        <v>10619</v>
      </c>
    </row>
    <row r="3727" customFormat="false" ht="15.65" hidden="false" customHeight="true" outlineLevel="0" collapsed="false">
      <c r="A3727" s="5" t="str">
        <f aca="false">HYPERLINK("https://www.fabsurplus.com/sdi_catalog/salesItemDetails.do?id=110493")</f>
        <v>https://www.fabsurplus.com/sdi_catalog/salesItemDetails.do?id=110493</v>
      </c>
      <c r="B3727" s="5" t="s">
        <v>10620</v>
      </c>
      <c r="C3727" s="5" t="s">
        <v>10558</v>
      </c>
      <c r="D3727" s="5" t="s">
        <v>10618</v>
      </c>
      <c r="E3727" s="5" t="s">
        <v>164</v>
      </c>
      <c r="F3727" s="5" t="s">
        <v>16</v>
      </c>
      <c r="G3727" s="5" t="s">
        <v>165</v>
      </c>
      <c r="H3727" s="5"/>
      <c r="I3727" s="5"/>
      <c r="J3727" s="5" t="s">
        <v>42</v>
      </c>
      <c r="K3727" s="5"/>
      <c r="L3727" s="5" t="s">
        <v>10619</v>
      </c>
    </row>
    <row r="3728" customFormat="false" ht="15.65" hidden="false" customHeight="true" outlineLevel="0" collapsed="false">
      <c r="A3728" s="2" t="str">
        <f aca="false">HYPERLINK("https://www.fabsurplus.com/sdi_catalog/salesItemDetails.do?id=110494")</f>
        <v>https://www.fabsurplus.com/sdi_catalog/salesItemDetails.do?id=110494</v>
      </c>
      <c r="B3728" s="2" t="s">
        <v>10621</v>
      </c>
      <c r="C3728" s="2" t="s">
        <v>10558</v>
      </c>
      <c r="D3728" s="2" t="s">
        <v>10618</v>
      </c>
      <c r="E3728" s="2" t="s">
        <v>164</v>
      </c>
      <c r="F3728" s="2" t="s">
        <v>16</v>
      </c>
      <c r="G3728" s="2" t="s">
        <v>165</v>
      </c>
      <c r="H3728" s="2"/>
      <c r="I3728" s="2"/>
      <c r="J3728" s="2" t="s">
        <v>42</v>
      </c>
      <c r="K3728" s="2"/>
      <c r="L3728" s="2" t="s">
        <v>10622</v>
      </c>
    </row>
    <row r="3729" customFormat="false" ht="15.65" hidden="false" customHeight="true" outlineLevel="0" collapsed="false">
      <c r="A3729" s="5" t="str">
        <f aca="false">HYPERLINK("https://www.fabsurplus.com/sdi_catalog/salesItemDetails.do?id=110495")</f>
        <v>https://www.fabsurplus.com/sdi_catalog/salesItemDetails.do?id=110495</v>
      </c>
      <c r="B3729" s="5" t="s">
        <v>10623</v>
      </c>
      <c r="C3729" s="5" t="s">
        <v>10558</v>
      </c>
      <c r="D3729" s="5" t="s">
        <v>10618</v>
      </c>
      <c r="E3729" s="5" t="s">
        <v>164</v>
      </c>
      <c r="F3729" s="5" t="s">
        <v>16</v>
      </c>
      <c r="G3729" s="5" t="s">
        <v>165</v>
      </c>
      <c r="H3729" s="5"/>
      <c r="I3729" s="5"/>
      <c r="J3729" s="5" t="s">
        <v>42</v>
      </c>
      <c r="K3729" s="5"/>
      <c r="L3729" s="5" t="s">
        <v>10622</v>
      </c>
    </row>
    <row r="3730" customFormat="false" ht="15.65" hidden="false" customHeight="true" outlineLevel="0" collapsed="false">
      <c r="A3730" s="2" t="str">
        <f aca="false">HYPERLINK("https://www.fabsurplus.com/sdi_catalog/salesItemDetails.do?id=110496")</f>
        <v>https://www.fabsurplus.com/sdi_catalog/salesItemDetails.do?id=110496</v>
      </c>
      <c r="B3730" s="2" t="s">
        <v>10624</v>
      </c>
      <c r="C3730" s="2" t="s">
        <v>10558</v>
      </c>
      <c r="D3730" s="2" t="s">
        <v>10618</v>
      </c>
      <c r="E3730" s="2" t="s">
        <v>164</v>
      </c>
      <c r="F3730" s="2" t="s">
        <v>16</v>
      </c>
      <c r="G3730" s="2" t="s">
        <v>165</v>
      </c>
      <c r="H3730" s="2"/>
      <c r="I3730" s="2"/>
      <c r="J3730" s="2" t="s">
        <v>42</v>
      </c>
      <c r="K3730" s="2"/>
      <c r="L3730" s="2" t="s">
        <v>10625</v>
      </c>
    </row>
    <row r="3731" customFormat="false" ht="15.65" hidden="false" customHeight="true" outlineLevel="0" collapsed="false">
      <c r="A3731" s="5" t="str">
        <f aca="false">HYPERLINK("https://www.fabsurplus.com/sdi_catalog/salesItemDetails.do?id=110497")</f>
        <v>https://www.fabsurplus.com/sdi_catalog/salesItemDetails.do?id=110497</v>
      </c>
      <c r="B3731" s="5" t="s">
        <v>10626</v>
      </c>
      <c r="C3731" s="5" t="s">
        <v>10558</v>
      </c>
      <c r="D3731" s="5" t="s">
        <v>10618</v>
      </c>
      <c r="E3731" s="5" t="s">
        <v>164</v>
      </c>
      <c r="F3731" s="5" t="s">
        <v>16</v>
      </c>
      <c r="G3731" s="5" t="s">
        <v>165</v>
      </c>
      <c r="H3731" s="5"/>
      <c r="I3731" s="5"/>
      <c r="J3731" s="5" t="s">
        <v>42</v>
      </c>
      <c r="K3731" s="5"/>
      <c r="L3731" s="5" t="s">
        <v>10627</v>
      </c>
    </row>
    <row r="3732" customFormat="false" ht="15.65" hidden="false" customHeight="true" outlineLevel="0" collapsed="false">
      <c r="A3732" s="2" t="str">
        <f aca="false">HYPERLINK("https://www.fabsurplus.com/sdi_catalog/salesItemDetails.do?id=110498")</f>
        <v>https://www.fabsurplus.com/sdi_catalog/salesItemDetails.do?id=110498</v>
      </c>
      <c r="B3732" s="2" t="s">
        <v>10628</v>
      </c>
      <c r="C3732" s="2" t="s">
        <v>10558</v>
      </c>
      <c r="D3732" s="2" t="s">
        <v>10629</v>
      </c>
      <c r="E3732" s="2" t="s">
        <v>763</v>
      </c>
      <c r="F3732" s="2" t="s">
        <v>16</v>
      </c>
      <c r="G3732" s="2" t="s">
        <v>165</v>
      </c>
      <c r="H3732" s="2"/>
      <c r="I3732" s="2"/>
      <c r="J3732" s="2" t="s">
        <v>42</v>
      </c>
      <c r="K3732" s="2"/>
      <c r="L3732" s="2" t="s">
        <v>10630</v>
      </c>
    </row>
    <row r="3733" customFormat="false" ht="15.65" hidden="false" customHeight="true" outlineLevel="0" collapsed="false">
      <c r="A3733" s="5" t="str">
        <f aca="false">HYPERLINK("https://www.fabsurplus.com/sdi_catalog/salesItemDetails.do?id=110499")</f>
        <v>https://www.fabsurplus.com/sdi_catalog/salesItemDetails.do?id=110499</v>
      </c>
      <c r="B3733" s="5" t="s">
        <v>10631</v>
      </c>
      <c r="C3733" s="5" t="s">
        <v>10558</v>
      </c>
      <c r="D3733" s="5" t="s">
        <v>10632</v>
      </c>
      <c r="E3733" s="5" t="s">
        <v>170</v>
      </c>
      <c r="F3733" s="5" t="s">
        <v>16</v>
      </c>
      <c r="G3733" s="5" t="s">
        <v>165</v>
      </c>
      <c r="H3733" s="5"/>
      <c r="I3733" s="5"/>
      <c r="J3733" s="5" t="s">
        <v>42</v>
      </c>
      <c r="K3733" s="5"/>
      <c r="L3733" s="5" t="s">
        <v>10633</v>
      </c>
    </row>
    <row r="3734" customFormat="false" ht="15.65" hidden="false" customHeight="true" outlineLevel="0" collapsed="false">
      <c r="A3734" s="2" t="str">
        <f aca="false">HYPERLINK("https://www.fabsurplus.com/sdi_catalog/salesItemDetails.do?id=110500")</f>
        <v>https://www.fabsurplus.com/sdi_catalog/salesItemDetails.do?id=110500</v>
      </c>
      <c r="B3734" s="2" t="s">
        <v>10634</v>
      </c>
      <c r="C3734" s="2" t="s">
        <v>10558</v>
      </c>
      <c r="D3734" s="2" t="s">
        <v>10635</v>
      </c>
      <c r="E3734" s="2" t="s">
        <v>170</v>
      </c>
      <c r="F3734" s="2" t="s">
        <v>16</v>
      </c>
      <c r="G3734" s="2" t="s">
        <v>165</v>
      </c>
      <c r="H3734" s="2"/>
      <c r="I3734" s="2"/>
      <c r="J3734" s="2" t="s">
        <v>42</v>
      </c>
      <c r="K3734" s="2"/>
      <c r="L3734" s="2" t="s">
        <v>10636</v>
      </c>
    </row>
    <row r="3735" customFormat="false" ht="15.65" hidden="false" customHeight="true" outlineLevel="0" collapsed="false">
      <c r="A3735" s="5" t="str">
        <f aca="false">HYPERLINK("https://www.fabsurplus.com/sdi_catalog/salesItemDetails.do?id=110501")</f>
        <v>https://www.fabsurplus.com/sdi_catalog/salesItemDetails.do?id=110501</v>
      </c>
      <c r="B3735" s="5" t="s">
        <v>10637</v>
      </c>
      <c r="C3735" s="5" t="s">
        <v>10558</v>
      </c>
      <c r="D3735" s="5" t="s">
        <v>10638</v>
      </c>
      <c r="E3735" s="5" t="s">
        <v>170</v>
      </c>
      <c r="F3735" s="5" t="s">
        <v>16</v>
      </c>
      <c r="G3735" s="5" t="s">
        <v>165</v>
      </c>
      <c r="H3735" s="5"/>
      <c r="I3735" s="5"/>
      <c r="J3735" s="5" t="s">
        <v>42</v>
      </c>
      <c r="K3735" s="5"/>
      <c r="L3735" s="5" t="s">
        <v>10639</v>
      </c>
    </row>
    <row r="3736" customFormat="false" ht="15.65" hidden="false" customHeight="true" outlineLevel="0" collapsed="false">
      <c r="A3736" s="2" t="str">
        <f aca="false">HYPERLINK("https://www.fabsurplus.com/sdi_catalog/salesItemDetails.do?id=110502")</f>
        <v>https://www.fabsurplus.com/sdi_catalog/salesItemDetails.do?id=110502</v>
      </c>
      <c r="B3736" s="2" t="s">
        <v>10640</v>
      </c>
      <c r="C3736" s="2" t="s">
        <v>10558</v>
      </c>
      <c r="D3736" s="2" t="s">
        <v>10580</v>
      </c>
      <c r="E3736" s="2" t="s">
        <v>170</v>
      </c>
      <c r="F3736" s="2" t="s">
        <v>16</v>
      </c>
      <c r="G3736" s="2" t="s">
        <v>165</v>
      </c>
      <c r="H3736" s="2"/>
      <c r="I3736" s="2"/>
      <c r="J3736" s="2" t="s">
        <v>42</v>
      </c>
      <c r="K3736" s="2"/>
      <c r="L3736" s="2" t="s">
        <v>10641</v>
      </c>
    </row>
    <row r="3737" customFormat="false" ht="15.65" hidden="false" customHeight="true" outlineLevel="0" collapsed="false">
      <c r="A3737" s="5" t="str">
        <f aca="false">HYPERLINK("https://www.fabsurplus.com/sdi_catalog/salesItemDetails.do?id=110503")</f>
        <v>https://www.fabsurplus.com/sdi_catalog/salesItemDetails.do?id=110503</v>
      </c>
      <c r="B3737" s="5" t="s">
        <v>10642</v>
      </c>
      <c r="C3737" s="5" t="s">
        <v>10591</v>
      </c>
      <c r="D3737" s="5" t="s">
        <v>10643</v>
      </c>
      <c r="E3737" s="5" t="s">
        <v>763</v>
      </c>
      <c r="F3737" s="5" t="s">
        <v>16</v>
      </c>
      <c r="G3737" s="5" t="s">
        <v>165</v>
      </c>
      <c r="H3737" s="5"/>
      <c r="I3737" s="5"/>
      <c r="J3737" s="5" t="s">
        <v>42</v>
      </c>
      <c r="K3737" s="5"/>
      <c r="L3737" s="5" t="s">
        <v>10644</v>
      </c>
    </row>
    <row r="3738" customFormat="false" ht="15.65" hidden="false" customHeight="true" outlineLevel="0" collapsed="false">
      <c r="A3738" s="2" t="str">
        <f aca="false">HYPERLINK("https://www.fabsurplus.com/sdi_catalog/salesItemDetails.do?id=109525")</f>
        <v>https://www.fabsurplus.com/sdi_catalog/salesItemDetails.do?id=109525</v>
      </c>
      <c r="B3738" s="2" t="s">
        <v>10645</v>
      </c>
      <c r="C3738" s="2" t="s">
        <v>10646</v>
      </c>
      <c r="D3738" s="2" t="s">
        <v>10647</v>
      </c>
      <c r="E3738" s="2" t="s">
        <v>103</v>
      </c>
      <c r="F3738" s="2" t="s">
        <v>16</v>
      </c>
      <c r="G3738" s="2" t="s">
        <v>104</v>
      </c>
      <c r="H3738" s="2"/>
      <c r="I3738" s="2"/>
      <c r="J3738" s="2" t="s">
        <v>19</v>
      </c>
      <c r="K3738" s="2"/>
      <c r="L3738" s="2" t="s">
        <v>10648</v>
      </c>
    </row>
    <row r="3739" customFormat="false" ht="15.65" hidden="false" customHeight="true" outlineLevel="0" collapsed="false">
      <c r="A3739" s="5" t="str">
        <f aca="false">HYPERLINK("https://www.fabsurplus.com/sdi_catalog/salesItemDetails.do?id=110504")</f>
        <v>https://www.fabsurplus.com/sdi_catalog/salesItemDetails.do?id=110504</v>
      </c>
      <c r="B3739" s="5" t="s">
        <v>10649</v>
      </c>
      <c r="C3739" s="5" t="s">
        <v>10650</v>
      </c>
      <c r="D3739" s="5" t="s">
        <v>10651</v>
      </c>
      <c r="E3739" s="5" t="s">
        <v>763</v>
      </c>
      <c r="F3739" s="5" t="s">
        <v>16</v>
      </c>
      <c r="G3739" s="5" t="s">
        <v>165</v>
      </c>
      <c r="H3739" s="5"/>
      <c r="I3739" s="5"/>
      <c r="J3739" s="5" t="s">
        <v>42</v>
      </c>
      <c r="K3739" s="5"/>
      <c r="L3739" s="5" t="s">
        <v>10652</v>
      </c>
    </row>
    <row r="3740" customFormat="false" ht="15.65" hidden="false" customHeight="true" outlineLevel="0" collapsed="false">
      <c r="A3740" s="2" t="str">
        <f aca="false">HYPERLINK("https://www.fabsurplus.com/sdi_catalog/salesItemDetails.do?id=110505")</f>
        <v>https://www.fabsurplus.com/sdi_catalog/salesItemDetails.do?id=110505</v>
      </c>
      <c r="B3740" s="2" t="s">
        <v>10653</v>
      </c>
      <c r="C3740" s="2" t="s">
        <v>10650</v>
      </c>
      <c r="D3740" s="2" t="s">
        <v>10651</v>
      </c>
      <c r="E3740" s="2" t="s">
        <v>763</v>
      </c>
      <c r="F3740" s="2" t="s">
        <v>16</v>
      </c>
      <c r="G3740" s="2" t="s">
        <v>165</v>
      </c>
      <c r="H3740" s="2"/>
      <c r="I3740" s="2"/>
      <c r="J3740" s="2" t="s">
        <v>42</v>
      </c>
      <c r="K3740" s="2"/>
      <c r="L3740" s="2" t="s">
        <v>10652</v>
      </c>
    </row>
    <row r="3741" customFormat="false" ht="15.65" hidden="false" customHeight="true" outlineLevel="0" collapsed="false">
      <c r="A3741" s="5" t="str">
        <f aca="false">HYPERLINK("https://www.fabsurplus.com/sdi_catalog/salesItemDetails.do?id=110506")</f>
        <v>https://www.fabsurplus.com/sdi_catalog/salesItemDetails.do?id=110506</v>
      </c>
      <c r="B3741" s="5" t="s">
        <v>10654</v>
      </c>
      <c r="C3741" s="5" t="s">
        <v>10650</v>
      </c>
      <c r="D3741" s="5" t="s">
        <v>10651</v>
      </c>
      <c r="E3741" s="5" t="s">
        <v>763</v>
      </c>
      <c r="F3741" s="5" t="s">
        <v>16</v>
      </c>
      <c r="G3741" s="5" t="s">
        <v>165</v>
      </c>
      <c r="H3741" s="5"/>
      <c r="I3741" s="5"/>
      <c r="J3741" s="5" t="s">
        <v>42</v>
      </c>
      <c r="K3741" s="5"/>
      <c r="L3741" s="5" t="s">
        <v>10652</v>
      </c>
    </row>
    <row r="3742" customFormat="false" ht="15.65" hidden="false" customHeight="true" outlineLevel="0" collapsed="false">
      <c r="A3742" s="2" t="str">
        <f aca="false">HYPERLINK("https://www.fabsurplus.com/sdi_catalog/salesItemDetails.do?id=108875")</f>
        <v>https://www.fabsurplus.com/sdi_catalog/salesItemDetails.do?id=108875</v>
      </c>
      <c r="B3742" s="2" t="s">
        <v>10655</v>
      </c>
      <c r="C3742" s="2" t="s">
        <v>10656</v>
      </c>
      <c r="D3742" s="2"/>
      <c r="E3742" s="2" t="s">
        <v>10657</v>
      </c>
      <c r="F3742" s="2" t="s">
        <v>16</v>
      </c>
      <c r="G3742" s="2" t="s">
        <v>165</v>
      </c>
      <c r="H3742" s="2"/>
      <c r="I3742" s="2"/>
      <c r="J3742" s="2" t="s">
        <v>42</v>
      </c>
      <c r="K3742" s="2"/>
      <c r="L3742" s="2" t="s">
        <v>131</v>
      </c>
    </row>
    <row r="3743" customFormat="false" ht="15.65" hidden="false" customHeight="true" outlineLevel="0" collapsed="false">
      <c r="A3743" s="5" t="str">
        <f aca="false">HYPERLINK("https://www.fabsurplus.com/sdi_catalog/salesItemDetails.do?id=106516")</f>
        <v>https://www.fabsurplus.com/sdi_catalog/salesItemDetails.do?id=106516</v>
      </c>
      <c r="B3743" s="5" t="s">
        <v>10658</v>
      </c>
      <c r="C3743" s="5" t="s">
        <v>10659</v>
      </c>
      <c r="D3743" s="5" t="s">
        <v>10660</v>
      </c>
      <c r="E3743" s="5" t="s">
        <v>10661</v>
      </c>
      <c r="F3743" s="5" t="s">
        <v>16</v>
      </c>
      <c r="G3743" s="5" t="s">
        <v>1293</v>
      </c>
      <c r="H3743" s="5" t="s">
        <v>32</v>
      </c>
      <c r="I3743" s="5"/>
      <c r="J3743" s="5" t="s">
        <v>19</v>
      </c>
      <c r="K3743" s="5" t="s">
        <v>20</v>
      </c>
      <c r="L3743" s="7" t="s">
        <v>10662</v>
      </c>
    </row>
    <row r="3744" customFormat="false" ht="15.65" hidden="false" customHeight="true" outlineLevel="0" collapsed="false">
      <c r="A3744" s="2" t="str">
        <f aca="false">HYPERLINK("https://www.fabsurplus.com/sdi_catalog/salesItemDetails.do?id=106517")</f>
        <v>https://www.fabsurplus.com/sdi_catalog/salesItemDetails.do?id=106517</v>
      </c>
      <c r="B3744" s="2" t="s">
        <v>10663</v>
      </c>
      <c r="C3744" s="2" t="s">
        <v>10659</v>
      </c>
      <c r="D3744" s="2" t="s">
        <v>10660</v>
      </c>
      <c r="E3744" s="2" t="s">
        <v>10661</v>
      </c>
      <c r="F3744" s="2" t="s">
        <v>16</v>
      </c>
      <c r="G3744" s="2" t="s">
        <v>1293</v>
      </c>
      <c r="H3744" s="2" t="s">
        <v>2785</v>
      </c>
      <c r="I3744" s="3" t="n">
        <v>33025</v>
      </c>
      <c r="J3744" s="2" t="s">
        <v>19</v>
      </c>
      <c r="K3744" s="2" t="s">
        <v>20</v>
      </c>
      <c r="L3744" s="4" t="s">
        <v>10664</v>
      </c>
    </row>
    <row r="3745" customFormat="false" ht="15.65" hidden="false" customHeight="true" outlineLevel="0" collapsed="false">
      <c r="A3745" s="5" t="str">
        <f aca="false">HYPERLINK("https://www.fabsurplus.com/sdi_catalog/salesItemDetails.do?id=74255")</f>
        <v>https://www.fabsurplus.com/sdi_catalog/salesItemDetails.do?id=74255</v>
      </c>
      <c r="B3745" s="5" t="s">
        <v>10665</v>
      </c>
      <c r="C3745" s="5" t="s">
        <v>10666</v>
      </c>
      <c r="D3745" s="5" t="s">
        <v>10667</v>
      </c>
      <c r="E3745" s="5" t="s">
        <v>10668</v>
      </c>
      <c r="F3745" s="5" t="s">
        <v>86</v>
      </c>
      <c r="G3745" s="5" t="s">
        <v>97</v>
      </c>
      <c r="H3745" s="5"/>
      <c r="I3745" s="6" t="n">
        <v>37895</v>
      </c>
      <c r="J3745" s="5" t="s">
        <v>19</v>
      </c>
      <c r="K3745" s="5"/>
      <c r="L3745" s="7" t="s">
        <v>10669</v>
      </c>
    </row>
    <row r="3746" customFormat="false" ht="15.65" hidden="false" customHeight="true" outlineLevel="0" collapsed="false">
      <c r="A3746" s="2" t="str">
        <f aca="false">HYPERLINK("https://www.fabsurplus.com/sdi_catalog/salesItemDetails.do?id=108054")</f>
        <v>https://www.fabsurplus.com/sdi_catalog/salesItemDetails.do?id=108054</v>
      </c>
      <c r="B3746" s="2" t="s">
        <v>10670</v>
      </c>
      <c r="C3746" s="2" t="s">
        <v>10671</v>
      </c>
      <c r="D3746" s="2" t="s">
        <v>10672</v>
      </c>
      <c r="E3746" s="2" t="s">
        <v>420</v>
      </c>
      <c r="F3746" s="2" t="s">
        <v>16</v>
      </c>
      <c r="G3746" s="2" t="s">
        <v>392</v>
      </c>
      <c r="H3746" s="2"/>
      <c r="I3746" s="2"/>
      <c r="J3746" s="2" t="s">
        <v>19</v>
      </c>
      <c r="K3746" s="2"/>
      <c r="L3746" s="2" t="s">
        <v>10673</v>
      </c>
    </row>
    <row r="3747" customFormat="false" ht="15.65" hidden="false" customHeight="true" outlineLevel="0" collapsed="false">
      <c r="A3747" s="5" t="str">
        <f aca="false">HYPERLINK("https://www.fabsurplus.com/sdi_catalog/salesItemDetails.do?id=108102")</f>
        <v>https://www.fabsurplus.com/sdi_catalog/salesItemDetails.do?id=108102</v>
      </c>
      <c r="B3747" s="5" t="s">
        <v>10674</v>
      </c>
      <c r="C3747" s="5" t="s">
        <v>10675</v>
      </c>
      <c r="D3747" s="5" t="s">
        <v>10676</v>
      </c>
      <c r="E3747" s="5" t="s">
        <v>10677</v>
      </c>
      <c r="F3747" s="5" t="s">
        <v>16</v>
      </c>
      <c r="G3747" s="5" t="s">
        <v>392</v>
      </c>
      <c r="H3747" s="5"/>
      <c r="I3747" s="5"/>
      <c r="J3747" s="5" t="s">
        <v>19</v>
      </c>
      <c r="K3747" s="5"/>
      <c r="L3747" s="5" t="s">
        <v>10678</v>
      </c>
    </row>
    <row r="3748" customFormat="false" ht="15.65" hidden="false" customHeight="true" outlineLevel="0" collapsed="false">
      <c r="A3748" s="2" t="str">
        <f aca="false">HYPERLINK("https://www.fabsurplus.com/sdi_catalog/salesItemDetails.do?id=108103")</f>
        <v>https://www.fabsurplus.com/sdi_catalog/salesItemDetails.do?id=108103</v>
      </c>
      <c r="B3748" s="2" t="s">
        <v>10679</v>
      </c>
      <c r="C3748" s="2" t="s">
        <v>10675</v>
      </c>
      <c r="D3748" s="2" t="s">
        <v>10680</v>
      </c>
      <c r="E3748" s="2" t="s">
        <v>10677</v>
      </c>
      <c r="F3748" s="2" t="s">
        <v>16</v>
      </c>
      <c r="G3748" s="2" t="s">
        <v>392</v>
      </c>
      <c r="H3748" s="2"/>
      <c r="I3748" s="2"/>
      <c r="J3748" s="2" t="s">
        <v>19</v>
      </c>
      <c r="K3748" s="2"/>
      <c r="L3748" s="2" t="s">
        <v>10681</v>
      </c>
    </row>
    <row r="3749" customFormat="false" ht="15.65" hidden="false" customHeight="true" outlineLevel="0" collapsed="false">
      <c r="A3749" s="5" t="str">
        <f aca="false">HYPERLINK("https://www.fabsurplus.com/sdi_catalog/salesItemDetails.do?id=77161")</f>
        <v>https://www.fabsurplus.com/sdi_catalog/salesItemDetails.do?id=77161</v>
      </c>
      <c r="B3749" s="5" t="s">
        <v>10682</v>
      </c>
      <c r="C3749" s="5" t="s">
        <v>10683</v>
      </c>
      <c r="D3749" s="5" t="s">
        <v>10684</v>
      </c>
      <c r="E3749" s="5" t="s">
        <v>10685</v>
      </c>
      <c r="F3749" s="5" t="s">
        <v>16</v>
      </c>
      <c r="G3749" s="5" t="s">
        <v>104</v>
      </c>
      <c r="H3749" s="5" t="s">
        <v>32</v>
      </c>
      <c r="I3749" s="5"/>
      <c r="J3749" s="5" t="s">
        <v>19</v>
      </c>
      <c r="K3749" s="5" t="s">
        <v>20</v>
      </c>
      <c r="L3749" s="7" t="s">
        <v>10686</v>
      </c>
    </row>
    <row r="3750" customFormat="false" ht="15.65" hidden="false" customHeight="true" outlineLevel="0" collapsed="false">
      <c r="A3750" s="2" t="str">
        <f aca="false">HYPERLINK("https://www.fabsurplus.com/sdi_catalog/salesItemDetails.do?id=108960")</f>
        <v>https://www.fabsurplus.com/sdi_catalog/salesItemDetails.do?id=108960</v>
      </c>
      <c r="B3750" s="2" t="s">
        <v>10687</v>
      </c>
      <c r="C3750" s="2" t="s">
        <v>10688</v>
      </c>
      <c r="D3750" s="2" t="s">
        <v>10689</v>
      </c>
      <c r="E3750" s="2" t="s">
        <v>10690</v>
      </c>
      <c r="F3750" s="2" t="s">
        <v>4628</v>
      </c>
      <c r="G3750" s="2"/>
      <c r="H3750" s="2"/>
      <c r="I3750" s="2"/>
      <c r="J3750" s="2"/>
      <c r="K3750" s="2"/>
      <c r="L3750" s="4" t="s">
        <v>10691</v>
      </c>
    </row>
    <row r="3751" customFormat="false" ht="15.65" hidden="false" customHeight="true" outlineLevel="0" collapsed="false">
      <c r="A3751" s="5" t="str">
        <f aca="false">HYPERLINK("https://www.fabsurplus.com/sdi_catalog/salesItemDetails.do?id=83548")</f>
        <v>https://www.fabsurplus.com/sdi_catalog/salesItemDetails.do?id=83548</v>
      </c>
      <c r="B3751" s="5" t="s">
        <v>10692</v>
      </c>
      <c r="C3751" s="5" t="s">
        <v>10693</v>
      </c>
      <c r="D3751" s="5" t="s">
        <v>10694</v>
      </c>
      <c r="E3751" s="5" t="s">
        <v>10695</v>
      </c>
      <c r="F3751" s="5" t="s">
        <v>16</v>
      </c>
      <c r="G3751" s="5" t="s">
        <v>104</v>
      </c>
      <c r="H3751" s="5" t="s">
        <v>32</v>
      </c>
      <c r="I3751" s="5"/>
      <c r="J3751" s="5" t="s">
        <v>19</v>
      </c>
      <c r="K3751" s="5" t="s">
        <v>20</v>
      </c>
      <c r="L3751" s="7" t="s">
        <v>10696</v>
      </c>
    </row>
    <row r="3752" customFormat="false" ht="15.65" hidden="false" customHeight="true" outlineLevel="0" collapsed="false">
      <c r="A3752" s="2" t="str">
        <f aca="false">HYPERLINK("https://www.fabsurplus.com/sdi_catalog/salesItemDetails.do?id=108594")</f>
        <v>https://www.fabsurplus.com/sdi_catalog/salesItemDetails.do?id=108594</v>
      </c>
      <c r="B3752" s="2" t="s">
        <v>10697</v>
      </c>
      <c r="C3752" s="2" t="s">
        <v>10698</v>
      </c>
      <c r="D3752" s="2" t="s">
        <v>10699</v>
      </c>
      <c r="E3752" s="2" t="s">
        <v>10700</v>
      </c>
      <c r="F3752" s="2" t="s">
        <v>145</v>
      </c>
      <c r="G3752" s="2" t="s">
        <v>1362</v>
      </c>
      <c r="H3752" s="2" t="s">
        <v>18</v>
      </c>
      <c r="I3752" s="3" t="n">
        <v>38473</v>
      </c>
      <c r="J3752" s="2" t="s">
        <v>19</v>
      </c>
      <c r="K3752" s="2" t="s">
        <v>20</v>
      </c>
      <c r="L3752" s="2" t="s">
        <v>10701</v>
      </c>
    </row>
    <row r="3753" customFormat="false" ht="15.65" hidden="false" customHeight="true" outlineLevel="0" collapsed="false">
      <c r="A3753" s="5" t="str">
        <f aca="false">HYPERLINK("https://www.fabsurplus.com/sdi_catalog/salesItemDetails.do?id=108595")</f>
        <v>https://www.fabsurplus.com/sdi_catalog/salesItemDetails.do?id=108595</v>
      </c>
      <c r="B3753" s="5" t="s">
        <v>10702</v>
      </c>
      <c r="C3753" s="5" t="s">
        <v>10698</v>
      </c>
      <c r="D3753" s="5" t="s">
        <v>10703</v>
      </c>
      <c r="E3753" s="5" t="s">
        <v>10704</v>
      </c>
      <c r="F3753" s="5" t="s">
        <v>236</v>
      </c>
      <c r="G3753" s="5" t="s">
        <v>1362</v>
      </c>
      <c r="H3753" s="5" t="s">
        <v>18</v>
      </c>
      <c r="I3753" s="6" t="n">
        <v>39569</v>
      </c>
      <c r="J3753" s="5" t="s">
        <v>19</v>
      </c>
      <c r="K3753" s="5" t="s">
        <v>20</v>
      </c>
      <c r="L3753" s="5" t="s">
        <v>10701</v>
      </c>
    </row>
    <row r="3754" customFormat="false" ht="15.65" hidden="false" customHeight="true" outlineLevel="0" collapsed="false">
      <c r="A3754" s="2" t="str">
        <f aca="false">HYPERLINK("https://www.fabsurplus.com/sdi_catalog/salesItemDetails.do?id=108596")</f>
        <v>https://www.fabsurplus.com/sdi_catalog/salesItemDetails.do?id=108596</v>
      </c>
      <c r="B3754" s="2" t="s">
        <v>10705</v>
      </c>
      <c r="C3754" s="2" t="s">
        <v>10698</v>
      </c>
      <c r="D3754" s="2" t="s">
        <v>10706</v>
      </c>
      <c r="E3754" s="2" t="s">
        <v>10704</v>
      </c>
      <c r="F3754" s="2" t="s">
        <v>10707</v>
      </c>
      <c r="G3754" s="2" t="s">
        <v>1362</v>
      </c>
      <c r="H3754" s="2" t="s">
        <v>18</v>
      </c>
      <c r="I3754" s="3" t="n">
        <v>39203</v>
      </c>
      <c r="J3754" s="2" t="s">
        <v>19</v>
      </c>
      <c r="K3754" s="2" t="s">
        <v>20</v>
      </c>
      <c r="L3754" s="2" t="s">
        <v>10701</v>
      </c>
    </row>
    <row r="3755" customFormat="false" ht="15.65" hidden="false" customHeight="true" outlineLevel="0" collapsed="false">
      <c r="A3755" s="5" t="str">
        <f aca="false">HYPERLINK("https://www.fabsurplus.com/sdi_catalog/salesItemDetails.do?id=108597")</f>
        <v>https://www.fabsurplus.com/sdi_catalog/salesItemDetails.do?id=108597</v>
      </c>
      <c r="B3755" s="5" t="s">
        <v>10708</v>
      </c>
      <c r="C3755" s="5" t="s">
        <v>10698</v>
      </c>
      <c r="D3755" s="5" t="s">
        <v>10709</v>
      </c>
      <c r="E3755" s="5" t="s">
        <v>10704</v>
      </c>
      <c r="F3755" s="5" t="s">
        <v>16</v>
      </c>
      <c r="G3755" s="5" t="s">
        <v>1362</v>
      </c>
      <c r="H3755" s="5" t="s">
        <v>18</v>
      </c>
      <c r="I3755" s="6" t="n">
        <v>41030</v>
      </c>
      <c r="J3755" s="5" t="s">
        <v>19</v>
      </c>
      <c r="K3755" s="5" t="s">
        <v>20</v>
      </c>
      <c r="L3755" s="7" t="s">
        <v>10710</v>
      </c>
    </row>
    <row r="3756" customFormat="false" ht="15.65" hidden="false" customHeight="true" outlineLevel="0" collapsed="false">
      <c r="A3756" s="2" t="str">
        <f aca="false">HYPERLINK("https://www.fabsurplus.com/sdi_catalog/salesItemDetails.do?id=105873")</f>
        <v>https://www.fabsurplus.com/sdi_catalog/salesItemDetails.do?id=105873</v>
      </c>
      <c r="B3756" s="2" t="s">
        <v>10711</v>
      </c>
      <c r="C3756" s="2" t="s">
        <v>10712</v>
      </c>
      <c r="D3756" s="2" t="s">
        <v>9118</v>
      </c>
      <c r="E3756" s="2" t="s">
        <v>9111</v>
      </c>
      <c r="F3756" s="2" t="s">
        <v>151</v>
      </c>
      <c r="G3756" s="2" t="s">
        <v>97</v>
      </c>
      <c r="H3756" s="2" t="s">
        <v>1969</v>
      </c>
      <c r="I3756" s="2"/>
      <c r="J3756" s="2" t="s">
        <v>19</v>
      </c>
      <c r="K3756" s="2" t="s">
        <v>20</v>
      </c>
      <c r="L3756" s="2"/>
    </row>
    <row r="3757" customFormat="false" ht="15.65" hidden="false" customHeight="true" outlineLevel="0" collapsed="false">
      <c r="A3757" s="5" t="str">
        <f aca="false">HYPERLINK("https://www.fabsurplus.com/sdi_catalog/salesItemDetails.do?id=93409")</f>
        <v>https://www.fabsurplus.com/sdi_catalog/salesItemDetails.do?id=93409</v>
      </c>
      <c r="B3757" s="5" t="s">
        <v>10713</v>
      </c>
      <c r="C3757" s="5" t="s">
        <v>10714</v>
      </c>
      <c r="D3757" s="5" t="s">
        <v>10715</v>
      </c>
      <c r="E3757" s="5" t="s">
        <v>10715</v>
      </c>
      <c r="F3757" s="5" t="s">
        <v>16</v>
      </c>
      <c r="G3757" s="5"/>
      <c r="H3757" s="5" t="s">
        <v>275</v>
      </c>
      <c r="I3757" s="5"/>
      <c r="J3757" s="5" t="s">
        <v>19</v>
      </c>
      <c r="K3757" s="5"/>
      <c r="L3757" s="5"/>
    </row>
    <row r="3758" customFormat="false" ht="15.65" hidden="false" customHeight="true" outlineLevel="0" collapsed="false">
      <c r="A3758" s="2" t="str">
        <f aca="false">HYPERLINK("https://www.fabsurplus.com/sdi_catalog/salesItemDetails.do?id=76610")</f>
        <v>https://www.fabsurplus.com/sdi_catalog/salesItemDetails.do?id=76610</v>
      </c>
      <c r="B3758" s="2" t="s">
        <v>10716</v>
      </c>
      <c r="C3758" s="2" t="s">
        <v>10717</v>
      </c>
      <c r="D3758" s="2" t="s">
        <v>10718</v>
      </c>
      <c r="E3758" s="2" t="s">
        <v>10719</v>
      </c>
      <c r="F3758" s="2" t="s">
        <v>16</v>
      </c>
      <c r="G3758" s="2" t="s">
        <v>10720</v>
      </c>
      <c r="H3758" s="2" t="s">
        <v>18</v>
      </c>
      <c r="I3758" s="3" t="n">
        <v>35916</v>
      </c>
      <c r="J3758" s="2" t="s">
        <v>19</v>
      </c>
      <c r="K3758" s="2" t="s">
        <v>20</v>
      </c>
      <c r="L3758" s="4" t="s">
        <v>10721</v>
      </c>
    </row>
    <row r="3759" customFormat="false" ht="15.65" hidden="false" customHeight="true" outlineLevel="0" collapsed="false">
      <c r="A3759" s="5" t="str">
        <f aca="false">HYPERLINK("https://www.fabsurplus.com/sdi_catalog/salesItemDetails.do?id=76611")</f>
        <v>https://www.fabsurplus.com/sdi_catalog/salesItemDetails.do?id=76611</v>
      </c>
      <c r="B3759" s="5" t="s">
        <v>10722</v>
      </c>
      <c r="C3759" s="5" t="s">
        <v>10723</v>
      </c>
      <c r="D3759" s="5" t="s">
        <v>10724</v>
      </c>
      <c r="E3759" s="5" t="s">
        <v>10725</v>
      </c>
      <c r="F3759" s="5" t="s">
        <v>16</v>
      </c>
      <c r="G3759" s="5" t="s">
        <v>10720</v>
      </c>
      <c r="H3759" s="5" t="s">
        <v>18</v>
      </c>
      <c r="I3759" s="5"/>
      <c r="J3759" s="5" t="s">
        <v>19</v>
      </c>
      <c r="K3759" s="5" t="s">
        <v>20</v>
      </c>
      <c r="L3759" s="7" t="s">
        <v>10726</v>
      </c>
    </row>
    <row r="3760" customFormat="false" ht="15.65" hidden="false" customHeight="true" outlineLevel="0" collapsed="false">
      <c r="A3760" s="2" t="str">
        <f aca="false">HYPERLINK("https://www.fabsurplus.com/sdi_catalog/salesItemDetails.do?id=106741")</f>
        <v>https://www.fabsurplus.com/sdi_catalog/salesItemDetails.do?id=106741</v>
      </c>
      <c r="B3760" s="2" t="s">
        <v>10727</v>
      </c>
      <c r="C3760" s="2" t="s">
        <v>10728</v>
      </c>
      <c r="D3760" s="2" t="s">
        <v>10729</v>
      </c>
      <c r="E3760" s="2" t="s">
        <v>10730</v>
      </c>
      <c r="F3760" s="2" t="s">
        <v>16</v>
      </c>
      <c r="G3760" s="2" t="s">
        <v>61</v>
      </c>
      <c r="H3760" s="2"/>
      <c r="I3760" s="3" t="n">
        <v>38869</v>
      </c>
      <c r="J3760" s="2" t="s">
        <v>19</v>
      </c>
      <c r="K3760" s="2"/>
      <c r="L3760" s="2" t="s">
        <v>518</v>
      </c>
    </row>
    <row r="3761" customFormat="false" ht="15.65" hidden="false" customHeight="true" outlineLevel="0" collapsed="false">
      <c r="A3761" s="5" t="str">
        <f aca="false">HYPERLINK("https://www.fabsurplus.com/sdi_catalog/salesItemDetails.do?id=106533")</f>
        <v>https://www.fabsurplus.com/sdi_catalog/salesItemDetails.do?id=106533</v>
      </c>
      <c r="B3761" s="5" t="s">
        <v>10731</v>
      </c>
      <c r="C3761" s="5" t="s">
        <v>10732</v>
      </c>
      <c r="D3761" s="5" t="s">
        <v>10733</v>
      </c>
      <c r="E3761" s="5" t="s">
        <v>10734</v>
      </c>
      <c r="F3761" s="5" t="s">
        <v>16</v>
      </c>
      <c r="G3761" s="5" t="s">
        <v>1491</v>
      </c>
      <c r="H3761" s="5" t="s">
        <v>32</v>
      </c>
      <c r="I3761" s="6" t="n">
        <v>42156</v>
      </c>
      <c r="J3761" s="5" t="s">
        <v>19</v>
      </c>
      <c r="K3761" s="5" t="s">
        <v>20</v>
      </c>
      <c r="L3761" s="7" t="s">
        <v>10735</v>
      </c>
    </row>
    <row r="3762" customFormat="false" ht="15.65" hidden="false" customHeight="true" outlineLevel="0" collapsed="false">
      <c r="A3762" s="2" t="str">
        <f aca="false">HYPERLINK("https://www.fabsurplus.com/sdi_catalog/salesItemDetails.do?id=97080")</f>
        <v>https://www.fabsurplus.com/sdi_catalog/salesItemDetails.do?id=97080</v>
      </c>
      <c r="B3762" s="2" t="s">
        <v>10736</v>
      </c>
      <c r="C3762" s="2" t="s">
        <v>10737</v>
      </c>
      <c r="D3762" s="2" t="s">
        <v>10738</v>
      </c>
      <c r="E3762" s="2" t="s">
        <v>10739</v>
      </c>
      <c r="F3762" s="2" t="s">
        <v>16</v>
      </c>
      <c r="G3762" s="2"/>
      <c r="H3762" s="2" t="s">
        <v>453</v>
      </c>
      <c r="I3762" s="3" t="n">
        <v>41703.6422222222</v>
      </c>
      <c r="J3762" s="2" t="s">
        <v>42</v>
      </c>
      <c r="K3762" s="2"/>
      <c r="L3762" s="2"/>
    </row>
    <row r="3763" customFormat="false" ht="15.65" hidden="false" customHeight="true" outlineLevel="0" collapsed="false">
      <c r="A3763" s="5" t="str">
        <f aca="false">HYPERLINK("https://www.fabsurplus.com/sdi_catalog/salesItemDetails.do?id=106878")</f>
        <v>https://www.fabsurplus.com/sdi_catalog/salesItemDetails.do?id=106878</v>
      </c>
      <c r="B3763" s="5" t="s">
        <v>10740</v>
      </c>
      <c r="C3763" s="5" t="s">
        <v>10737</v>
      </c>
      <c r="D3763" s="5" t="s">
        <v>10741</v>
      </c>
      <c r="E3763" s="5" t="s">
        <v>10742</v>
      </c>
      <c r="F3763" s="5" t="s">
        <v>86</v>
      </c>
      <c r="G3763" s="5" t="s">
        <v>31</v>
      </c>
      <c r="H3763" s="5" t="s">
        <v>18</v>
      </c>
      <c r="I3763" s="6" t="n">
        <v>42156</v>
      </c>
      <c r="J3763" s="5" t="s">
        <v>19</v>
      </c>
      <c r="K3763" s="5" t="s">
        <v>20</v>
      </c>
      <c r="L3763" s="7" t="s">
        <v>10743</v>
      </c>
    </row>
    <row r="3764" customFormat="false" ht="15.65" hidden="false" customHeight="true" outlineLevel="0" collapsed="false">
      <c r="A3764" s="2" t="str">
        <f aca="false">HYPERLINK("https://www.fabsurplus.com/sdi_catalog/salesItemDetails.do?id=108206")</f>
        <v>https://www.fabsurplus.com/sdi_catalog/salesItemDetails.do?id=108206</v>
      </c>
      <c r="B3764" s="2" t="s">
        <v>10744</v>
      </c>
      <c r="C3764" s="2" t="s">
        <v>10745</v>
      </c>
      <c r="D3764" s="2" t="s">
        <v>10746</v>
      </c>
      <c r="E3764" s="2" t="s">
        <v>10746</v>
      </c>
      <c r="F3764" s="2" t="s">
        <v>16</v>
      </c>
      <c r="G3764" s="2"/>
      <c r="H3764" s="2"/>
      <c r="I3764" s="2"/>
      <c r="J3764" s="2" t="s">
        <v>19</v>
      </c>
      <c r="K3764" s="2"/>
      <c r="L3764" s="2" t="s">
        <v>1480</v>
      </c>
    </row>
    <row r="3765" customFormat="false" ht="15.65" hidden="false" customHeight="true" outlineLevel="0" collapsed="false">
      <c r="A3765" s="5" t="str">
        <f aca="false">HYPERLINK("https://www.fabsurplus.com/sdi_catalog/salesItemDetails.do?id=84237")</f>
        <v>https://www.fabsurplus.com/sdi_catalog/salesItemDetails.do?id=84237</v>
      </c>
      <c r="B3765" s="5" t="s">
        <v>10747</v>
      </c>
      <c r="C3765" s="5" t="s">
        <v>10748</v>
      </c>
      <c r="D3765" s="5" t="s">
        <v>10749</v>
      </c>
      <c r="E3765" s="5" t="s">
        <v>10750</v>
      </c>
      <c r="F3765" s="5" t="s">
        <v>16</v>
      </c>
      <c r="G3765" s="5" t="s">
        <v>104</v>
      </c>
      <c r="H3765" s="5" t="s">
        <v>32</v>
      </c>
      <c r="I3765" s="5"/>
      <c r="J3765" s="5" t="s">
        <v>19</v>
      </c>
      <c r="K3765" s="5" t="s">
        <v>20</v>
      </c>
      <c r="L3765" s="5" t="s">
        <v>10751</v>
      </c>
    </row>
    <row r="3766" customFormat="false" ht="15.65" hidden="false" customHeight="true" outlineLevel="0" collapsed="false">
      <c r="A3766" s="2" t="str">
        <f aca="false">HYPERLINK("https://www.fabsurplus.com/sdi_catalog/salesItemDetails.do?id=84225")</f>
        <v>https://www.fabsurplus.com/sdi_catalog/salesItemDetails.do?id=84225</v>
      </c>
      <c r="B3766" s="2" t="s">
        <v>10752</v>
      </c>
      <c r="C3766" s="2" t="s">
        <v>10753</v>
      </c>
      <c r="D3766" s="2" t="s">
        <v>10754</v>
      </c>
      <c r="E3766" s="2" t="s">
        <v>10755</v>
      </c>
      <c r="F3766" s="2" t="s">
        <v>16</v>
      </c>
      <c r="G3766" s="2" t="s">
        <v>104</v>
      </c>
      <c r="H3766" s="2" t="s">
        <v>1395</v>
      </c>
      <c r="I3766" s="2"/>
      <c r="J3766" s="2" t="s">
        <v>19</v>
      </c>
      <c r="K3766" s="2" t="s">
        <v>20</v>
      </c>
      <c r="L3766" s="4" t="s">
        <v>10756</v>
      </c>
    </row>
    <row r="3767" customFormat="false" ht="15.65" hidden="false" customHeight="true" outlineLevel="0" collapsed="false">
      <c r="A3767" s="5" t="str">
        <f aca="false">HYPERLINK("https://www.fabsurplus.com/sdi_catalog/salesItemDetails.do?id=84236")</f>
        <v>https://www.fabsurplus.com/sdi_catalog/salesItemDetails.do?id=84236</v>
      </c>
      <c r="B3767" s="5" t="s">
        <v>10757</v>
      </c>
      <c r="C3767" s="5" t="s">
        <v>10753</v>
      </c>
      <c r="D3767" s="5" t="s">
        <v>10758</v>
      </c>
      <c r="E3767" s="5" t="s">
        <v>10759</v>
      </c>
      <c r="F3767" s="5" t="s">
        <v>16</v>
      </c>
      <c r="G3767" s="5" t="s">
        <v>104</v>
      </c>
      <c r="H3767" s="5" t="s">
        <v>32</v>
      </c>
      <c r="I3767" s="5"/>
      <c r="J3767" s="5" t="s">
        <v>19</v>
      </c>
      <c r="K3767" s="5" t="s">
        <v>20</v>
      </c>
      <c r="L3767" s="5" t="s">
        <v>10760</v>
      </c>
    </row>
    <row r="3768" customFormat="false" ht="15.65" hidden="false" customHeight="true" outlineLevel="0" collapsed="false">
      <c r="A3768" s="2" t="str">
        <f aca="false">HYPERLINK("https://www.fabsurplus.com/sdi_catalog/salesItemDetails.do?id=84256")</f>
        <v>https://www.fabsurplus.com/sdi_catalog/salesItemDetails.do?id=84256</v>
      </c>
      <c r="B3768" s="2" t="s">
        <v>10761</v>
      </c>
      <c r="C3768" s="2" t="s">
        <v>10753</v>
      </c>
      <c r="D3768" s="2" t="s">
        <v>10762</v>
      </c>
      <c r="E3768" s="2" t="s">
        <v>10763</v>
      </c>
      <c r="F3768" s="2" t="s">
        <v>16</v>
      </c>
      <c r="G3768" s="2"/>
      <c r="H3768" s="2" t="s">
        <v>1395</v>
      </c>
      <c r="I3768" s="3" t="n">
        <v>34366</v>
      </c>
      <c r="J3768" s="2" t="s">
        <v>19</v>
      </c>
      <c r="K3768" s="2" t="s">
        <v>20</v>
      </c>
      <c r="L3768" s="4" t="s">
        <v>10764</v>
      </c>
    </row>
    <row r="3769" customFormat="false" ht="15.65" hidden="false" customHeight="true" outlineLevel="0" collapsed="false">
      <c r="A3769" s="5" t="str">
        <f aca="false">HYPERLINK("https://www.fabsurplus.com/sdi_catalog/salesItemDetails.do?id=84259")</f>
        <v>https://www.fabsurplus.com/sdi_catalog/salesItemDetails.do?id=84259</v>
      </c>
      <c r="B3769" s="5" t="s">
        <v>10765</v>
      </c>
      <c r="C3769" s="5" t="s">
        <v>10753</v>
      </c>
      <c r="D3769" s="5" t="s">
        <v>10766</v>
      </c>
      <c r="E3769" s="5" t="s">
        <v>7728</v>
      </c>
      <c r="F3769" s="5" t="s">
        <v>16</v>
      </c>
      <c r="G3769" s="5"/>
      <c r="H3769" s="5" t="s">
        <v>1395</v>
      </c>
      <c r="I3769" s="5"/>
      <c r="J3769" s="5" t="s">
        <v>19</v>
      </c>
      <c r="K3769" s="5" t="s">
        <v>20</v>
      </c>
      <c r="L3769" s="5"/>
    </row>
    <row r="3770" customFormat="false" ht="15.65" hidden="false" customHeight="true" outlineLevel="0" collapsed="false">
      <c r="A3770" s="2" t="str">
        <f aca="false">HYPERLINK("https://www.fabsurplus.com/sdi_catalog/salesItemDetails.do?id=84262")</f>
        <v>https://www.fabsurplus.com/sdi_catalog/salesItemDetails.do?id=84262</v>
      </c>
      <c r="B3770" s="2" t="s">
        <v>10767</v>
      </c>
      <c r="C3770" s="2" t="s">
        <v>10753</v>
      </c>
      <c r="D3770" s="2" t="s">
        <v>10768</v>
      </c>
      <c r="E3770" s="2" t="s">
        <v>7728</v>
      </c>
      <c r="F3770" s="2" t="s">
        <v>86</v>
      </c>
      <c r="G3770" s="2"/>
      <c r="H3770" s="2" t="s">
        <v>32</v>
      </c>
      <c r="I3770" s="2"/>
      <c r="J3770" s="2" t="s">
        <v>19</v>
      </c>
      <c r="K3770" s="2" t="s">
        <v>20</v>
      </c>
      <c r="L3770" s="4" t="s">
        <v>10769</v>
      </c>
    </row>
    <row r="3771" customFormat="false" ht="15.65" hidden="false" customHeight="true" outlineLevel="0" collapsed="false">
      <c r="A3771" s="5" t="str">
        <f aca="false">HYPERLINK("https://www.fabsurplus.com/sdi_catalog/salesItemDetails.do?id=84263")</f>
        <v>https://www.fabsurplus.com/sdi_catalog/salesItemDetails.do?id=84263</v>
      </c>
      <c r="B3771" s="5" t="s">
        <v>10770</v>
      </c>
      <c r="C3771" s="5" t="s">
        <v>10753</v>
      </c>
      <c r="D3771" s="5" t="s">
        <v>10771</v>
      </c>
      <c r="E3771" s="5" t="s">
        <v>7728</v>
      </c>
      <c r="F3771" s="5" t="s">
        <v>151</v>
      </c>
      <c r="G3771" s="5"/>
      <c r="H3771" s="5" t="s">
        <v>32</v>
      </c>
      <c r="I3771" s="5"/>
      <c r="J3771" s="5" t="s">
        <v>19</v>
      </c>
      <c r="K3771" s="5" t="s">
        <v>20</v>
      </c>
      <c r="L3771" s="7" t="s">
        <v>10772</v>
      </c>
    </row>
    <row r="3772" customFormat="false" ht="15.65" hidden="false" customHeight="true" outlineLevel="0" collapsed="false">
      <c r="A3772" s="2" t="str">
        <f aca="false">HYPERLINK("https://www.fabsurplus.com/sdi_catalog/salesItemDetails.do?id=84264")</f>
        <v>https://www.fabsurplus.com/sdi_catalog/salesItemDetails.do?id=84264</v>
      </c>
      <c r="B3772" s="2" t="s">
        <v>10773</v>
      </c>
      <c r="C3772" s="2" t="s">
        <v>10753</v>
      </c>
      <c r="D3772" s="2" t="s">
        <v>10766</v>
      </c>
      <c r="E3772" s="2" t="s">
        <v>7728</v>
      </c>
      <c r="F3772" s="2" t="s">
        <v>16</v>
      </c>
      <c r="G3772" s="2"/>
      <c r="H3772" s="2" t="s">
        <v>32</v>
      </c>
      <c r="I3772" s="2"/>
      <c r="J3772" s="2" t="s">
        <v>19</v>
      </c>
      <c r="K3772" s="2" t="s">
        <v>20</v>
      </c>
      <c r="L3772" s="4" t="s">
        <v>10774</v>
      </c>
    </row>
    <row r="3773" customFormat="false" ht="15.65" hidden="false" customHeight="true" outlineLevel="0" collapsed="false">
      <c r="A3773" s="5" t="str">
        <f aca="false">HYPERLINK("https://www.fabsurplus.com/sdi_catalog/salesItemDetails.do?id=84267")</f>
        <v>https://www.fabsurplus.com/sdi_catalog/salesItemDetails.do?id=84267</v>
      </c>
      <c r="B3773" s="5" t="s">
        <v>10775</v>
      </c>
      <c r="C3773" s="5" t="s">
        <v>10753</v>
      </c>
      <c r="D3773" s="5" t="s">
        <v>10776</v>
      </c>
      <c r="E3773" s="5" t="s">
        <v>7728</v>
      </c>
      <c r="F3773" s="5" t="s">
        <v>16</v>
      </c>
      <c r="G3773" s="5"/>
      <c r="H3773" s="5" t="s">
        <v>18</v>
      </c>
      <c r="I3773" s="5"/>
      <c r="J3773" s="5" t="s">
        <v>19</v>
      </c>
      <c r="K3773" s="5" t="s">
        <v>20</v>
      </c>
      <c r="L3773" s="7" t="s">
        <v>10777</v>
      </c>
    </row>
    <row r="3774" customFormat="false" ht="15.65" hidden="false" customHeight="true" outlineLevel="0" collapsed="false">
      <c r="A3774" s="2" t="str">
        <f aca="false">HYPERLINK("https://www.fabsurplus.com/sdi_catalog/salesItemDetails.do?id=84268")</f>
        <v>https://www.fabsurplus.com/sdi_catalog/salesItemDetails.do?id=84268</v>
      </c>
      <c r="B3774" s="2" t="s">
        <v>10778</v>
      </c>
      <c r="C3774" s="2" t="s">
        <v>10753</v>
      </c>
      <c r="D3774" s="2" t="s">
        <v>10779</v>
      </c>
      <c r="E3774" s="2" t="s">
        <v>7728</v>
      </c>
      <c r="F3774" s="2" t="s">
        <v>16</v>
      </c>
      <c r="G3774" s="2"/>
      <c r="H3774" s="2" t="s">
        <v>18</v>
      </c>
      <c r="I3774" s="2"/>
      <c r="J3774" s="2" t="s">
        <v>19</v>
      </c>
      <c r="K3774" s="2" t="s">
        <v>20</v>
      </c>
      <c r="L3774" s="4" t="s">
        <v>10780</v>
      </c>
    </row>
    <row r="3775" customFormat="false" ht="15.65" hidden="false" customHeight="true" outlineLevel="0" collapsed="false">
      <c r="A3775" s="5" t="str">
        <f aca="false">HYPERLINK("https://www.fabsurplus.com/sdi_catalog/salesItemDetails.do?id=84269")</f>
        <v>https://www.fabsurplus.com/sdi_catalog/salesItemDetails.do?id=84269</v>
      </c>
      <c r="B3775" s="5" t="s">
        <v>10781</v>
      </c>
      <c r="C3775" s="5" t="s">
        <v>10753</v>
      </c>
      <c r="D3775" s="5" t="s">
        <v>10782</v>
      </c>
      <c r="E3775" s="5" t="s">
        <v>7728</v>
      </c>
      <c r="F3775" s="5" t="s">
        <v>16</v>
      </c>
      <c r="G3775" s="5"/>
      <c r="H3775" s="5" t="s">
        <v>18</v>
      </c>
      <c r="I3775" s="5"/>
      <c r="J3775" s="5" t="s">
        <v>19</v>
      </c>
      <c r="K3775" s="5" t="s">
        <v>20</v>
      </c>
      <c r="L3775" s="7" t="s">
        <v>10783</v>
      </c>
    </row>
    <row r="3776" customFormat="false" ht="15.65" hidden="false" customHeight="true" outlineLevel="0" collapsed="false">
      <c r="A3776" s="2" t="str">
        <f aca="false">HYPERLINK("https://www.fabsurplus.com/sdi_catalog/salesItemDetails.do?id=83547")</f>
        <v>https://www.fabsurplus.com/sdi_catalog/salesItemDetails.do?id=83547</v>
      </c>
      <c r="B3776" s="2" t="s">
        <v>10784</v>
      </c>
      <c r="C3776" s="2" t="s">
        <v>10753</v>
      </c>
      <c r="D3776" s="2" t="s">
        <v>10785</v>
      </c>
      <c r="E3776" s="2" t="s">
        <v>10786</v>
      </c>
      <c r="F3776" s="2" t="s">
        <v>16</v>
      </c>
      <c r="G3776" s="2"/>
      <c r="H3776" s="2" t="s">
        <v>1395</v>
      </c>
      <c r="I3776" s="3" t="n">
        <v>39448</v>
      </c>
      <c r="J3776" s="2" t="s">
        <v>19</v>
      </c>
      <c r="K3776" s="2" t="s">
        <v>20</v>
      </c>
      <c r="L3776" s="4" t="s">
        <v>10787</v>
      </c>
    </row>
    <row r="3777" customFormat="false" ht="15.65" hidden="false" customHeight="true" outlineLevel="0" collapsed="false">
      <c r="A3777" s="5" t="str">
        <f aca="false">HYPERLINK("https://www.fabsurplus.com/sdi_catalog/salesItemDetails.do?id=77152")</f>
        <v>https://www.fabsurplus.com/sdi_catalog/salesItemDetails.do?id=77152</v>
      </c>
      <c r="B3777" s="5" t="s">
        <v>10788</v>
      </c>
      <c r="C3777" s="5" t="s">
        <v>10753</v>
      </c>
      <c r="D3777" s="5" t="s">
        <v>10789</v>
      </c>
      <c r="E3777" s="5" t="s">
        <v>10790</v>
      </c>
      <c r="F3777" s="5" t="s">
        <v>16</v>
      </c>
      <c r="G3777" s="5"/>
      <c r="H3777" s="5" t="s">
        <v>1395</v>
      </c>
      <c r="I3777" s="6" t="n">
        <v>39448</v>
      </c>
      <c r="J3777" s="5" t="s">
        <v>19</v>
      </c>
      <c r="K3777" s="5" t="s">
        <v>20</v>
      </c>
      <c r="L3777" s="5" t="s">
        <v>10791</v>
      </c>
    </row>
    <row r="3778" customFormat="false" ht="15.65" hidden="false" customHeight="true" outlineLevel="0" collapsed="false">
      <c r="A3778" s="2" t="str">
        <f aca="false">HYPERLINK("https://www.fabsurplus.com/sdi_catalog/salesItemDetails.do?id=77157")</f>
        <v>https://www.fabsurplus.com/sdi_catalog/salesItemDetails.do?id=77157</v>
      </c>
      <c r="B3778" s="2" t="s">
        <v>10792</v>
      </c>
      <c r="C3778" s="2" t="s">
        <v>10753</v>
      </c>
      <c r="D3778" s="2" t="s">
        <v>10793</v>
      </c>
      <c r="E3778" s="2" t="s">
        <v>10794</v>
      </c>
      <c r="F3778" s="2" t="s">
        <v>16</v>
      </c>
      <c r="G3778" s="2" t="s">
        <v>104</v>
      </c>
      <c r="H3778" s="2" t="s">
        <v>1969</v>
      </c>
      <c r="I3778" s="2"/>
      <c r="J3778" s="2" t="s">
        <v>19</v>
      </c>
      <c r="K3778" s="2" t="s">
        <v>20</v>
      </c>
      <c r="L3778" s="4" t="s">
        <v>10795</v>
      </c>
    </row>
    <row r="3779" customFormat="false" ht="15.65" hidden="false" customHeight="true" outlineLevel="0" collapsed="false">
      <c r="A3779" s="5" t="str">
        <f aca="false">HYPERLINK("https://www.fabsurplus.com/sdi_catalog/salesItemDetails.do?id=77163")</f>
        <v>https://www.fabsurplus.com/sdi_catalog/salesItemDetails.do?id=77163</v>
      </c>
      <c r="B3779" s="5" t="s">
        <v>10796</v>
      </c>
      <c r="C3779" s="5" t="s">
        <v>10753</v>
      </c>
      <c r="D3779" s="5" t="s">
        <v>10797</v>
      </c>
      <c r="E3779" s="5" t="s">
        <v>10798</v>
      </c>
      <c r="F3779" s="5" t="s">
        <v>16</v>
      </c>
      <c r="G3779" s="5" t="s">
        <v>104</v>
      </c>
      <c r="H3779" s="5" t="s">
        <v>1395</v>
      </c>
      <c r="I3779" s="5"/>
      <c r="J3779" s="5" t="s">
        <v>19</v>
      </c>
      <c r="K3779" s="5" t="s">
        <v>20</v>
      </c>
      <c r="L3779" s="7" t="s">
        <v>10799</v>
      </c>
    </row>
    <row r="3780" customFormat="false" ht="15.65" hidden="false" customHeight="true" outlineLevel="0" collapsed="false">
      <c r="A3780" s="2" t="str">
        <f aca="false">HYPERLINK("https://www.fabsurplus.com/sdi_catalog/salesItemDetails.do?id=84079")</f>
        <v>https://www.fabsurplus.com/sdi_catalog/salesItemDetails.do?id=84079</v>
      </c>
      <c r="B3780" s="2" t="s">
        <v>10800</v>
      </c>
      <c r="C3780" s="2" t="s">
        <v>10753</v>
      </c>
      <c r="D3780" s="2" t="s">
        <v>10801</v>
      </c>
      <c r="E3780" s="2" t="s">
        <v>10802</v>
      </c>
      <c r="F3780" s="2" t="s">
        <v>151</v>
      </c>
      <c r="G3780" s="2"/>
      <c r="H3780" s="2" t="s">
        <v>1395</v>
      </c>
      <c r="I3780" s="3" t="n">
        <v>34516</v>
      </c>
      <c r="J3780" s="2" t="s">
        <v>19</v>
      </c>
      <c r="K3780" s="2"/>
      <c r="L3780" s="4" t="s">
        <v>10803</v>
      </c>
    </row>
    <row r="3781" customFormat="false" ht="15.65" hidden="false" customHeight="true" outlineLevel="0" collapsed="false">
      <c r="A3781" s="5" t="str">
        <f aca="false">HYPERLINK("https://www.fabsurplus.com/sdi_catalog/salesItemDetails.do?id=105839")</f>
        <v>https://www.fabsurplus.com/sdi_catalog/salesItemDetails.do?id=105839</v>
      </c>
      <c r="B3781" s="5" t="s">
        <v>10804</v>
      </c>
      <c r="C3781" s="5" t="s">
        <v>10753</v>
      </c>
      <c r="D3781" s="5" t="s">
        <v>10805</v>
      </c>
      <c r="E3781" s="5" t="s">
        <v>10806</v>
      </c>
      <c r="F3781" s="5" t="s">
        <v>16</v>
      </c>
      <c r="G3781" s="5" t="s">
        <v>1272</v>
      </c>
      <c r="H3781" s="5" t="s">
        <v>32</v>
      </c>
      <c r="I3781" s="5"/>
      <c r="J3781" s="5" t="s">
        <v>19</v>
      </c>
      <c r="K3781" s="5" t="s">
        <v>20</v>
      </c>
      <c r="L3781" s="7" t="s">
        <v>10807</v>
      </c>
    </row>
    <row r="3782" customFormat="false" ht="15.65" hidden="false" customHeight="true" outlineLevel="0" collapsed="false">
      <c r="A3782" s="2" t="str">
        <f aca="false">HYPERLINK("https://www.fabsurplus.com/sdi_catalog/salesItemDetails.do?id=83839")</f>
        <v>https://www.fabsurplus.com/sdi_catalog/salesItemDetails.do?id=83839</v>
      </c>
      <c r="B3782" s="2" t="s">
        <v>10808</v>
      </c>
      <c r="C3782" s="2" t="s">
        <v>10753</v>
      </c>
      <c r="D3782" s="2" t="s">
        <v>10809</v>
      </c>
      <c r="E3782" s="2" t="s">
        <v>10810</v>
      </c>
      <c r="F3782" s="2" t="s">
        <v>86</v>
      </c>
      <c r="G3782" s="2" t="s">
        <v>104</v>
      </c>
      <c r="H3782" s="2" t="s">
        <v>1969</v>
      </c>
      <c r="I3782" s="2"/>
      <c r="J3782" s="2" t="s">
        <v>19</v>
      </c>
      <c r="K3782" s="2" t="s">
        <v>20</v>
      </c>
      <c r="L3782" s="4" t="s">
        <v>10811</v>
      </c>
    </row>
    <row r="3783" customFormat="false" ht="15.65" hidden="false" customHeight="true" outlineLevel="0" collapsed="false">
      <c r="A3783" s="5" t="str">
        <f aca="false">HYPERLINK("https://www.fabsurplus.com/sdi_catalog/salesItemDetails.do?id=83840")</f>
        <v>https://www.fabsurplus.com/sdi_catalog/salesItemDetails.do?id=83840</v>
      </c>
      <c r="B3783" s="5" t="s">
        <v>10812</v>
      </c>
      <c r="C3783" s="5" t="s">
        <v>10753</v>
      </c>
      <c r="D3783" s="5" t="s">
        <v>10813</v>
      </c>
      <c r="E3783" s="5" t="s">
        <v>10814</v>
      </c>
      <c r="F3783" s="5" t="s">
        <v>86</v>
      </c>
      <c r="G3783" s="5" t="s">
        <v>104</v>
      </c>
      <c r="H3783" s="5" t="s">
        <v>1969</v>
      </c>
      <c r="I3783" s="5"/>
      <c r="J3783" s="5" t="s">
        <v>19</v>
      </c>
      <c r="K3783" s="5" t="s">
        <v>20</v>
      </c>
      <c r="L3783" s="7" t="s">
        <v>10815</v>
      </c>
    </row>
    <row r="3784" customFormat="false" ht="15.65" hidden="false" customHeight="true" outlineLevel="0" collapsed="false">
      <c r="A3784" s="2" t="str">
        <f aca="false">HYPERLINK("https://www.fabsurplus.com/sdi_catalog/salesItemDetails.do?id=83842")</f>
        <v>https://www.fabsurplus.com/sdi_catalog/salesItemDetails.do?id=83842</v>
      </c>
      <c r="B3784" s="2" t="s">
        <v>10816</v>
      </c>
      <c r="C3784" s="2" t="s">
        <v>10753</v>
      </c>
      <c r="D3784" s="2" t="s">
        <v>10817</v>
      </c>
      <c r="E3784" s="2" t="s">
        <v>10818</v>
      </c>
      <c r="F3784" s="2" t="s">
        <v>145</v>
      </c>
      <c r="G3784" s="2" t="s">
        <v>104</v>
      </c>
      <c r="H3784" s="2" t="s">
        <v>1969</v>
      </c>
      <c r="I3784" s="2"/>
      <c r="J3784" s="2" t="s">
        <v>19</v>
      </c>
      <c r="K3784" s="2" t="s">
        <v>20</v>
      </c>
      <c r="L3784" s="4" t="s">
        <v>10819</v>
      </c>
    </row>
    <row r="3785" customFormat="false" ht="15.65" hidden="false" customHeight="true" outlineLevel="0" collapsed="false">
      <c r="A3785" s="5" t="str">
        <f aca="false">HYPERLINK("https://www.fabsurplus.com/sdi_catalog/salesItemDetails.do?id=83843")</f>
        <v>https://www.fabsurplus.com/sdi_catalog/salesItemDetails.do?id=83843</v>
      </c>
      <c r="B3785" s="5" t="s">
        <v>10820</v>
      </c>
      <c r="C3785" s="5" t="s">
        <v>10753</v>
      </c>
      <c r="D3785" s="5" t="s">
        <v>10821</v>
      </c>
      <c r="E3785" s="5" t="s">
        <v>10822</v>
      </c>
      <c r="F3785" s="5" t="s">
        <v>86</v>
      </c>
      <c r="G3785" s="5" t="s">
        <v>104</v>
      </c>
      <c r="H3785" s="5" t="s">
        <v>18</v>
      </c>
      <c r="I3785" s="5"/>
      <c r="J3785" s="5" t="s">
        <v>19</v>
      </c>
      <c r="K3785" s="5" t="s">
        <v>20</v>
      </c>
      <c r="L3785" s="7" t="s">
        <v>10823</v>
      </c>
    </row>
    <row r="3786" customFormat="false" ht="15.65" hidden="false" customHeight="true" outlineLevel="0" collapsed="false">
      <c r="A3786" s="2" t="str">
        <f aca="false">HYPERLINK("https://www.fabsurplus.com/sdi_catalog/salesItemDetails.do?id=83844")</f>
        <v>https://www.fabsurplus.com/sdi_catalog/salesItemDetails.do?id=83844</v>
      </c>
      <c r="B3786" s="2" t="s">
        <v>10824</v>
      </c>
      <c r="C3786" s="2" t="s">
        <v>10753</v>
      </c>
      <c r="D3786" s="2" t="s">
        <v>10825</v>
      </c>
      <c r="E3786" s="2" t="s">
        <v>10826</v>
      </c>
      <c r="F3786" s="2" t="s">
        <v>151</v>
      </c>
      <c r="G3786" s="2" t="s">
        <v>104</v>
      </c>
      <c r="H3786" s="2" t="s">
        <v>1969</v>
      </c>
      <c r="I3786" s="2"/>
      <c r="J3786" s="2" t="s">
        <v>19</v>
      </c>
      <c r="K3786" s="2" t="s">
        <v>20</v>
      </c>
      <c r="L3786" s="4" t="s">
        <v>10827</v>
      </c>
    </row>
    <row r="3787" customFormat="false" ht="15.65" hidden="false" customHeight="true" outlineLevel="0" collapsed="false">
      <c r="A3787" s="5" t="str">
        <f aca="false">HYPERLINK("https://www.fabsurplus.com/sdi_catalog/salesItemDetails.do?id=83845")</f>
        <v>https://www.fabsurplus.com/sdi_catalog/salesItemDetails.do?id=83845</v>
      </c>
      <c r="B3787" s="5" t="s">
        <v>10828</v>
      </c>
      <c r="C3787" s="5" t="s">
        <v>10753</v>
      </c>
      <c r="D3787" s="5" t="s">
        <v>10829</v>
      </c>
      <c r="E3787" s="5" t="s">
        <v>10810</v>
      </c>
      <c r="F3787" s="5" t="s">
        <v>16</v>
      </c>
      <c r="G3787" s="5" t="s">
        <v>104</v>
      </c>
      <c r="H3787" s="5" t="s">
        <v>18</v>
      </c>
      <c r="I3787" s="5"/>
      <c r="J3787" s="5" t="s">
        <v>19</v>
      </c>
      <c r="K3787" s="5" t="s">
        <v>20</v>
      </c>
      <c r="L3787" s="7" t="s">
        <v>10830</v>
      </c>
    </row>
    <row r="3788" customFormat="false" ht="15.65" hidden="false" customHeight="true" outlineLevel="0" collapsed="false">
      <c r="A3788" s="2" t="str">
        <f aca="false">HYPERLINK("https://www.fabsurplus.com/sdi_catalog/salesItemDetails.do?id=83867")</f>
        <v>https://www.fabsurplus.com/sdi_catalog/salesItemDetails.do?id=83867</v>
      </c>
      <c r="B3788" s="2" t="s">
        <v>10831</v>
      </c>
      <c r="C3788" s="2" t="s">
        <v>10753</v>
      </c>
      <c r="D3788" s="2" t="s">
        <v>10832</v>
      </c>
      <c r="E3788" s="2" t="s">
        <v>10833</v>
      </c>
      <c r="F3788" s="2" t="s">
        <v>16</v>
      </c>
      <c r="G3788" s="2" t="s">
        <v>165</v>
      </c>
      <c r="H3788" s="2" t="s">
        <v>98</v>
      </c>
      <c r="I3788" s="2"/>
      <c r="J3788" s="2" t="s">
        <v>19</v>
      </c>
      <c r="K3788" s="2" t="s">
        <v>20</v>
      </c>
      <c r="L3788" s="4" t="s">
        <v>10834</v>
      </c>
    </row>
    <row r="3789" customFormat="false" ht="15.65" hidden="false" customHeight="true" outlineLevel="0" collapsed="false">
      <c r="A3789" s="5" t="str">
        <f aca="false">HYPERLINK("https://www.fabsurplus.com/sdi_catalog/salesItemDetails.do?id=83612")</f>
        <v>https://www.fabsurplus.com/sdi_catalog/salesItemDetails.do?id=83612</v>
      </c>
      <c r="B3789" s="5" t="s">
        <v>10835</v>
      </c>
      <c r="C3789" s="5" t="s">
        <v>10753</v>
      </c>
      <c r="D3789" s="5" t="s">
        <v>10797</v>
      </c>
      <c r="E3789" s="5" t="s">
        <v>10798</v>
      </c>
      <c r="F3789" s="5" t="s">
        <v>16</v>
      </c>
      <c r="G3789" s="5" t="s">
        <v>104</v>
      </c>
      <c r="H3789" s="5" t="s">
        <v>32</v>
      </c>
      <c r="I3789" s="5"/>
      <c r="J3789" s="5" t="s">
        <v>19</v>
      </c>
      <c r="K3789" s="5" t="s">
        <v>20</v>
      </c>
      <c r="L3789" s="7" t="s">
        <v>10836</v>
      </c>
    </row>
    <row r="3790" customFormat="false" ht="15.65" hidden="false" customHeight="true" outlineLevel="0" collapsed="false">
      <c r="A3790" s="2" t="str">
        <f aca="false">HYPERLINK("https://www.fabsurplus.com/sdi_catalog/salesItemDetails.do?id=83868")</f>
        <v>https://www.fabsurplus.com/sdi_catalog/salesItemDetails.do?id=83868</v>
      </c>
      <c r="B3790" s="2" t="s">
        <v>10837</v>
      </c>
      <c r="C3790" s="2" t="s">
        <v>10753</v>
      </c>
      <c r="D3790" s="2" t="s">
        <v>10838</v>
      </c>
      <c r="E3790" s="2" t="s">
        <v>10839</v>
      </c>
      <c r="F3790" s="2" t="s">
        <v>16</v>
      </c>
      <c r="G3790" s="2" t="s">
        <v>165</v>
      </c>
      <c r="H3790" s="2" t="s">
        <v>98</v>
      </c>
      <c r="I3790" s="2"/>
      <c r="J3790" s="2" t="s">
        <v>19</v>
      </c>
      <c r="K3790" s="2" t="s">
        <v>20</v>
      </c>
      <c r="L3790" s="4" t="s">
        <v>10840</v>
      </c>
    </row>
    <row r="3791" customFormat="false" ht="15.65" hidden="false" customHeight="true" outlineLevel="0" collapsed="false">
      <c r="A3791" s="5" t="str">
        <f aca="false">HYPERLINK("https://www.fabsurplus.com/sdi_catalog/salesItemDetails.do?id=83869")</f>
        <v>https://www.fabsurplus.com/sdi_catalog/salesItemDetails.do?id=83869</v>
      </c>
      <c r="B3791" s="5" t="s">
        <v>10841</v>
      </c>
      <c r="C3791" s="5" t="s">
        <v>10753</v>
      </c>
      <c r="D3791" s="5" t="s">
        <v>10842</v>
      </c>
      <c r="E3791" s="5" t="s">
        <v>10843</v>
      </c>
      <c r="F3791" s="5" t="s">
        <v>16</v>
      </c>
      <c r="G3791" s="5" t="s">
        <v>165</v>
      </c>
      <c r="H3791" s="5" t="s">
        <v>98</v>
      </c>
      <c r="I3791" s="5"/>
      <c r="J3791" s="5" t="s">
        <v>19</v>
      </c>
      <c r="K3791" s="5" t="s">
        <v>20</v>
      </c>
      <c r="L3791" s="7" t="s">
        <v>10844</v>
      </c>
    </row>
    <row r="3792" customFormat="false" ht="15.65" hidden="false" customHeight="true" outlineLevel="0" collapsed="false">
      <c r="A3792" s="2" t="str">
        <f aca="false">HYPERLINK("https://www.fabsurplus.com/sdi_catalog/salesItemDetails.do?id=83872")</f>
        <v>https://www.fabsurplus.com/sdi_catalog/salesItemDetails.do?id=83872</v>
      </c>
      <c r="B3792" s="2" t="s">
        <v>10845</v>
      </c>
      <c r="C3792" s="2" t="s">
        <v>10753</v>
      </c>
      <c r="D3792" s="2" t="s">
        <v>10846</v>
      </c>
      <c r="E3792" s="2" t="s">
        <v>10847</v>
      </c>
      <c r="F3792" s="2" t="s">
        <v>151</v>
      </c>
      <c r="G3792" s="2" t="s">
        <v>165</v>
      </c>
      <c r="H3792" s="2" t="s">
        <v>18</v>
      </c>
      <c r="I3792" s="2"/>
      <c r="J3792" s="2" t="s">
        <v>19</v>
      </c>
      <c r="K3792" s="2" t="s">
        <v>20</v>
      </c>
      <c r="L3792" s="4" t="s">
        <v>10848</v>
      </c>
    </row>
    <row r="3793" customFormat="false" ht="15.65" hidden="false" customHeight="true" outlineLevel="0" collapsed="false">
      <c r="A3793" s="5" t="str">
        <f aca="false">HYPERLINK("https://www.fabsurplus.com/sdi_catalog/salesItemDetails.do?id=83632")</f>
        <v>https://www.fabsurplus.com/sdi_catalog/salesItemDetails.do?id=83632</v>
      </c>
      <c r="B3793" s="5" t="s">
        <v>10849</v>
      </c>
      <c r="C3793" s="5" t="s">
        <v>10753</v>
      </c>
      <c r="D3793" s="5" t="s">
        <v>10850</v>
      </c>
      <c r="E3793" s="5" t="s">
        <v>10851</v>
      </c>
      <c r="F3793" s="5" t="s">
        <v>16</v>
      </c>
      <c r="G3793" s="5"/>
      <c r="H3793" s="5" t="s">
        <v>18</v>
      </c>
      <c r="I3793" s="5"/>
      <c r="J3793" s="5" t="s">
        <v>19</v>
      </c>
      <c r="K3793" s="5" t="s">
        <v>20</v>
      </c>
      <c r="L3793" s="7" t="s">
        <v>10852</v>
      </c>
    </row>
    <row r="3794" customFormat="false" ht="15.65" hidden="false" customHeight="true" outlineLevel="0" collapsed="false">
      <c r="A3794" s="2" t="str">
        <f aca="false">HYPERLINK("https://www.fabsurplus.com/sdi_catalog/salesItemDetails.do?id=93406")</f>
        <v>https://www.fabsurplus.com/sdi_catalog/salesItemDetails.do?id=93406</v>
      </c>
      <c r="B3794" s="2" t="s">
        <v>10853</v>
      </c>
      <c r="C3794" s="2" t="s">
        <v>10753</v>
      </c>
      <c r="D3794" s="2" t="s">
        <v>10854</v>
      </c>
      <c r="E3794" s="2" t="s">
        <v>8896</v>
      </c>
      <c r="F3794" s="2" t="s">
        <v>16</v>
      </c>
      <c r="G3794" s="2"/>
      <c r="H3794" s="2" t="s">
        <v>275</v>
      </c>
      <c r="I3794" s="2"/>
      <c r="J3794" s="2" t="s">
        <v>42</v>
      </c>
      <c r="K3794" s="2"/>
      <c r="L3794" s="2"/>
    </row>
    <row r="3795" customFormat="false" ht="15.65" hidden="false" customHeight="true" outlineLevel="0" collapsed="false">
      <c r="A3795" s="5" t="str">
        <f aca="false">HYPERLINK("https://www.fabsurplus.com/sdi_catalog/salesItemDetails.do?id=93407")</f>
        <v>https://www.fabsurplus.com/sdi_catalog/salesItemDetails.do?id=93407</v>
      </c>
      <c r="B3795" s="5" t="s">
        <v>10855</v>
      </c>
      <c r="C3795" s="5" t="s">
        <v>10753</v>
      </c>
      <c r="D3795" s="5" t="s">
        <v>10856</v>
      </c>
      <c r="E3795" s="5" t="s">
        <v>8896</v>
      </c>
      <c r="F3795" s="5" t="s">
        <v>16</v>
      </c>
      <c r="G3795" s="5" t="s">
        <v>6396</v>
      </c>
      <c r="H3795" s="5" t="s">
        <v>275</v>
      </c>
      <c r="I3795" s="5"/>
      <c r="J3795" s="5" t="s">
        <v>19</v>
      </c>
      <c r="K3795" s="5" t="s">
        <v>20</v>
      </c>
      <c r="L3795" s="7" t="s">
        <v>10857</v>
      </c>
    </row>
    <row r="3796" customFormat="false" ht="15.65" hidden="false" customHeight="true" outlineLevel="0" collapsed="false">
      <c r="A3796" s="2" t="str">
        <f aca="false">HYPERLINK("https://www.fabsurplus.com/sdi_catalog/salesItemDetails.do?id=93408")</f>
        <v>https://www.fabsurplus.com/sdi_catalog/salesItemDetails.do?id=93408</v>
      </c>
      <c r="B3796" s="2" t="s">
        <v>10858</v>
      </c>
      <c r="C3796" s="2" t="s">
        <v>10753</v>
      </c>
      <c r="D3796" s="2" t="s">
        <v>10859</v>
      </c>
      <c r="E3796" s="2" t="s">
        <v>10859</v>
      </c>
      <c r="F3796" s="2" t="s">
        <v>16</v>
      </c>
      <c r="G3796" s="2"/>
      <c r="H3796" s="2" t="s">
        <v>275</v>
      </c>
      <c r="I3796" s="2"/>
      <c r="J3796" s="2" t="s">
        <v>19</v>
      </c>
      <c r="K3796" s="2"/>
      <c r="L3796" s="2"/>
    </row>
    <row r="3797" customFormat="false" ht="15.65" hidden="false" customHeight="true" outlineLevel="0" collapsed="false">
      <c r="A3797" s="5" t="str">
        <f aca="false">HYPERLINK("https://www.fabsurplus.com/sdi_catalog/salesItemDetails.do?id=93410")</f>
        <v>https://www.fabsurplus.com/sdi_catalog/salesItemDetails.do?id=93410</v>
      </c>
      <c r="B3797" s="5" t="s">
        <v>10860</v>
      </c>
      <c r="C3797" s="5" t="s">
        <v>10753</v>
      </c>
      <c r="D3797" s="5" t="s">
        <v>10861</v>
      </c>
      <c r="E3797" s="5" t="s">
        <v>6396</v>
      </c>
      <c r="F3797" s="5" t="s">
        <v>16</v>
      </c>
      <c r="G3797" s="5" t="s">
        <v>6396</v>
      </c>
      <c r="H3797" s="5" t="s">
        <v>275</v>
      </c>
      <c r="I3797" s="5"/>
      <c r="J3797" s="5" t="s">
        <v>19</v>
      </c>
      <c r="K3797" s="5" t="s">
        <v>20</v>
      </c>
      <c r="L3797" s="7" t="s">
        <v>10862</v>
      </c>
    </row>
    <row r="3798" customFormat="false" ht="15.65" hidden="false" customHeight="true" outlineLevel="0" collapsed="false">
      <c r="A3798" s="2" t="str">
        <f aca="false">HYPERLINK("https://www.fabsurplus.com/sdi_catalog/salesItemDetails.do?id=93411")</f>
        <v>https://www.fabsurplus.com/sdi_catalog/salesItemDetails.do?id=93411</v>
      </c>
      <c r="B3798" s="2" t="s">
        <v>10863</v>
      </c>
      <c r="C3798" s="2" t="s">
        <v>10753</v>
      </c>
      <c r="D3798" s="2" t="s">
        <v>10864</v>
      </c>
      <c r="E3798" s="2" t="s">
        <v>10864</v>
      </c>
      <c r="F3798" s="2" t="s">
        <v>16</v>
      </c>
      <c r="G3798" s="2" t="s">
        <v>8896</v>
      </c>
      <c r="H3798" s="2" t="s">
        <v>275</v>
      </c>
      <c r="I3798" s="2"/>
      <c r="J3798" s="2" t="s">
        <v>19</v>
      </c>
      <c r="K3798" s="2"/>
      <c r="L3798" s="2"/>
    </row>
    <row r="3799" customFormat="false" ht="15.65" hidden="false" customHeight="true" outlineLevel="0" collapsed="false">
      <c r="A3799" s="5" t="str">
        <f aca="false">HYPERLINK("https://www.fabsurplus.com/sdi_catalog/salesItemDetails.do?id=93414")</f>
        <v>https://www.fabsurplus.com/sdi_catalog/salesItemDetails.do?id=93414</v>
      </c>
      <c r="B3799" s="5" t="s">
        <v>10865</v>
      </c>
      <c r="C3799" s="5" t="s">
        <v>10753</v>
      </c>
      <c r="D3799" s="5" t="s">
        <v>10866</v>
      </c>
      <c r="E3799" s="5" t="s">
        <v>6395</v>
      </c>
      <c r="F3799" s="5" t="s">
        <v>16</v>
      </c>
      <c r="G3799" s="5"/>
      <c r="H3799" s="5" t="s">
        <v>275</v>
      </c>
      <c r="I3799" s="5"/>
      <c r="J3799" s="5" t="s">
        <v>19</v>
      </c>
      <c r="K3799" s="5"/>
      <c r="L3799" s="5"/>
    </row>
    <row r="3800" customFormat="false" ht="15.65" hidden="false" customHeight="true" outlineLevel="0" collapsed="false">
      <c r="A3800" s="2" t="str">
        <f aca="false">HYPERLINK("https://www.fabsurplus.com/sdi_catalog/salesItemDetails.do?id=84214")</f>
        <v>https://www.fabsurplus.com/sdi_catalog/salesItemDetails.do?id=84214</v>
      </c>
      <c r="B3800" s="2" t="s">
        <v>10867</v>
      </c>
      <c r="C3800" s="2" t="s">
        <v>10753</v>
      </c>
      <c r="D3800" s="2" t="s">
        <v>10868</v>
      </c>
      <c r="E3800" s="2" t="s">
        <v>10869</v>
      </c>
      <c r="F3800" s="2" t="s">
        <v>151</v>
      </c>
      <c r="G3800" s="2" t="s">
        <v>104</v>
      </c>
      <c r="H3800" s="2" t="s">
        <v>32</v>
      </c>
      <c r="I3800" s="2"/>
      <c r="J3800" s="2" t="s">
        <v>19</v>
      </c>
      <c r="K3800" s="2" t="s">
        <v>20</v>
      </c>
      <c r="L3800" s="4" t="s">
        <v>10870</v>
      </c>
    </row>
    <row r="3801" customFormat="false" ht="15.65" hidden="false" customHeight="true" outlineLevel="0" collapsed="false">
      <c r="A3801" s="5" t="str">
        <f aca="false">HYPERLINK("https://www.fabsurplus.com/sdi_catalog/salesItemDetails.do?id=109031")</f>
        <v>https://www.fabsurplus.com/sdi_catalog/salesItemDetails.do?id=109031</v>
      </c>
      <c r="B3801" s="5" t="s">
        <v>10871</v>
      </c>
      <c r="C3801" s="5" t="s">
        <v>1491</v>
      </c>
      <c r="D3801" s="5" t="s">
        <v>10872</v>
      </c>
      <c r="E3801" s="5" t="s">
        <v>10873</v>
      </c>
      <c r="F3801" s="5" t="s">
        <v>16</v>
      </c>
      <c r="G3801" s="5" t="s">
        <v>1491</v>
      </c>
      <c r="H3801" s="5" t="s">
        <v>32</v>
      </c>
      <c r="I3801" s="6" t="n">
        <v>44652</v>
      </c>
      <c r="J3801" s="5" t="s">
        <v>19</v>
      </c>
      <c r="K3801" s="5" t="s">
        <v>20</v>
      </c>
      <c r="L3801" s="7" t="s">
        <v>10874</v>
      </c>
    </row>
    <row r="3802" customFormat="false" ht="15.65" hidden="false" customHeight="true" outlineLevel="0" collapsed="false">
      <c r="A3802" s="2" t="str">
        <f aca="false">HYPERLINK("https://www.fabsurplus.com/sdi_catalog/salesItemDetails.do?id=110631")</f>
        <v>https://www.fabsurplus.com/sdi_catalog/salesItemDetails.do?id=110631</v>
      </c>
      <c r="B3802" s="2" t="s">
        <v>10875</v>
      </c>
      <c r="C3802" s="2" t="s">
        <v>10876</v>
      </c>
      <c r="D3802" s="2" t="s">
        <v>10877</v>
      </c>
      <c r="E3802" s="2" t="s">
        <v>4300</v>
      </c>
      <c r="F3802" s="2" t="s">
        <v>16</v>
      </c>
      <c r="G3802" s="2" t="s">
        <v>61</v>
      </c>
      <c r="H3802" s="2"/>
      <c r="I3802" s="2"/>
      <c r="J3802" s="2" t="s">
        <v>19</v>
      </c>
      <c r="K3802" s="2"/>
      <c r="L3802" s="4" t="s">
        <v>1617</v>
      </c>
    </row>
    <row r="3803" customFormat="false" ht="15.65" hidden="false" customHeight="true" outlineLevel="0" collapsed="false">
      <c r="A3803" s="5" t="str">
        <f aca="false">HYPERLINK("https://www.fabsurplus.com/sdi_catalog/salesItemDetails.do?id=110632")</f>
        <v>https://www.fabsurplus.com/sdi_catalog/salesItemDetails.do?id=110632</v>
      </c>
      <c r="B3803" s="5" t="s">
        <v>10878</v>
      </c>
      <c r="C3803" s="5" t="s">
        <v>10876</v>
      </c>
      <c r="D3803" s="5" t="s">
        <v>10877</v>
      </c>
      <c r="E3803" s="5" t="s">
        <v>4300</v>
      </c>
      <c r="F3803" s="5" t="s">
        <v>16</v>
      </c>
      <c r="G3803" s="5" t="s">
        <v>61</v>
      </c>
      <c r="H3803" s="5"/>
      <c r="I3803" s="5"/>
      <c r="J3803" s="5" t="s">
        <v>19</v>
      </c>
      <c r="K3803" s="5"/>
      <c r="L3803" s="7" t="s">
        <v>1617</v>
      </c>
    </row>
    <row r="3804" customFormat="false" ht="15.65" hidden="false" customHeight="true" outlineLevel="0" collapsed="false">
      <c r="A3804" s="2" t="str">
        <f aca="false">HYPERLINK("https://www.fabsurplus.com/sdi_catalog/salesItemDetails.do?id=110633")</f>
        <v>https://www.fabsurplus.com/sdi_catalog/salesItemDetails.do?id=110633</v>
      </c>
      <c r="B3804" s="2" t="s">
        <v>10879</v>
      </c>
      <c r="C3804" s="2" t="s">
        <v>10876</v>
      </c>
      <c r="D3804" s="2" t="s">
        <v>10877</v>
      </c>
      <c r="E3804" s="2" t="s">
        <v>4300</v>
      </c>
      <c r="F3804" s="2" t="s">
        <v>16</v>
      </c>
      <c r="G3804" s="2" t="s">
        <v>61</v>
      </c>
      <c r="H3804" s="2"/>
      <c r="I3804" s="2"/>
      <c r="J3804" s="2" t="s">
        <v>19</v>
      </c>
      <c r="K3804" s="2"/>
      <c r="L3804" s="4" t="s">
        <v>1617</v>
      </c>
    </row>
    <row r="3805" customFormat="false" ht="15.65" hidden="false" customHeight="true" outlineLevel="0" collapsed="false">
      <c r="A3805" s="5" t="str">
        <f aca="false">HYPERLINK("https://www.fabsurplus.com/sdi_catalog/salesItemDetails.do?id=110634")</f>
        <v>https://www.fabsurplus.com/sdi_catalog/salesItemDetails.do?id=110634</v>
      </c>
      <c r="B3805" s="5" t="s">
        <v>10880</v>
      </c>
      <c r="C3805" s="5" t="s">
        <v>10876</v>
      </c>
      <c r="D3805" s="5" t="s">
        <v>10877</v>
      </c>
      <c r="E3805" s="5" t="s">
        <v>4300</v>
      </c>
      <c r="F3805" s="5" t="s">
        <v>16</v>
      </c>
      <c r="G3805" s="5" t="s">
        <v>61</v>
      </c>
      <c r="H3805" s="5"/>
      <c r="I3805" s="5"/>
      <c r="J3805" s="5" t="s">
        <v>19</v>
      </c>
      <c r="K3805" s="5"/>
      <c r="L3805" s="7" t="s">
        <v>1617</v>
      </c>
    </row>
    <row r="3806" customFormat="false" ht="15.65" hidden="false" customHeight="true" outlineLevel="0" collapsed="false">
      <c r="A3806" s="2" t="str">
        <f aca="false">HYPERLINK("https://www.fabsurplus.com/sdi_catalog/salesItemDetails.do?id=110635")</f>
        <v>https://www.fabsurplus.com/sdi_catalog/salesItemDetails.do?id=110635</v>
      </c>
      <c r="B3806" s="2" t="s">
        <v>10881</v>
      </c>
      <c r="C3806" s="2" t="s">
        <v>10876</v>
      </c>
      <c r="D3806" s="2" t="s">
        <v>10877</v>
      </c>
      <c r="E3806" s="2" t="s">
        <v>4300</v>
      </c>
      <c r="F3806" s="2" t="s">
        <v>16</v>
      </c>
      <c r="G3806" s="2" t="s">
        <v>61</v>
      </c>
      <c r="H3806" s="2"/>
      <c r="I3806" s="2"/>
      <c r="J3806" s="2" t="s">
        <v>19</v>
      </c>
      <c r="K3806" s="2"/>
      <c r="L3806" s="4" t="s">
        <v>1617</v>
      </c>
    </row>
    <row r="3807" customFormat="false" ht="15.65" hidden="false" customHeight="true" outlineLevel="0" collapsed="false">
      <c r="A3807" s="5" t="str">
        <f aca="false">HYPERLINK("https://www.fabsurplus.com/sdi_catalog/salesItemDetails.do?id=110636")</f>
        <v>https://www.fabsurplus.com/sdi_catalog/salesItemDetails.do?id=110636</v>
      </c>
      <c r="B3807" s="5" t="s">
        <v>10882</v>
      </c>
      <c r="C3807" s="5" t="s">
        <v>10876</v>
      </c>
      <c r="D3807" s="5" t="s">
        <v>10877</v>
      </c>
      <c r="E3807" s="5" t="s">
        <v>4300</v>
      </c>
      <c r="F3807" s="5" t="s">
        <v>16</v>
      </c>
      <c r="G3807" s="5" t="s">
        <v>61</v>
      </c>
      <c r="H3807" s="5"/>
      <c r="I3807" s="5"/>
      <c r="J3807" s="5" t="s">
        <v>19</v>
      </c>
      <c r="K3807" s="5"/>
      <c r="L3807" s="7" t="s">
        <v>1617</v>
      </c>
    </row>
    <row r="3808" customFormat="false" ht="15.65" hidden="false" customHeight="true" outlineLevel="0" collapsed="false">
      <c r="A3808" s="2" t="str">
        <f aca="false">HYPERLINK("https://www.fabsurplus.com/sdi_catalog/salesItemDetails.do?id=109589")</f>
        <v>https://www.fabsurplus.com/sdi_catalog/salesItemDetails.do?id=109589</v>
      </c>
      <c r="B3808" s="2" t="s">
        <v>10883</v>
      </c>
      <c r="C3808" s="2" t="s">
        <v>10884</v>
      </c>
      <c r="D3808" s="2" t="s">
        <v>10885</v>
      </c>
      <c r="E3808" s="2" t="s">
        <v>10886</v>
      </c>
      <c r="F3808" s="2" t="s">
        <v>16</v>
      </c>
      <c r="G3808" s="2" t="s">
        <v>1293</v>
      </c>
      <c r="H3808" s="2"/>
      <c r="I3808" s="2"/>
      <c r="J3808" s="2" t="s">
        <v>42</v>
      </c>
      <c r="K3808" s="2"/>
      <c r="L3808" s="2" t="s">
        <v>2398</v>
      </c>
    </row>
    <row r="3809" customFormat="false" ht="15.65" hidden="false" customHeight="true" outlineLevel="0" collapsed="false">
      <c r="A3809" s="5" t="str">
        <f aca="false">HYPERLINK("https://www.fabsurplus.com/sdi_catalog/salesItemDetails.do?id=109590")</f>
        <v>https://www.fabsurplus.com/sdi_catalog/salesItemDetails.do?id=109590</v>
      </c>
      <c r="B3809" s="5" t="s">
        <v>10887</v>
      </c>
      <c r="C3809" s="5" t="s">
        <v>10884</v>
      </c>
      <c r="D3809" s="5" t="s">
        <v>10888</v>
      </c>
      <c r="E3809" s="5" t="s">
        <v>10889</v>
      </c>
      <c r="F3809" s="5" t="s">
        <v>16</v>
      </c>
      <c r="G3809" s="5" t="s">
        <v>1293</v>
      </c>
      <c r="H3809" s="5"/>
      <c r="I3809" s="5"/>
      <c r="J3809" s="5" t="s">
        <v>42</v>
      </c>
      <c r="K3809" s="5"/>
      <c r="L3809" s="5" t="s">
        <v>2398</v>
      </c>
    </row>
    <row r="3810" customFormat="false" ht="15.65" hidden="false" customHeight="true" outlineLevel="0" collapsed="false">
      <c r="A3810" s="2" t="str">
        <f aca="false">HYPERLINK("https://www.fabsurplus.com/sdi_catalog/salesItemDetails.do?id=73208")</f>
        <v>https://www.fabsurplus.com/sdi_catalog/salesItemDetails.do?id=73208</v>
      </c>
      <c r="B3810" s="2" t="s">
        <v>10890</v>
      </c>
      <c r="C3810" s="2" t="s">
        <v>10884</v>
      </c>
      <c r="D3810" s="2" t="s">
        <v>10891</v>
      </c>
      <c r="E3810" s="2" t="s">
        <v>10892</v>
      </c>
      <c r="F3810" s="2" t="s">
        <v>16</v>
      </c>
      <c r="G3810" s="2" t="s">
        <v>10893</v>
      </c>
      <c r="H3810" s="2" t="s">
        <v>32</v>
      </c>
      <c r="I3810" s="3" t="n">
        <v>36039</v>
      </c>
      <c r="J3810" s="2" t="s">
        <v>19</v>
      </c>
      <c r="K3810" s="2" t="s">
        <v>20</v>
      </c>
      <c r="L3810" s="4" t="s">
        <v>10894</v>
      </c>
    </row>
    <row r="3811" customFormat="false" ht="15.65" hidden="false" customHeight="true" outlineLevel="0" collapsed="false">
      <c r="A3811" s="5" t="str">
        <f aca="false">HYPERLINK("https://www.fabsurplus.com/sdi_catalog/salesItemDetails.do?id=108876")</f>
        <v>https://www.fabsurplus.com/sdi_catalog/salesItemDetails.do?id=108876</v>
      </c>
      <c r="B3811" s="5" t="s">
        <v>10895</v>
      </c>
      <c r="C3811" s="5" t="s">
        <v>10896</v>
      </c>
      <c r="D3811" s="5" t="s">
        <v>10897</v>
      </c>
      <c r="E3811" s="5" t="s">
        <v>10898</v>
      </c>
      <c r="F3811" s="5" t="s">
        <v>16</v>
      </c>
      <c r="G3811" s="5" t="s">
        <v>2327</v>
      </c>
      <c r="H3811" s="5"/>
      <c r="I3811" s="5"/>
      <c r="J3811" s="5" t="s">
        <v>42</v>
      </c>
      <c r="K3811" s="5"/>
      <c r="L3811" s="5" t="s">
        <v>131</v>
      </c>
    </row>
    <row r="3812" customFormat="false" ht="15.65" hidden="false" customHeight="true" outlineLevel="0" collapsed="false">
      <c r="A3812" s="2" t="str">
        <f aca="false">HYPERLINK("https://www.fabsurplus.com/sdi_catalog/salesItemDetails.do?id=53268")</f>
        <v>https://www.fabsurplus.com/sdi_catalog/salesItemDetails.do?id=53268</v>
      </c>
      <c r="B3812" s="2" t="s">
        <v>10899</v>
      </c>
      <c r="C3812" s="2" t="s">
        <v>10900</v>
      </c>
      <c r="D3812" s="2" t="s">
        <v>10901</v>
      </c>
      <c r="E3812" s="2" t="s">
        <v>10902</v>
      </c>
      <c r="F3812" s="2" t="s">
        <v>86</v>
      </c>
      <c r="G3812" s="2" t="s">
        <v>104</v>
      </c>
      <c r="H3812" s="2" t="s">
        <v>18</v>
      </c>
      <c r="I3812" s="3" t="n">
        <v>34485.9166666667</v>
      </c>
      <c r="J3812" s="2" t="s">
        <v>19</v>
      </c>
      <c r="K3812" s="2" t="s">
        <v>20</v>
      </c>
      <c r="L3812" s="4" t="s">
        <v>10903</v>
      </c>
    </row>
    <row r="3813" customFormat="false" ht="15.65" hidden="false" customHeight="true" outlineLevel="0" collapsed="false">
      <c r="A3813" s="5" t="str">
        <f aca="false">HYPERLINK("https://www.fabsurplus.com/sdi_catalog/salesItemDetails.do?id=83505")</f>
        <v>https://www.fabsurplus.com/sdi_catalog/salesItemDetails.do?id=83505</v>
      </c>
      <c r="B3813" s="5" t="s">
        <v>10904</v>
      </c>
      <c r="C3813" s="5" t="s">
        <v>10905</v>
      </c>
      <c r="D3813" s="5" t="s">
        <v>9799</v>
      </c>
      <c r="E3813" s="5" t="s">
        <v>96</v>
      </c>
      <c r="F3813" s="5" t="s">
        <v>86</v>
      </c>
      <c r="G3813" s="5" t="s">
        <v>9799</v>
      </c>
      <c r="H3813" s="5" t="s">
        <v>18</v>
      </c>
      <c r="I3813" s="6" t="n">
        <v>34668.9583333333</v>
      </c>
      <c r="J3813" s="5" t="s">
        <v>19</v>
      </c>
      <c r="K3813" s="5" t="s">
        <v>20</v>
      </c>
      <c r="L3813" s="5"/>
    </row>
    <row r="3814" customFormat="false" ht="15.65" hidden="false" customHeight="true" outlineLevel="0" collapsed="false">
      <c r="A3814" s="2" t="str">
        <f aca="false">HYPERLINK("https://www.fabsurplus.com/sdi_catalog/salesItemDetails.do?id=84366")</f>
        <v>https://www.fabsurplus.com/sdi_catalog/salesItemDetails.do?id=84366</v>
      </c>
      <c r="B3814" s="2" t="s">
        <v>10906</v>
      </c>
      <c r="C3814" s="2" t="s">
        <v>10907</v>
      </c>
      <c r="D3814" s="2" t="s">
        <v>10908</v>
      </c>
      <c r="E3814" s="2" t="s">
        <v>10909</v>
      </c>
      <c r="F3814" s="2" t="s">
        <v>16</v>
      </c>
      <c r="G3814" s="2" t="s">
        <v>10910</v>
      </c>
      <c r="H3814" s="2" t="s">
        <v>1395</v>
      </c>
      <c r="I3814" s="2"/>
      <c r="J3814" s="2" t="s">
        <v>19</v>
      </c>
      <c r="K3814" s="2" t="s">
        <v>20</v>
      </c>
      <c r="L3814" s="4" t="s">
        <v>10911</v>
      </c>
    </row>
    <row r="3815" customFormat="false" ht="15.65" hidden="false" customHeight="true" outlineLevel="0" collapsed="false">
      <c r="A3815" s="5" t="str">
        <f aca="false">HYPERLINK("https://www.fabsurplus.com/sdi_catalog/salesItemDetails.do?id=7689")</f>
        <v>https://www.fabsurplus.com/sdi_catalog/salesItemDetails.do?id=7689</v>
      </c>
      <c r="B3815" s="5" t="s">
        <v>10912</v>
      </c>
      <c r="C3815" s="5" t="s">
        <v>10913</v>
      </c>
      <c r="D3815" s="5" t="s">
        <v>10914</v>
      </c>
      <c r="E3815" s="5" t="s">
        <v>10915</v>
      </c>
      <c r="F3815" s="5" t="s">
        <v>151</v>
      </c>
      <c r="G3815" s="5" t="s">
        <v>10916</v>
      </c>
      <c r="H3815" s="5" t="s">
        <v>32</v>
      </c>
      <c r="I3815" s="6" t="n">
        <v>33756</v>
      </c>
      <c r="J3815" s="5" t="s">
        <v>19</v>
      </c>
      <c r="K3815" s="5" t="s">
        <v>20</v>
      </c>
      <c r="L3815" s="7" t="s">
        <v>10917</v>
      </c>
    </row>
    <row r="3816" customFormat="false" ht="15.65" hidden="false" customHeight="true" outlineLevel="0" collapsed="false">
      <c r="A3816" s="2" t="str">
        <f aca="false">HYPERLINK("https://www.fabsurplus.com/sdi_catalog/salesItemDetails.do?id=7690")</f>
        <v>https://www.fabsurplus.com/sdi_catalog/salesItemDetails.do?id=7690</v>
      </c>
      <c r="B3816" s="2" t="s">
        <v>10918</v>
      </c>
      <c r="C3816" s="2" t="s">
        <v>10913</v>
      </c>
      <c r="D3816" s="2" t="s">
        <v>10919</v>
      </c>
      <c r="E3816" s="2" t="s">
        <v>10920</v>
      </c>
      <c r="F3816" s="2" t="s">
        <v>151</v>
      </c>
      <c r="G3816" s="2" t="s">
        <v>10916</v>
      </c>
      <c r="H3816" s="2" t="s">
        <v>32</v>
      </c>
      <c r="I3816" s="3" t="n">
        <v>33756</v>
      </c>
      <c r="J3816" s="2" t="s">
        <v>19</v>
      </c>
      <c r="K3816" s="2" t="s">
        <v>20</v>
      </c>
      <c r="L3816" s="4" t="s">
        <v>10921</v>
      </c>
    </row>
    <row r="3817" customFormat="false" ht="15.65" hidden="false" customHeight="true" outlineLevel="0" collapsed="false">
      <c r="A3817" s="5" t="str">
        <f aca="false">HYPERLINK("https://www.fabsurplus.com/sdi_catalog/salesItemDetails.do?id=53037")</f>
        <v>https://www.fabsurplus.com/sdi_catalog/salesItemDetails.do?id=53037</v>
      </c>
      <c r="B3817" s="5" t="s">
        <v>10922</v>
      </c>
      <c r="C3817" s="5" t="s">
        <v>10913</v>
      </c>
      <c r="D3817" s="5"/>
      <c r="E3817" s="5" t="s">
        <v>10923</v>
      </c>
      <c r="F3817" s="5" t="s">
        <v>16</v>
      </c>
      <c r="G3817" s="5" t="s">
        <v>97</v>
      </c>
      <c r="H3817" s="5" t="s">
        <v>18</v>
      </c>
      <c r="I3817" s="5"/>
      <c r="J3817" s="5" t="s">
        <v>19</v>
      </c>
      <c r="K3817" s="5" t="s">
        <v>20</v>
      </c>
      <c r="L3817" s="5" t="s">
        <v>10924</v>
      </c>
    </row>
    <row r="3818" customFormat="false" ht="15.65" hidden="false" customHeight="true" outlineLevel="0" collapsed="false">
      <c r="A3818" s="2" t="str">
        <f aca="false">HYPERLINK("https://www.fabsurplus.com/sdi_catalog/salesItemDetails.do?id=53038")</f>
        <v>https://www.fabsurplus.com/sdi_catalog/salesItemDetails.do?id=53038</v>
      </c>
      <c r="B3818" s="2" t="s">
        <v>10925</v>
      </c>
      <c r="C3818" s="2" t="s">
        <v>10913</v>
      </c>
      <c r="D3818" s="2" t="s">
        <v>3932</v>
      </c>
      <c r="E3818" s="2" t="s">
        <v>10926</v>
      </c>
      <c r="F3818" s="2" t="s">
        <v>16</v>
      </c>
      <c r="G3818" s="2" t="s">
        <v>97</v>
      </c>
      <c r="H3818" s="2" t="s">
        <v>18</v>
      </c>
      <c r="I3818" s="2"/>
      <c r="J3818" s="2" t="s">
        <v>19</v>
      </c>
      <c r="K3818" s="2" t="s">
        <v>20</v>
      </c>
      <c r="L3818" s="2" t="s">
        <v>10927</v>
      </c>
    </row>
    <row r="3819" customFormat="false" ht="15.65" hidden="false" customHeight="true" outlineLevel="0" collapsed="false">
      <c r="A3819" s="5" t="str">
        <f aca="false">HYPERLINK("https://www.fabsurplus.com/sdi_catalog/salesItemDetails.do?id=53039")</f>
        <v>https://www.fabsurplus.com/sdi_catalog/salesItemDetails.do?id=53039</v>
      </c>
      <c r="B3819" s="5" t="s">
        <v>10928</v>
      </c>
      <c r="C3819" s="5" t="s">
        <v>10913</v>
      </c>
      <c r="D3819" s="5"/>
      <c r="E3819" s="5" t="s">
        <v>10929</v>
      </c>
      <c r="F3819" s="5" t="s">
        <v>16</v>
      </c>
      <c r="G3819" s="5" t="s">
        <v>97</v>
      </c>
      <c r="H3819" s="5" t="s">
        <v>18</v>
      </c>
      <c r="I3819" s="5"/>
      <c r="J3819" s="5" t="s">
        <v>19</v>
      </c>
      <c r="K3819" s="5" t="s">
        <v>20</v>
      </c>
      <c r="L3819" s="7" t="s">
        <v>10930</v>
      </c>
    </row>
    <row r="3820" customFormat="false" ht="15.65" hidden="false" customHeight="true" outlineLevel="0" collapsed="false">
      <c r="A3820" s="2" t="str">
        <f aca="false">HYPERLINK("https://www.fabsurplus.com/sdi_catalog/salesItemDetails.do?id=53040")</f>
        <v>https://www.fabsurplus.com/sdi_catalog/salesItemDetails.do?id=53040</v>
      </c>
      <c r="B3820" s="2" t="s">
        <v>10931</v>
      </c>
      <c r="C3820" s="2" t="s">
        <v>10913</v>
      </c>
      <c r="D3820" s="2"/>
      <c r="E3820" s="2" t="s">
        <v>10932</v>
      </c>
      <c r="F3820" s="2" t="s">
        <v>16</v>
      </c>
      <c r="G3820" s="2" t="s">
        <v>97</v>
      </c>
      <c r="H3820" s="2" t="s">
        <v>18</v>
      </c>
      <c r="I3820" s="2"/>
      <c r="J3820" s="2" t="s">
        <v>19</v>
      </c>
      <c r="K3820" s="2" t="s">
        <v>20</v>
      </c>
      <c r="L3820" s="2" t="s">
        <v>10924</v>
      </c>
    </row>
    <row r="3821" customFormat="false" ht="15.65" hidden="false" customHeight="true" outlineLevel="0" collapsed="false">
      <c r="A3821" s="5" t="str">
        <f aca="false">HYPERLINK("https://www.fabsurplus.com/sdi_catalog/salesItemDetails.do?id=53043")</f>
        <v>https://www.fabsurplus.com/sdi_catalog/salesItemDetails.do?id=53043</v>
      </c>
      <c r="B3821" s="5" t="s">
        <v>10933</v>
      </c>
      <c r="C3821" s="5" t="s">
        <v>10913</v>
      </c>
      <c r="D3821" s="5"/>
      <c r="E3821" s="5" t="s">
        <v>10934</v>
      </c>
      <c r="F3821" s="5" t="s">
        <v>16</v>
      </c>
      <c r="G3821" s="5" t="s">
        <v>97</v>
      </c>
      <c r="H3821" s="5" t="s">
        <v>18</v>
      </c>
      <c r="I3821" s="5"/>
      <c r="J3821" s="5" t="s">
        <v>19</v>
      </c>
      <c r="K3821" s="5" t="s">
        <v>20</v>
      </c>
      <c r="L3821" s="5" t="s">
        <v>10924</v>
      </c>
    </row>
    <row r="3822" customFormat="false" ht="15.65" hidden="false" customHeight="true" outlineLevel="0" collapsed="false">
      <c r="A3822" s="2" t="str">
        <f aca="false">HYPERLINK("https://www.fabsurplus.com/sdi_catalog/salesItemDetails.do?id=110507")</f>
        <v>https://www.fabsurplus.com/sdi_catalog/salesItemDetails.do?id=110507</v>
      </c>
      <c r="B3822" s="2" t="s">
        <v>10935</v>
      </c>
      <c r="C3822" s="2" t="s">
        <v>10936</v>
      </c>
      <c r="D3822" s="2" t="s">
        <v>10937</v>
      </c>
      <c r="E3822" s="2" t="s">
        <v>763</v>
      </c>
      <c r="F3822" s="2" t="s">
        <v>16</v>
      </c>
      <c r="G3822" s="2" t="s">
        <v>165</v>
      </c>
      <c r="H3822" s="2"/>
      <c r="I3822" s="2"/>
      <c r="J3822" s="2" t="s">
        <v>42</v>
      </c>
      <c r="K3822" s="2"/>
      <c r="L3822" s="2" t="s">
        <v>686</v>
      </c>
    </row>
    <row r="3823" customFormat="false" ht="15.65" hidden="false" customHeight="true" outlineLevel="0" collapsed="false">
      <c r="A3823" s="5" t="str">
        <f aca="false">HYPERLINK("https://www.fabsurplus.com/sdi_catalog/salesItemDetails.do?id=110508")</f>
        <v>https://www.fabsurplus.com/sdi_catalog/salesItemDetails.do?id=110508</v>
      </c>
      <c r="B3823" s="5" t="s">
        <v>10938</v>
      </c>
      <c r="C3823" s="5" t="s">
        <v>10936</v>
      </c>
      <c r="D3823" s="5" t="s">
        <v>10939</v>
      </c>
      <c r="E3823" s="5" t="s">
        <v>763</v>
      </c>
      <c r="F3823" s="5" t="s">
        <v>16</v>
      </c>
      <c r="G3823" s="5" t="s">
        <v>165</v>
      </c>
      <c r="H3823" s="5"/>
      <c r="I3823" s="5"/>
      <c r="J3823" s="5" t="s">
        <v>42</v>
      </c>
      <c r="K3823" s="5"/>
      <c r="L3823" s="5" t="s">
        <v>686</v>
      </c>
    </row>
    <row r="3824" customFormat="false" ht="15.65" hidden="false" customHeight="true" outlineLevel="0" collapsed="false">
      <c r="A3824" s="2" t="str">
        <f aca="false">HYPERLINK("https://www.fabsurplus.com/sdi_catalog/salesItemDetails.do?id=110509")</f>
        <v>https://www.fabsurplus.com/sdi_catalog/salesItemDetails.do?id=110509</v>
      </c>
      <c r="B3824" s="2" t="s">
        <v>10940</v>
      </c>
      <c r="C3824" s="2" t="s">
        <v>10936</v>
      </c>
      <c r="D3824" s="2" t="s">
        <v>10941</v>
      </c>
      <c r="E3824" s="2" t="s">
        <v>763</v>
      </c>
      <c r="F3824" s="2" t="s">
        <v>16</v>
      </c>
      <c r="G3824" s="2" t="s">
        <v>165</v>
      </c>
      <c r="H3824" s="2"/>
      <c r="I3824" s="2"/>
      <c r="J3824" s="2" t="s">
        <v>42</v>
      </c>
      <c r="K3824" s="2"/>
      <c r="L3824" s="2" t="s">
        <v>686</v>
      </c>
    </row>
    <row r="3825" customFormat="false" ht="15.65" hidden="false" customHeight="true" outlineLevel="0" collapsed="false">
      <c r="A3825" s="5" t="str">
        <f aca="false">HYPERLINK("https://www.fabsurplus.com/sdi_catalog/salesItemDetails.do?id=110510")</f>
        <v>https://www.fabsurplus.com/sdi_catalog/salesItemDetails.do?id=110510</v>
      </c>
      <c r="B3825" s="5" t="s">
        <v>10942</v>
      </c>
      <c r="C3825" s="5" t="s">
        <v>10936</v>
      </c>
      <c r="D3825" s="5" t="s">
        <v>10943</v>
      </c>
      <c r="E3825" s="5" t="s">
        <v>763</v>
      </c>
      <c r="F3825" s="5" t="s">
        <v>16</v>
      </c>
      <c r="G3825" s="5" t="s">
        <v>165</v>
      </c>
      <c r="H3825" s="5"/>
      <c r="I3825" s="5"/>
      <c r="J3825" s="5" t="s">
        <v>42</v>
      </c>
      <c r="K3825" s="5"/>
      <c r="L3825" s="5" t="s">
        <v>686</v>
      </c>
    </row>
    <row r="3826" customFormat="false" ht="15.65" hidden="false" customHeight="true" outlineLevel="0" collapsed="false">
      <c r="A3826" s="2" t="str">
        <f aca="false">HYPERLINK("https://www.fabsurplus.com/sdi_catalog/salesItemDetails.do?id=110511")</f>
        <v>https://www.fabsurplus.com/sdi_catalog/salesItemDetails.do?id=110511</v>
      </c>
      <c r="B3826" s="2" t="s">
        <v>10944</v>
      </c>
      <c r="C3826" s="2" t="s">
        <v>10936</v>
      </c>
      <c r="D3826" s="2" t="s">
        <v>10945</v>
      </c>
      <c r="E3826" s="2" t="s">
        <v>763</v>
      </c>
      <c r="F3826" s="2" t="s">
        <v>16</v>
      </c>
      <c r="G3826" s="2" t="s">
        <v>165</v>
      </c>
      <c r="H3826" s="2"/>
      <c r="I3826" s="2"/>
      <c r="J3826" s="2" t="s">
        <v>42</v>
      </c>
      <c r="K3826" s="2"/>
      <c r="L3826" s="2" t="s">
        <v>686</v>
      </c>
    </row>
    <row r="3827" customFormat="false" ht="15.65" hidden="false" customHeight="true" outlineLevel="0" collapsed="false">
      <c r="A3827" s="5" t="str">
        <f aca="false">HYPERLINK("https://www.fabsurplus.com/sdi_catalog/salesItemDetails.do?id=110512")</f>
        <v>https://www.fabsurplus.com/sdi_catalog/salesItemDetails.do?id=110512</v>
      </c>
      <c r="B3827" s="5" t="s">
        <v>10946</v>
      </c>
      <c r="C3827" s="5" t="s">
        <v>10936</v>
      </c>
      <c r="D3827" s="5" t="s">
        <v>10947</v>
      </c>
      <c r="E3827" s="5" t="s">
        <v>763</v>
      </c>
      <c r="F3827" s="5" t="s">
        <v>16</v>
      </c>
      <c r="G3827" s="5" t="s">
        <v>165</v>
      </c>
      <c r="H3827" s="5"/>
      <c r="I3827" s="5"/>
      <c r="J3827" s="5" t="s">
        <v>42</v>
      </c>
      <c r="K3827" s="5"/>
      <c r="L3827" s="5" t="s">
        <v>686</v>
      </c>
    </row>
    <row r="3828" customFormat="false" ht="15.65" hidden="false" customHeight="true" outlineLevel="0" collapsed="false">
      <c r="A3828" s="2" t="str">
        <f aca="false">HYPERLINK("https://www.fabsurplus.com/sdi_catalog/salesItemDetails.do?id=110513")</f>
        <v>https://www.fabsurplus.com/sdi_catalog/salesItemDetails.do?id=110513</v>
      </c>
      <c r="B3828" s="2" t="s">
        <v>10948</v>
      </c>
      <c r="C3828" s="2" t="s">
        <v>10936</v>
      </c>
      <c r="D3828" s="2" t="s">
        <v>10949</v>
      </c>
      <c r="E3828" s="2" t="s">
        <v>763</v>
      </c>
      <c r="F3828" s="2" t="s">
        <v>16</v>
      </c>
      <c r="G3828" s="2" t="s">
        <v>165</v>
      </c>
      <c r="H3828" s="2"/>
      <c r="I3828" s="2"/>
      <c r="J3828" s="2" t="s">
        <v>42</v>
      </c>
      <c r="K3828" s="2"/>
      <c r="L3828" s="2" t="s">
        <v>686</v>
      </c>
    </row>
    <row r="3829" customFormat="false" ht="15.65" hidden="false" customHeight="true" outlineLevel="0" collapsed="false">
      <c r="A3829" s="5" t="str">
        <f aca="false">HYPERLINK("https://www.fabsurplus.com/sdi_catalog/salesItemDetails.do?id=110514")</f>
        <v>https://www.fabsurplus.com/sdi_catalog/salesItemDetails.do?id=110514</v>
      </c>
      <c r="B3829" s="5" t="s">
        <v>10950</v>
      </c>
      <c r="C3829" s="5" t="s">
        <v>10936</v>
      </c>
      <c r="D3829" s="5" t="s">
        <v>10951</v>
      </c>
      <c r="E3829" s="5" t="s">
        <v>763</v>
      </c>
      <c r="F3829" s="5" t="s">
        <v>16</v>
      </c>
      <c r="G3829" s="5" t="s">
        <v>165</v>
      </c>
      <c r="H3829" s="5"/>
      <c r="I3829" s="5"/>
      <c r="J3829" s="5" t="s">
        <v>42</v>
      </c>
      <c r="K3829" s="5"/>
      <c r="L3829" s="5" t="s">
        <v>686</v>
      </c>
    </row>
    <row r="3830" customFormat="false" ht="15.65" hidden="false" customHeight="true" outlineLevel="0" collapsed="false">
      <c r="A3830" s="2" t="str">
        <f aca="false">HYPERLINK("https://www.fabsurplus.com/sdi_catalog/salesItemDetails.do?id=110515")</f>
        <v>https://www.fabsurplus.com/sdi_catalog/salesItemDetails.do?id=110515</v>
      </c>
      <c r="B3830" s="2" t="s">
        <v>10952</v>
      </c>
      <c r="C3830" s="2" t="s">
        <v>10936</v>
      </c>
      <c r="D3830" s="2" t="s">
        <v>10953</v>
      </c>
      <c r="E3830" s="2" t="s">
        <v>763</v>
      </c>
      <c r="F3830" s="2" t="s">
        <v>16</v>
      </c>
      <c r="G3830" s="2" t="s">
        <v>165</v>
      </c>
      <c r="H3830" s="2"/>
      <c r="I3830" s="2"/>
      <c r="J3830" s="2" t="s">
        <v>42</v>
      </c>
      <c r="K3830" s="2"/>
      <c r="L3830" s="2" t="s">
        <v>686</v>
      </c>
    </row>
    <row r="3831" customFormat="false" ht="15.65" hidden="false" customHeight="true" outlineLevel="0" collapsed="false">
      <c r="A3831" s="5" t="str">
        <f aca="false">HYPERLINK("https://www.fabsurplus.com/sdi_catalog/salesItemDetails.do?id=110516")</f>
        <v>https://www.fabsurplus.com/sdi_catalog/salesItemDetails.do?id=110516</v>
      </c>
      <c r="B3831" s="5" t="s">
        <v>10954</v>
      </c>
      <c r="C3831" s="5" t="s">
        <v>10936</v>
      </c>
      <c r="D3831" s="5" t="s">
        <v>10953</v>
      </c>
      <c r="E3831" s="5" t="s">
        <v>763</v>
      </c>
      <c r="F3831" s="5" t="s">
        <v>16</v>
      </c>
      <c r="G3831" s="5" t="s">
        <v>165</v>
      </c>
      <c r="H3831" s="5"/>
      <c r="I3831" s="5"/>
      <c r="J3831" s="5" t="s">
        <v>42</v>
      </c>
      <c r="K3831" s="5"/>
      <c r="L3831" s="5" t="s">
        <v>686</v>
      </c>
    </row>
    <row r="3832" customFormat="false" ht="15.65" hidden="false" customHeight="true" outlineLevel="0" collapsed="false">
      <c r="A3832" s="2" t="str">
        <f aca="false">HYPERLINK("https://www.fabsurplus.com/sdi_catalog/salesItemDetails.do?id=110517")</f>
        <v>https://www.fabsurplus.com/sdi_catalog/salesItemDetails.do?id=110517</v>
      </c>
      <c r="B3832" s="2" t="s">
        <v>10955</v>
      </c>
      <c r="C3832" s="2" t="s">
        <v>10936</v>
      </c>
      <c r="D3832" s="2" t="s">
        <v>10956</v>
      </c>
      <c r="E3832" s="2" t="s">
        <v>763</v>
      </c>
      <c r="F3832" s="2" t="s">
        <v>16</v>
      </c>
      <c r="G3832" s="2" t="s">
        <v>165</v>
      </c>
      <c r="H3832" s="2"/>
      <c r="I3832" s="2"/>
      <c r="J3832" s="2" t="s">
        <v>42</v>
      </c>
      <c r="K3832" s="2"/>
      <c r="L3832" s="2" t="s">
        <v>686</v>
      </c>
    </row>
    <row r="3833" customFormat="false" ht="15.65" hidden="false" customHeight="true" outlineLevel="0" collapsed="false">
      <c r="A3833" s="5" t="str">
        <f aca="false">HYPERLINK("https://www.fabsurplus.com/sdi_catalog/salesItemDetails.do?id=110518")</f>
        <v>https://www.fabsurplus.com/sdi_catalog/salesItemDetails.do?id=110518</v>
      </c>
      <c r="B3833" s="5" t="s">
        <v>10957</v>
      </c>
      <c r="C3833" s="5" t="s">
        <v>10936</v>
      </c>
      <c r="D3833" s="5" t="s">
        <v>10958</v>
      </c>
      <c r="E3833" s="5" t="s">
        <v>763</v>
      </c>
      <c r="F3833" s="5" t="s">
        <v>16</v>
      </c>
      <c r="G3833" s="5" t="s">
        <v>165</v>
      </c>
      <c r="H3833" s="5"/>
      <c r="I3833" s="5"/>
      <c r="J3833" s="5" t="s">
        <v>42</v>
      </c>
      <c r="K3833" s="5"/>
      <c r="L3833" s="5" t="s">
        <v>686</v>
      </c>
    </row>
    <row r="3834" customFormat="false" ht="15.65" hidden="false" customHeight="true" outlineLevel="0" collapsed="false">
      <c r="A3834" s="2" t="str">
        <f aca="false">HYPERLINK("https://www.fabsurplus.com/sdi_catalog/salesItemDetails.do?id=110519")</f>
        <v>https://www.fabsurplus.com/sdi_catalog/salesItemDetails.do?id=110519</v>
      </c>
      <c r="B3834" s="2" t="s">
        <v>10959</v>
      </c>
      <c r="C3834" s="2" t="s">
        <v>10936</v>
      </c>
      <c r="D3834" s="2" t="s">
        <v>10960</v>
      </c>
      <c r="E3834" s="2" t="s">
        <v>763</v>
      </c>
      <c r="F3834" s="2" t="s">
        <v>16</v>
      </c>
      <c r="G3834" s="2" t="s">
        <v>165</v>
      </c>
      <c r="H3834" s="2"/>
      <c r="I3834" s="2"/>
      <c r="J3834" s="2" t="s">
        <v>42</v>
      </c>
      <c r="K3834" s="2"/>
      <c r="L3834" s="2" t="s">
        <v>686</v>
      </c>
    </row>
    <row r="3835" customFormat="false" ht="15.65" hidden="false" customHeight="true" outlineLevel="0" collapsed="false">
      <c r="A3835" s="5" t="str">
        <f aca="false">HYPERLINK("https://www.fabsurplus.com/sdi_catalog/salesItemDetails.do?id=110520")</f>
        <v>https://www.fabsurplus.com/sdi_catalog/salesItemDetails.do?id=110520</v>
      </c>
      <c r="B3835" s="5" t="s">
        <v>10961</v>
      </c>
      <c r="C3835" s="5" t="s">
        <v>10936</v>
      </c>
      <c r="D3835" s="5" t="s">
        <v>10960</v>
      </c>
      <c r="E3835" s="5" t="s">
        <v>763</v>
      </c>
      <c r="F3835" s="5" t="s">
        <v>16</v>
      </c>
      <c r="G3835" s="5" t="s">
        <v>165</v>
      </c>
      <c r="H3835" s="5"/>
      <c r="I3835" s="5"/>
      <c r="J3835" s="5" t="s">
        <v>42</v>
      </c>
      <c r="K3835" s="5"/>
      <c r="L3835" s="5" t="s">
        <v>686</v>
      </c>
    </row>
    <row r="3836" customFormat="false" ht="15.65" hidden="false" customHeight="true" outlineLevel="0" collapsed="false">
      <c r="A3836" s="2" t="str">
        <f aca="false">HYPERLINK("https://www.fabsurplus.com/sdi_catalog/salesItemDetails.do?id=102623")</f>
        <v>https://www.fabsurplus.com/sdi_catalog/salesItemDetails.do?id=102623</v>
      </c>
      <c r="B3836" s="2" t="s">
        <v>10962</v>
      </c>
      <c r="C3836" s="2" t="s">
        <v>10936</v>
      </c>
      <c r="D3836" s="2" t="s">
        <v>10963</v>
      </c>
      <c r="E3836" s="2" t="s">
        <v>10964</v>
      </c>
      <c r="F3836" s="2" t="s">
        <v>16</v>
      </c>
      <c r="G3836" s="2" t="s">
        <v>38</v>
      </c>
      <c r="H3836" s="2" t="s">
        <v>453</v>
      </c>
      <c r="I3836" s="3" t="n">
        <v>40299</v>
      </c>
      <c r="J3836" s="2" t="s">
        <v>19</v>
      </c>
      <c r="K3836" s="2" t="s">
        <v>20</v>
      </c>
      <c r="L3836" s="4" t="s">
        <v>10965</v>
      </c>
    </row>
    <row r="3837" customFormat="false" ht="15.65" hidden="false" customHeight="true" outlineLevel="0" collapsed="false">
      <c r="A3837" s="5" t="str">
        <f aca="false">HYPERLINK("https://www.fabsurplus.com/sdi_catalog/salesItemDetails.do?id=84414")</f>
        <v>https://www.fabsurplus.com/sdi_catalog/salesItemDetails.do?id=84414</v>
      </c>
      <c r="B3837" s="5" t="s">
        <v>10966</v>
      </c>
      <c r="C3837" s="5" t="s">
        <v>10967</v>
      </c>
      <c r="D3837" s="5" t="s">
        <v>10968</v>
      </c>
      <c r="E3837" s="5" t="s">
        <v>10969</v>
      </c>
      <c r="F3837" s="5" t="s">
        <v>86</v>
      </c>
      <c r="G3837" s="5" t="s">
        <v>10970</v>
      </c>
      <c r="H3837" s="5" t="s">
        <v>32</v>
      </c>
      <c r="I3837" s="5"/>
      <c r="J3837" s="5" t="s">
        <v>19</v>
      </c>
      <c r="K3837" s="5" t="s">
        <v>20</v>
      </c>
      <c r="L3837" s="7" t="s">
        <v>10971</v>
      </c>
    </row>
    <row r="3838" customFormat="false" ht="15.65" hidden="false" customHeight="true" outlineLevel="0" collapsed="false">
      <c r="A3838" s="2" t="str">
        <f aca="false">HYPERLINK("https://www.fabsurplus.com/sdi_catalog/salesItemDetails.do?id=108706")</f>
        <v>https://www.fabsurplus.com/sdi_catalog/salesItemDetails.do?id=108706</v>
      </c>
      <c r="B3838" s="2" t="s">
        <v>10972</v>
      </c>
      <c r="C3838" s="2" t="s">
        <v>10973</v>
      </c>
      <c r="D3838" s="2" t="s">
        <v>10974</v>
      </c>
      <c r="E3838" s="2" t="s">
        <v>10975</v>
      </c>
      <c r="F3838" s="2" t="s">
        <v>16</v>
      </c>
      <c r="G3838" s="2" t="s">
        <v>38</v>
      </c>
      <c r="H3838" s="2"/>
      <c r="I3838" s="3" t="n">
        <v>38504</v>
      </c>
      <c r="J3838" s="2" t="s">
        <v>42</v>
      </c>
      <c r="K3838" s="2"/>
      <c r="L3838" s="4" t="s">
        <v>10976</v>
      </c>
    </row>
    <row r="3839" customFormat="false" ht="15.65" hidden="false" customHeight="true" outlineLevel="0" collapsed="false">
      <c r="A3839" s="5" t="str">
        <f aca="false">HYPERLINK("https://www.fabsurplus.com/sdi_catalog/salesItemDetails.do?id=108773")</f>
        <v>https://www.fabsurplus.com/sdi_catalog/salesItemDetails.do?id=108773</v>
      </c>
      <c r="B3839" s="5" t="s">
        <v>10977</v>
      </c>
      <c r="C3839" s="5" t="s">
        <v>10978</v>
      </c>
      <c r="D3839" s="5" t="s">
        <v>10979</v>
      </c>
      <c r="E3839" s="5" t="s">
        <v>10980</v>
      </c>
      <c r="F3839" s="5" t="s">
        <v>16</v>
      </c>
      <c r="G3839" s="5"/>
      <c r="H3839" s="5"/>
      <c r="I3839" s="5"/>
      <c r="J3839" s="5" t="s">
        <v>42</v>
      </c>
      <c r="K3839" s="5"/>
      <c r="L3839" s="5"/>
    </row>
    <row r="3840" customFormat="false" ht="15.65" hidden="false" customHeight="true" outlineLevel="0" collapsed="false">
      <c r="A3840" s="2" t="str">
        <f aca="false">HYPERLINK("https://www.fabsurplus.com/sdi_catalog/salesItemDetails.do?id=106742")</f>
        <v>https://www.fabsurplus.com/sdi_catalog/salesItemDetails.do?id=106742</v>
      </c>
      <c r="B3840" s="2" t="s">
        <v>10981</v>
      </c>
      <c r="C3840" s="2" t="s">
        <v>10978</v>
      </c>
      <c r="D3840" s="2" t="s">
        <v>10982</v>
      </c>
      <c r="E3840" s="2" t="s">
        <v>10983</v>
      </c>
      <c r="F3840" s="2" t="s">
        <v>16</v>
      </c>
      <c r="G3840" s="2" t="s">
        <v>38</v>
      </c>
      <c r="H3840" s="2"/>
      <c r="I3840" s="3" t="n">
        <v>39600</v>
      </c>
      <c r="J3840" s="2" t="s">
        <v>19</v>
      </c>
      <c r="K3840" s="2"/>
      <c r="L3840" s="2" t="s">
        <v>518</v>
      </c>
    </row>
    <row r="3841" customFormat="false" ht="15.65" hidden="false" customHeight="true" outlineLevel="0" collapsed="false">
      <c r="A3841" s="5" t="str">
        <f aca="false">HYPERLINK("https://www.fabsurplus.com/sdi_catalog/salesItemDetails.do?id=95233")</f>
        <v>https://www.fabsurplus.com/sdi_catalog/salesItemDetails.do?id=95233</v>
      </c>
      <c r="B3841" s="5" t="s">
        <v>10984</v>
      </c>
      <c r="C3841" s="5" t="s">
        <v>10985</v>
      </c>
      <c r="D3841" s="5" t="s">
        <v>10986</v>
      </c>
      <c r="E3841" s="5" t="s">
        <v>10987</v>
      </c>
      <c r="F3841" s="5" t="s">
        <v>16</v>
      </c>
      <c r="G3841" s="5" t="s">
        <v>392</v>
      </c>
      <c r="H3841" s="5" t="s">
        <v>18</v>
      </c>
      <c r="I3841" s="6" t="n">
        <v>38686.9583333333</v>
      </c>
      <c r="J3841" s="5" t="s">
        <v>42</v>
      </c>
      <c r="K3841" s="5" t="s">
        <v>20</v>
      </c>
      <c r="L3841" s="7" t="s">
        <v>10988</v>
      </c>
    </row>
    <row r="3842" customFormat="false" ht="15.65" hidden="false" customHeight="true" outlineLevel="0" collapsed="false">
      <c r="A3842" s="2" t="str">
        <f aca="false">HYPERLINK("https://www.fabsurplus.com/sdi_catalog/salesItemDetails.do?id=86279")</f>
        <v>https://www.fabsurplus.com/sdi_catalog/salesItemDetails.do?id=86279</v>
      </c>
      <c r="B3842" s="2" t="s">
        <v>10989</v>
      </c>
      <c r="C3842" s="2" t="s">
        <v>10985</v>
      </c>
      <c r="D3842" s="2" t="s">
        <v>10990</v>
      </c>
      <c r="E3842" s="2" t="s">
        <v>10991</v>
      </c>
      <c r="F3842" s="2" t="s">
        <v>16</v>
      </c>
      <c r="G3842" s="2" t="s">
        <v>10992</v>
      </c>
      <c r="H3842" s="2" t="s">
        <v>18</v>
      </c>
      <c r="I3842" s="3" t="n">
        <v>38533.9166666667</v>
      </c>
      <c r="J3842" s="2" t="s">
        <v>19</v>
      </c>
      <c r="K3842" s="2" t="s">
        <v>20</v>
      </c>
      <c r="L3842" s="4" t="s">
        <v>10993</v>
      </c>
    </row>
    <row r="3843" customFormat="false" ht="15.65" hidden="false" customHeight="true" outlineLevel="0" collapsed="false">
      <c r="A3843" s="5" t="str">
        <f aca="false">HYPERLINK("https://www.fabsurplus.com/sdi_catalog/salesItemDetails.do?id=86280")</f>
        <v>https://www.fabsurplus.com/sdi_catalog/salesItemDetails.do?id=86280</v>
      </c>
      <c r="B3843" s="5" t="s">
        <v>10994</v>
      </c>
      <c r="C3843" s="5" t="s">
        <v>10985</v>
      </c>
      <c r="D3843" s="5" t="s">
        <v>10995</v>
      </c>
      <c r="E3843" s="5" t="s">
        <v>564</v>
      </c>
      <c r="F3843" s="5" t="s">
        <v>16</v>
      </c>
      <c r="G3843" s="5" t="s">
        <v>401</v>
      </c>
      <c r="H3843" s="5" t="s">
        <v>18</v>
      </c>
      <c r="I3843" s="5"/>
      <c r="J3843" s="5" t="s">
        <v>19</v>
      </c>
      <c r="K3843" s="5" t="s">
        <v>20</v>
      </c>
      <c r="L3843" s="7" t="s">
        <v>10996</v>
      </c>
    </row>
    <row r="3844" customFormat="false" ht="15.65" hidden="false" customHeight="true" outlineLevel="0" collapsed="false">
      <c r="A3844" s="2" t="str">
        <f aca="false">HYPERLINK("https://www.fabsurplus.com/sdi_catalog/salesItemDetails.do?id=80177")</f>
        <v>https://www.fabsurplus.com/sdi_catalog/salesItemDetails.do?id=80177</v>
      </c>
      <c r="B3844" s="2" t="s">
        <v>10997</v>
      </c>
      <c r="C3844" s="2" t="s">
        <v>10985</v>
      </c>
      <c r="D3844" s="2" t="s">
        <v>10998</v>
      </c>
      <c r="E3844" s="2" t="s">
        <v>10999</v>
      </c>
      <c r="F3844" s="2" t="s">
        <v>16</v>
      </c>
      <c r="G3844" s="2" t="s">
        <v>565</v>
      </c>
      <c r="H3844" s="2" t="s">
        <v>32</v>
      </c>
      <c r="I3844" s="3" t="n">
        <v>39356</v>
      </c>
      <c r="J3844" s="2" t="s">
        <v>19</v>
      </c>
      <c r="K3844" s="2" t="s">
        <v>20</v>
      </c>
      <c r="L3844" s="4" t="s">
        <v>11000</v>
      </c>
    </row>
    <row r="3845" customFormat="false" ht="15.65" hidden="false" customHeight="true" outlineLevel="0" collapsed="false">
      <c r="A3845" s="5" t="str">
        <f aca="false">HYPERLINK("https://www.fabsurplus.com/sdi_catalog/salesItemDetails.do?id=80178")</f>
        <v>https://www.fabsurplus.com/sdi_catalog/salesItemDetails.do?id=80178</v>
      </c>
      <c r="B3845" s="5" t="s">
        <v>11001</v>
      </c>
      <c r="C3845" s="5" t="s">
        <v>10985</v>
      </c>
      <c r="D3845" s="5" t="s">
        <v>10998</v>
      </c>
      <c r="E3845" s="5" t="s">
        <v>10999</v>
      </c>
      <c r="F3845" s="5" t="s">
        <v>16</v>
      </c>
      <c r="G3845" s="5" t="s">
        <v>565</v>
      </c>
      <c r="H3845" s="5" t="s">
        <v>32</v>
      </c>
      <c r="I3845" s="6" t="n">
        <v>39356</v>
      </c>
      <c r="J3845" s="5" t="s">
        <v>19</v>
      </c>
      <c r="K3845" s="5" t="s">
        <v>20</v>
      </c>
      <c r="L3845" s="7" t="s">
        <v>11000</v>
      </c>
    </row>
    <row r="3846" customFormat="false" ht="15.65" hidden="false" customHeight="true" outlineLevel="0" collapsed="false">
      <c r="A3846" s="2" t="str">
        <f aca="false">HYPERLINK("https://www.fabsurplus.com/sdi_catalog/salesItemDetails.do?id=80179")</f>
        <v>https://www.fabsurplus.com/sdi_catalog/salesItemDetails.do?id=80179</v>
      </c>
      <c r="B3846" s="2" t="s">
        <v>11002</v>
      </c>
      <c r="C3846" s="2" t="s">
        <v>10985</v>
      </c>
      <c r="D3846" s="2" t="s">
        <v>10998</v>
      </c>
      <c r="E3846" s="2" t="s">
        <v>10999</v>
      </c>
      <c r="F3846" s="2" t="s">
        <v>16</v>
      </c>
      <c r="G3846" s="2" t="s">
        <v>565</v>
      </c>
      <c r="H3846" s="2" t="s">
        <v>32</v>
      </c>
      <c r="I3846" s="3" t="n">
        <v>39356</v>
      </c>
      <c r="J3846" s="2" t="s">
        <v>19</v>
      </c>
      <c r="K3846" s="2" t="s">
        <v>20</v>
      </c>
      <c r="L3846" s="4" t="s">
        <v>11003</v>
      </c>
    </row>
    <row r="3847" customFormat="false" ht="15.65" hidden="false" customHeight="true" outlineLevel="0" collapsed="false">
      <c r="A3847" s="5" t="str">
        <f aca="false">HYPERLINK("https://www.fabsurplus.com/sdi_catalog/salesItemDetails.do?id=80180")</f>
        <v>https://www.fabsurplus.com/sdi_catalog/salesItemDetails.do?id=80180</v>
      </c>
      <c r="B3847" s="5" t="s">
        <v>11004</v>
      </c>
      <c r="C3847" s="5" t="s">
        <v>10985</v>
      </c>
      <c r="D3847" s="5" t="s">
        <v>10998</v>
      </c>
      <c r="E3847" s="5" t="s">
        <v>10999</v>
      </c>
      <c r="F3847" s="5" t="s">
        <v>16</v>
      </c>
      <c r="G3847" s="5" t="s">
        <v>565</v>
      </c>
      <c r="H3847" s="5" t="s">
        <v>32</v>
      </c>
      <c r="I3847" s="6" t="n">
        <v>39356</v>
      </c>
      <c r="J3847" s="5" t="s">
        <v>19</v>
      </c>
      <c r="K3847" s="5" t="s">
        <v>20</v>
      </c>
      <c r="L3847" s="7" t="s">
        <v>11005</v>
      </c>
    </row>
    <row r="3848" customFormat="false" ht="15.65" hidden="false" customHeight="true" outlineLevel="0" collapsed="false">
      <c r="A3848" s="2" t="str">
        <f aca="false">HYPERLINK("https://www.fabsurplus.com/sdi_catalog/salesItemDetails.do?id=78133")</f>
        <v>https://www.fabsurplus.com/sdi_catalog/salesItemDetails.do?id=78133</v>
      </c>
      <c r="B3848" s="2" t="s">
        <v>11006</v>
      </c>
      <c r="C3848" s="2" t="s">
        <v>10985</v>
      </c>
      <c r="D3848" s="2" t="s">
        <v>10998</v>
      </c>
      <c r="E3848" s="2" t="s">
        <v>11007</v>
      </c>
      <c r="F3848" s="2" t="s">
        <v>16</v>
      </c>
      <c r="G3848" s="2" t="s">
        <v>565</v>
      </c>
      <c r="H3848" s="2" t="s">
        <v>32</v>
      </c>
      <c r="I3848" s="3" t="n">
        <v>39233.9166666667</v>
      </c>
      <c r="J3848" s="2" t="s">
        <v>19</v>
      </c>
      <c r="K3848" s="2" t="s">
        <v>20</v>
      </c>
      <c r="L3848" s="4" t="s">
        <v>11008</v>
      </c>
    </row>
    <row r="3849" customFormat="false" ht="15.65" hidden="false" customHeight="true" outlineLevel="0" collapsed="false">
      <c r="A3849" s="5" t="str">
        <f aca="false">HYPERLINK("https://www.fabsurplus.com/sdi_catalog/salesItemDetails.do?id=80181")</f>
        <v>https://www.fabsurplus.com/sdi_catalog/salesItemDetails.do?id=80181</v>
      </c>
      <c r="B3849" s="5" t="s">
        <v>11009</v>
      </c>
      <c r="C3849" s="5" t="s">
        <v>10985</v>
      </c>
      <c r="D3849" s="5" t="s">
        <v>10998</v>
      </c>
      <c r="E3849" s="5" t="s">
        <v>10999</v>
      </c>
      <c r="F3849" s="5" t="s">
        <v>16</v>
      </c>
      <c r="G3849" s="5" t="s">
        <v>565</v>
      </c>
      <c r="H3849" s="5" t="s">
        <v>32</v>
      </c>
      <c r="I3849" s="6" t="n">
        <v>39356</v>
      </c>
      <c r="J3849" s="5" t="s">
        <v>19</v>
      </c>
      <c r="K3849" s="5" t="s">
        <v>20</v>
      </c>
      <c r="L3849" s="7" t="s">
        <v>11010</v>
      </c>
    </row>
    <row r="3850" customFormat="false" ht="15.65" hidden="false" customHeight="true" outlineLevel="0" collapsed="false">
      <c r="A3850" s="2" t="str">
        <f aca="false">HYPERLINK("https://www.fabsurplus.com/sdi_catalog/salesItemDetails.do?id=80182")</f>
        <v>https://www.fabsurplus.com/sdi_catalog/salesItemDetails.do?id=80182</v>
      </c>
      <c r="B3850" s="2" t="s">
        <v>11011</v>
      </c>
      <c r="C3850" s="2" t="s">
        <v>10985</v>
      </c>
      <c r="D3850" s="2" t="s">
        <v>10998</v>
      </c>
      <c r="E3850" s="2" t="s">
        <v>10999</v>
      </c>
      <c r="F3850" s="2" t="s">
        <v>16</v>
      </c>
      <c r="G3850" s="2" t="s">
        <v>565</v>
      </c>
      <c r="H3850" s="2" t="s">
        <v>32</v>
      </c>
      <c r="I3850" s="3" t="n">
        <v>39356</v>
      </c>
      <c r="J3850" s="2" t="s">
        <v>19</v>
      </c>
      <c r="K3850" s="2" t="s">
        <v>20</v>
      </c>
      <c r="L3850" s="4" t="s">
        <v>11012</v>
      </c>
    </row>
    <row r="3851" customFormat="false" ht="15.65" hidden="false" customHeight="true" outlineLevel="0" collapsed="false">
      <c r="A3851" s="5" t="str">
        <f aca="false">HYPERLINK("https://www.fabsurplus.com/sdi_catalog/salesItemDetails.do?id=80183")</f>
        <v>https://www.fabsurplus.com/sdi_catalog/salesItemDetails.do?id=80183</v>
      </c>
      <c r="B3851" s="5" t="s">
        <v>11013</v>
      </c>
      <c r="C3851" s="5" t="s">
        <v>10985</v>
      </c>
      <c r="D3851" s="5" t="s">
        <v>10998</v>
      </c>
      <c r="E3851" s="5" t="s">
        <v>10999</v>
      </c>
      <c r="F3851" s="5" t="s">
        <v>16</v>
      </c>
      <c r="G3851" s="5" t="s">
        <v>565</v>
      </c>
      <c r="H3851" s="5" t="s">
        <v>32</v>
      </c>
      <c r="I3851" s="6" t="n">
        <v>39356</v>
      </c>
      <c r="J3851" s="5" t="s">
        <v>19</v>
      </c>
      <c r="K3851" s="5" t="s">
        <v>20</v>
      </c>
      <c r="L3851" s="7" t="s">
        <v>11014</v>
      </c>
    </row>
    <row r="3852" customFormat="false" ht="15.65" hidden="false" customHeight="true" outlineLevel="0" collapsed="false">
      <c r="A3852" s="2" t="str">
        <f aca="false">HYPERLINK("https://www.fabsurplus.com/sdi_catalog/salesItemDetails.do?id=80184")</f>
        <v>https://www.fabsurplus.com/sdi_catalog/salesItemDetails.do?id=80184</v>
      </c>
      <c r="B3852" s="2" t="s">
        <v>11015</v>
      </c>
      <c r="C3852" s="2" t="s">
        <v>10985</v>
      </c>
      <c r="D3852" s="2" t="s">
        <v>11016</v>
      </c>
      <c r="E3852" s="2" t="s">
        <v>11017</v>
      </c>
      <c r="F3852" s="2" t="s">
        <v>16</v>
      </c>
      <c r="G3852" s="2" t="s">
        <v>392</v>
      </c>
      <c r="H3852" s="2" t="s">
        <v>18</v>
      </c>
      <c r="I3852" s="3" t="n">
        <v>39355.9166666667</v>
      </c>
      <c r="J3852" s="2" t="s">
        <v>19</v>
      </c>
      <c r="K3852" s="2" t="s">
        <v>20</v>
      </c>
      <c r="L3852" s="4" t="s">
        <v>11018</v>
      </c>
    </row>
    <row r="3853" customFormat="false" ht="15.65" hidden="false" customHeight="true" outlineLevel="0" collapsed="false">
      <c r="A3853" s="5" t="str">
        <f aca="false">HYPERLINK("https://www.fabsurplus.com/sdi_catalog/salesItemDetails.do?id=78137")</f>
        <v>https://www.fabsurplus.com/sdi_catalog/salesItemDetails.do?id=78137</v>
      </c>
      <c r="B3853" s="5" t="s">
        <v>11019</v>
      </c>
      <c r="C3853" s="5" t="s">
        <v>10985</v>
      </c>
      <c r="D3853" s="5" t="s">
        <v>10998</v>
      </c>
      <c r="E3853" s="5" t="s">
        <v>11020</v>
      </c>
      <c r="F3853" s="5" t="s">
        <v>16</v>
      </c>
      <c r="G3853" s="5" t="s">
        <v>565</v>
      </c>
      <c r="H3853" s="5" t="s">
        <v>32</v>
      </c>
      <c r="I3853" s="5"/>
      <c r="J3853" s="5" t="s">
        <v>19</v>
      </c>
      <c r="K3853" s="5" t="s">
        <v>20</v>
      </c>
      <c r="L3853" s="7" t="s">
        <v>11021</v>
      </c>
    </row>
    <row r="3854" customFormat="false" ht="15.65" hidden="false" customHeight="true" outlineLevel="0" collapsed="false">
      <c r="A3854" s="2" t="str">
        <f aca="false">HYPERLINK("https://www.fabsurplus.com/sdi_catalog/salesItemDetails.do?id=78138")</f>
        <v>https://www.fabsurplus.com/sdi_catalog/salesItemDetails.do?id=78138</v>
      </c>
      <c r="B3854" s="2" t="s">
        <v>11022</v>
      </c>
      <c r="C3854" s="2" t="s">
        <v>10985</v>
      </c>
      <c r="D3854" s="2" t="s">
        <v>11023</v>
      </c>
      <c r="E3854" s="2" t="s">
        <v>11024</v>
      </c>
      <c r="F3854" s="2" t="s">
        <v>16</v>
      </c>
      <c r="G3854" s="2" t="s">
        <v>565</v>
      </c>
      <c r="H3854" s="2" t="s">
        <v>18</v>
      </c>
      <c r="I3854" s="3" t="n">
        <v>39172.9166666667</v>
      </c>
      <c r="J3854" s="2" t="s">
        <v>19</v>
      </c>
      <c r="K3854" s="2" t="s">
        <v>20</v>
      </c>
      <c r="L3854" s="4" t="s">
        <v>11025</v>
      </c>
    </row>
    <row r="3855" customFormat="false" ht="15.65" hidden="false" customHeight="true" outlineLevel="0" collapsed="false">
      <c r="A3855" s="5" t="str">
        <f aca="false">HYPERLINK("https://www.fabsurplus.com/sdi_catalog/salesItemDetails.do?id=102494")</f>
        <v>https://www.fabsurplus.com/sdi_catalog/salesItemDetails.do?id=102494</v>
      </c>
      <c r="B3855" s="5" t="s">
        <v>11026</v>
      </c>
      <c r="C3855" s="5" t="s">
        <v>10985</v>
      </c>
      <c r="D3855" s="5" t="s">
        <v>10990</v>
      </c>
      <c r="E3855" s="5" t="s">
        <v>11027</v>
      </c>
      <c r="F3855" s="5" t="s">
        <v>16</v>
      </c>
      <c r="G3855" s="5" t="s">
        <v>392</v>
      </c>
      <c r="H3855" s="5" t="s">
        <v>1969</v>
      </c>
      <c r="I3855" s="6" t="n">
        <v>39355.9166666667</v>
      </c>
      <c r="J3855" s="5" t="s">
        <v>19</v>
      </c>
      <c r="K3855" s="5" t="s">
        <v>20</v>
      </c>
      <c r="L3855" s="7" t="s">
        <v>11028</v>
      </c>
    </row>
    <row r="3856" customFormat="false" ht="15.65" hidden="false" customHeight="true" outlineLevel="0" collapsed="false">
      <c r="A3856" s="2" t="str">
        <f aca="false">HYPERLINK("https://www.fabsurplus.com/sdi_catalog/salesItemDetails.do?id=93822")</f>
        <v>https://www.fabsurplus.com/sdi_catalog/salesItemDetails.do?id=93822</v>
      </c>
      <c r="B3856" s="2" t="s">
        <v>11029</v>
      </c>
      <c r="C3856" s="2" t="s">
        <v>10985</v>
      </c>
      <c r="D3856" s="2" t="s">
        <v>11030</v>
      </c>
      <c r="E3856" s="2" t="s">
        <v>564</v>
      </c>
      <c r="F3856" s="2" t="s">
        <v>16</v>
      </c>
      <c r="G3856" s="2" t="s">
        <v>392</v>
      </c>
      <c r="H3856" s="2" t="s">
        <v>18</v>
      </c>
      <c r="I3856" s="3" t="n">
        <v>38503.9166666667</v>
      </c>
      <c r="J3856" s="2" t="s">
        <v>19</v>
      </c>
      <c r="K3856" s="2" t="s">
        <v>20</v>
      </c>
      <c r="L3856" s="4" t="s">
        <v>11031</v>
      </c>
    </row>
    <row r="3857" customFormat="false" ht="15.65" hidden="false" customHeight="true" outlineLevel="0" collapsed="false">
      <c r="A3857" s="5" t="str">
        <f aca="false">HYPERLINK("https://www.fabsurplus.com/sdi_catalog/salesItemDetails.do?id=99969")</f>
        <v>https://www.fabsurplus.com/sdi_catalog/salesItemDetails.do?id=99969</v>
      </c>
      <c r="B3857" s="5" t="s">
        <v>11032</v>
      </c>
      <c r="C3857" s="5" t="s">
        <v>10985</v>
      </c>
      <c r="D3857" s="5" t="s">
        <v>10998</v>
      </c>
      <c r="E3857" s="5" t="s">
        <v>10999</v>
      </c>
      <c r="F3857" s="5" t="s">
        <v>16</v>
      </c>
      <c r="G3857" s="5" t="s">
        <v>565</v>
      </c>
      <c r="H3857" s="5" t="s">
        <v>32</v>
      </c>
      <c r="I3857" s="6" t="n">
        <v>38503.9166666667</v>
      </c>
      <c r="J3857" s="5" t="s">
        <v>19</v>
      </c>
      <c r="K3857" s="5" t="s">
        <v>20</v>
      </c>
      <c r="L3857" s="7" t="s">
        <v>11033</v>
      </c>
    </row>
    <row r="3858" customFormat="false" ht="15.65" hidden="false" customHeight="true" outlineLevel="0" collapsed="false">
      <c r="A3858" s="2" t="str">
        <f aca="false">HYPERLINK("https://www.fabsurplus.com/sdi_catalog/salesItemDetails.do?id=86670")</f>
        <v>https://www.fabsurplus.com/sdi_catalog/salesItemDetails.do?id=86670</v>
      </c>
      <c r="B3858" s="2" t="s">
        <v>11034</v>
      </c>
      <c r="C3858" s="2" t="s">
        <v>10985</v>
      </c>
      <c r="D3858" s="2" t="s">
        <v>10998</v>
      </c>
      <c r="E3858" s="2" t="s">
        <v>564</v>
      </c>
      <c r="F3858" s="2" t="s">
        <v>16</v>
      </c>
      <c r="G3858" s="2" t="s">
        <v>392</v>
      </c>
      <c r="H3858" s="2" t="s">
        <v>18</v>
      </c>
      <c r="I3858" s="3" t="n">
        <v>38503.9166666667</v>
      </c>
      <c r="J3858" s="2" t="s">
        <v>19</v>
      </c>
      <c r="K3858" s="2" t="s">
        <v>20</v>
      </c>
      <c r="L3858" s="4" t="s">
        <v>11035</v>
      </c>
    </row>
    <row r="3859" customFormat="false" ht="15.65" hidden="false" customHeight="true" outlineLevel="0" collapsed="false">
      <c r="A3859" s="5" t="str">
        <f aca="false">HYPERLINK("https://www.fabsurplus.com/sdi_catalog/salesItemDetails.do?id=93865")</f>
        <v>https://www.fabsurplus.com/sdi_catalog/salesItemDetails.do?id=93865</v>
      </c>
      <c r="B3859" s="5" t="s">
        <v>11036</v>
      </c>
      <c r="C3859" s="5" t="s">
        <v>10985</v>
      </c>
      <c r="D3859" s="5" t="s">
        <v>11037</v>
      </c>
      <c r="E3859" s="5" t="s">
        <v>11038</v>
      </c>
      <c r="F3859" s="5" t="s">
        <v>16</v>
      </c>
      <c r="G3859" s="5" t="s">
        <v>401</v>
      </c>
      <c r="H3859" s="5" t="s">
        <v>18</v>
      </c>
      <c r="I3859" s="6" t="n">
        <v>38503.9166666667</v>
      </c>
      <c r="J3859" s="5" t="s">
        <v>19</v>
      </c>
      <c r="K3859" s="5" t="s">
        <v>20</v>
      </c>
      <c r="L3859" s="7" t="s">
        <v>11039</v>
      </c>
    </row>
    <row r="3860" customFormat="false" ht="15.65" hidden="false" customHeight="true" outlineLevel="0" collapsed="false">
      <c r="A3860" s="2" t="str">
        <f aca="false">HYPERLINK("https://www.fabsurplus.com/sdi_catalog/salesItemDetails.do?id=101848")</f>
        <v>https://www.fabsurplus.com/sdi_catalog/salesItemDetails.do?id=101848</v>
      </c>
      <c r="B3860" s="2" t="s">
        <v>11040</v>
      </c>
      <c r="C3860" s="2" t="s">
        <v>10985</v>
      </c>
      <c r="D3860" s="2" t="s">
        <v>10990</v>
      </c>
      <c r="E3860" s="2" t="s">
        <v>11041</v>
      </c>
      <c r="F3860" s="2" t="s">
        <v>16</v>
      </c>
      <c r="G3860" s="2" t="s">
        <v>565</v>
      </c>
      <c r="H3860" s="2" t="s">
        <v>32</v>
      </c>
      <c r="I3860" s="3" t="n">
        <v>39233.9166666667</v>
      </c>
      <c r="J3860" s="2" t="s">
        <v>19</v>
      </c>
      <c r="K3860" s="2" t="s">
        <v>20</v>
      </c>
      <c r="L3860" s="4" t="s">
        <v>11042</v>
      </c>
    </row>
    <row r="3861" customFormat="false" ht="15.65" hidden="false" customHeight="true" outlineLevel="0" collapsed="false">
      <c r="A3861" s="5" t="str">
        <f aca="false">HYPERLINK("https://www.fabsurplus.com/sdi_catalog/salesItemDetails.do?id=71904")</f>
        <v>https://www.fabsurplus.com/sdi_catalog/salesItemDetails.do?id=71904</v>
      </c>
      <c r="B3861" s="5" t="s">
        <v>11043</v>
      </c>
      <c r="C3861" s="5" t="s">
        <v>10985</v>
      </c>
      <c r="D3861" s="5" t="s">
        <v>11044</v>
      </c>
      <c r="E3861" s="5" t="s">
        <v>11045</v>
      </c>
      <c r="F3861" s="5" t="s">
        <v>16</v>
      </c>
      <c r="G3861" s="5"/>
      <c r="H3861" s="5"/>
      <c r="I3861" s="5"/>
      <c r="J3861" s="5" t="s">
        <v>19</v>
      </c>
      <c r="K3861" s="5"/>
      <c r="L3861" s="5" t="s">
        <v>11046</v>
      </c>
    </row>
    <row r="3862" customFormat="false" ht="15.65" hidden="false" customHeight="true" outlineLevel="0" collapsed="false">
      <c r="A3862" s="2" t="str">
        <f aca="false">HYPERLINK("https://www.fabsurplus.com/sdi_catalog/salesItemDetails.do?id=71908")</f>
        <v>https://www.fabsurplus.com/sdi_catalog/salesItemDetails.do?id=71908</v>
      </c>
      <c r="B3862" s="2" t="s">
        <v>11047</v>
      </c>
      <c r="C3862" s="2" t="s">
        <v>10985</v>
      </c>
      <c r="D3862" s="2" t="s">
        <v>11048</v>
      </c>
      <c r="E3862" s="2" t="s">
        <v>11049</v>
      </c>
      <c r="F3862" s="2" t="s">
        <v>86</v>
      </c>
      <c r="G3862" s="2" t="s">
        <v>401</v>
      </c>
      <c r="H3862" s="2" t="s">
        <v>18</v>
      </c>
      <c r="I3862" s="2"/>
      <c r="J3862" s="2" t="s">
        <v>19</v>
      </c>
      <c r="K3862" s="2" t="s">
        <v>20</v>
      </c>
      <c r="L3862" s="2" t="s">
        <v>11050</v>
      </c>
    </row>
    <row r="3863" customFormat="false" ht="15.65" hidden="false" customHeight="true" outlineLevel="0" collapsed="false">
      <c r="A3863" s="5" t="str">
        <f aca="false">HYPERLINK("https://www.fabsurplus.com/sdi_catalog/salesItemDetails.do?id=71910")</f>
        <v>https://www.fabsurplus.com/sdi_catalog/salesItemDetails.do?id=71910</v>
      </c>
      <c r="B3863" s="5" t="s">
        <v>11051</v>
      </c>
      <c r="C3863" s="5" t="s">
        <v>10985</v>
      </c>
      <c r="D3863" s="5" t="s">
        <v>10990</v>
      </c>
      <c r="E3863" s="5" t="s">
        <v>11052</v>
      </c>
      <c r="F3863" s="5" t="s">
        <v>16</v>
      </c>
      <c r="G3863" s="5" t="s">
        <v>392</v>
      </c>
      <c r="H3863" s="5" t="s">
        <v>18</v>
      </c>
      <c r="I3863" s="6" t="n">
        <v>39599.9166666667</v>
      </c>
      <c r="J3863" s="5" t="s">
        <v>19</v>
      </c>
      <c r="K3863" s="5" t="s">
        <v>20</v>
      </c>
      <c r="L3863" s="7" t="s">
        <v>11053</v>
      </c>
    </row>
    <row r="3864" customFormat="false" ht="15.65" hidden="false" customHeight="true" outlineLevel="0" collapsed="false">
      <c r="A3864" s="2" t="str">
        <f aca="false">HYPERLINK("https://www.fabsurplus.com/sdi_catalog/salesItemDetails.do?id=107006")</f>
        <v>https://www.fabsurplus.com/sdi_catalog/salesItemDetails.do?id=107006</v>
      </c>
      <c r="B3864" s="2" t="s">
        <v>11054</v>
      </c>
      <c r="C3864" s="2" t="s">
        <v>11055</v>
      </c>
      <c r="D3864" s="2" t="s">
        <v>11056</v>
      </c>
      <c r="E3864" s="2" t="s">
        <v>11057</v>
      </c>
      <c r="F3864" s="2" t="s">
        <v>16</v>
      </c>
      <c r="G3864" s="2" t="s">
        <v>1293</v>
      </c>
      <c r="H3864" s="2" t="s">
        <v>2785</v>
      </c>
      <c r="I3864" s="3" t="n">
        <v>37438</v>
      </c>
      <c r="J3864" s="2" t="s">
        <v>19</v>
      </c>
      <c r="K3864" s="2" t="s">
        <v>20</v>
      </c>
      <c r="L3864" s="4" t="s">
        <v>11058</v>
      </c>
    </row>
    <row r="3865" customFormat="false" ht="15.65" hidden="false" customHeight="true" outlineLevel="0" collapsed="false">
      <c r="A3865" s="5" t="str">
        <f aca="false">HYPERLINK("https://www.fabsurplus.com/sdi_catalog/salesItemDetails.do?id=84376")</f>
        <v>https://www.fabsurplus.com/sdi_catalog/salesItemDetails.do?id=84376</v>
      </c>
      <c r="B3865" s="5" t="s">
        <v>11059</v>
      </c>
      <c r="C3865" s="5" t="s">
        <v>11060</v>
      </c>
      <c r="D3865" s="5" t="s">
        <v>11061</v>
      </c>
      <c r="E3865" s="5" t="s">
        <v>11062</v>
      </c>
      <c r="F3865" s="5" t="s">
        <v>16</v>
      </c>
      <c r="G3865" s="5"/>
      <c r="H3865" s="5" t="s">
        <v>18</v>
      </c>
      <c r="I3865" s="5"/>
      <c r="J3865" s="5" t="s">
        <v>19</v>
      </c>
      <c r="K3865" s="5" t="s">
        <v>20</v>
      </c>
      <c r="L3865" s="7" t="s">
        <v>11063</v>
      </c>
    </row>
    <row r="3866" customFormat="false" ht="15.65" hidden="false" customHeight="true" outlineLevel="0" collapsed="false">
      <c r="A3866" s="2" t="str">
        <f aca="false">HYPERLINK("https://www.fabsurplus.com/sdi_catalog/salesItemDetails.do?id=84297")</f>
        <v>https://www.fabsurplus.com/sdi_catalog/salesItemDetails.do?id=84297</v>
      </c>
      <c r="B3866" s="2" t="s">
        <v>11064</v>
      </c>
      <c r="C3866" s="2" t="s">
        <v>11065</v>
      </c>
      <c r="D3866" s="2" t="s">
        <v>11066</v>
      </c>
      <c r="E3866" s="2" t="s">
        <v>11067</v>
      </c>
      <c r="F3866" s="2" t="s">
        <v>16</v>
      </c>
      <c r="G3866" s="2" t="s">
        <v>97</v>
      </c>
      <c r="H3866" s="2" t="s">
        <v>18</v>
      </c>
      <c r="I3866" s="2"/>
      <c r="J3866" s="2" t="s">
        <v>19</v>
      </c>
      <c r="K3866" s="2" t="s">
        <v>20</v>
      </c>
      <c r="L3866" s="4" t="s">
        <v>11068</v>
      </c>
    </row>
    <row r="3867" customFormat="false" ht="15.65" hidden="false" customHeight="true" outlineLevel="0" collapsed="false">
      <c r="A3867" s="5" t="str">
        <f aca="false">HYPERLINK("https://www.fabsurplus.com/sdi_catalog/salesItemDetails.do?id=18864")</f>
        <v>https://www.fabsurplus.com/sdi_catalog/salesItemDetails.do?id=18864</v>
      </c>
      <c r="B3867" s="5" t="s">
        <v>11069</v>
      </c>
      <c r="C3867" s="5" t="s">
        <v>11070</v>
      </c>
      <c r="D3867" s="5" t="s">
        <v>11071</v>
      </c>
      <c r="E3867" s="5" t="s">
        <v>11072</v>
      </c>
      <c r="F3867" s="5" t="s">
        <v>16</v>
      </c>
      <c r="G3867" s="5"/>
      <c r="H3867" s="5"/>
      <c r="I3867" s="5"/>
      <c r="J3867" s="5" t="s">
        <v>19</v>
      </c>
      <c r="K3867" s="5"/>
      <c r="L3867" s="5"/>
    </row>
    <row r="3868" customFormat="false" ht="15.65" hidden="false" customHeight="true" outlineLevel="0" collapsed="false">
      <c r="A3868" s="2" t="str">
        <f aca="false">HYPERLINK("https://www.fabsurplus.com/sdi_catalog/salesItemDetails.do?id=109605")</f>
        <v>https://www.fabsurplus.com/sdi_catalog/salesItemDetails.do?id=109605</v>
      </c>
      <c r="B3868" s="2" t="s">
        <v>11073</v>
      </c>
      <c r="C3868" s="2" t="s">
        <v>11074</v>
      </c>
      <c r="D3868" s="2" t="s">
        <v>11075</v>
      </c>
      <c r="E3868" s="2" t="s">
        <v>11076</v>
      </c>
      <c r="F3868" s="2" t="s">
        <v>16</v>
      </c>
      <c r="G3868" s="2"/>
      <c r="H3868" s="2"/>
      <c r="I3868" s="2"/>
      <c r="J3868" s="2" t="s">
        <v>42</v>
      </c>
      <c r="K3868" s="2"/>
      <c r="L3868" s="2" t="s">
        <v>2398</v>
      </c>
    </row>
    <row r="3869" customFormat="false" ht="15.65" hidden="false" customHeight="true" outlineLevel="0" collapsed="false">
      <c r="A3869" s="5" t="str">
        <f aca="false">HYPERLINK("https://www.fabsurplus.com/sdi_catalog/salesItemDetails.do?id=109606")</f>
        <v>https://www.fabsurplus.com/sdi_catalog/salesItemDetails.do?id=109606</v>
      </c>
      <c r="B3869" s="5" t="s">
        <v>11077</v>
      </c>
      <c r="C3869" s="5" t="s">
        <v>11074</v>
      </c>
      <c r="D3869" s="5" t="s">
        <v>11078</v>
      </c>
      <c r="E3869" s="5" t="s">
        <v>11079</v>
      </c>
      <c r="F3869" s="5" t="s">
        <v>16</v>
      </c>
      <c r="G3869" s="5"/>
      <c r="H3869" s="5"/>
      <c r="I3869" s="5"/>
      <c r="J3869" s="5" t="s">
        <v>42</v>
      </c>
      <c r="K3869" s="5"/>
      <c r="L3869" s="5" t="s">
        <v>2398</v>
      </c>
    </row>
    <row r="3870" customFormat="false" ht="15.65" hidden="false" customHeight="true" outlineLevel="0" collapsed="false">
      <c r="A3870" s="2" t="str">
        <f aca="false">HYPERLINK("https://www.fabsurplus.com/sdi_catalog/salesItemDetails.do?id=108490")</f>
        <v>https://www.fabsurplus.com/sdi_catalog/salesItemDetails.do?id=108490</v>
      </c>
      <c r="B3870" s="2" t="s">
        <v>11080</v>
      </c>
      <c r="C3870" s="2" t="s">
        <v>11074</v>
      </c>
      <c r="D3870" s="2" t="s">
        <v>11081</v>
      </c>
      <c r="E3870" s="2" t="s">
        <v>6504</v>
      </c>
      <c r="F3870" s="2" t="s">
        <v>5998</v>
      </c>
      <c r="G3870" s="2" t="s">
        <v>388</v>
      </c>
      <c r="H3870" s="2"/>
      <c r="I3870" s="2"/>
      <c r="J3870" s="2" t="s">
        <v>19</v>
      </c>
      <c r="K3870" s="2"/>
      <c r="L3870" s="2"/>
    </row>
    <row r="3871" customFormat="false" ht="15.65" hidden="false" customHeight="true" outlineLevel="0" collapsed="false">
      <c r="A3871" s="5" t="str">
        <f aca="false">HYPERLINK("https://www.fabsurplus.com/sdi_catalog/salesItemDetails.do?id=110521")</f>
        <v>https://www.fabsurplus.com/sdi_catalog/salesItemDetails.do?id=110521</v>
      </c>
      <c r="B3871" s="5" t="s">
        <v>11082</v>
      </c>
      <c r="C3871" s="5" t="s">
        <v>11083</v>
      </c>
      <c r="D3871" s="5" t="s">
        <v>11084</v>
      </c>
      <c r="E3871" s="5" t="s">
        <v>763</v>
      </c>
      <c r="F3871" s="5" t="s">
        <v>16</v>
      </c>
      <c r="G3871" s="5" t="s">
        <v>165</v>
      </c>
      <c r="H3871" s="5"/>
      <c r="I3871" s="5"/>
      <c r="J3871" s="5" t="s">
        <v>42</v>
      </c>
      <c r="K3871" s="5"/>
      <c r="L3871" s="5" t="s">
        <v>11085</v>
      </c>
    </row>
    <row r="3872" customFormat="false" ht="15.65" hidden="false" customHeight="true" outlineLevel="0" collapsed="false">
      <c r="A3872" s="2" t="str">
        <f aca="false">HYPERLINK("https://www.fabsurplus.com/sdi_catalog/salesItemDetails.do?id=84022")</f>
        <v>https://www.fabsurplus.com/sdi_catalog/salesItemDetails.do?id=84022</v>
      </c>
      <c r="B3872" s="2" t="s">
        <v>11086</v>
      </c>
      <c r="C3872" s="2" t="s">
        <v>11087</v>
      </c>
      <c r="D3872" s="2" t="s">
        <v>11088</v>
      </c>
      <c r="E3872" s="2" t="s">
        <v>11089</v>
      </c>
      <c r="F3872" s="2" t="s">
        <v>16</v>
      </c>
      <c r="G3872" s="2" t="s">
        <v>401</v>
      </c>
      <c r="H3872" s="2" t="s">
        <v>32</v>
      </c>
      <c r="I3872" s="3" t="n">
        <v>35430.9583333333</v>
      </c>
      <c r="J3872" s="2" t="s">
        <v>19</v>
      </c>
      <c r="K3872" s="2" t="s">
        <v>20</v>
      </c>
      <c r="L3872" s="4" t="s">
        <v>11090</v>
      </c>
    </row>
    <row r="3873" customFormat="false" ht="15.65" hidden="false" customHeight="true" outlineLevel="0" collapsed="false">
      <c r="A3873" s="5" t="str">
        <f aca="false">HYPERLINK("https://www.fabsurplus.com/sdi_catalog/salesItemDetails.do?id=84023")</f>
        <v>https://www.fabsurplus.com/sdi_catalog/salesItemDetails.do?id=84023</v>
      </c>
      <c r="B3873" s="5" t="s">
        <v>11091</v>
      </c>
      <c r="C3873" s="5" t="s">
        <v>11087</v>
      </c>
      <c r="D3873" s="5" t="s">
        <v>11092</v>
      </c>
      <c r="E3873" s="5" t="s">
        <v>11093</v>
      </c>
      <c r="F3873" s="5" t="s">
        <v>16</v>
      </c>
      <c r="G3873" s="5" t="s">
        <v>401</v>
      </c>
      <c r="H3873" s="5" t="s">
        <v>32</v>
      </c>
      <c r="I3873" s="6" t="n">
        <v>35431</v>
      </c>
      <c r="J3873" s="5" t="s">
        <v>19</v>
      </c>
      <c r="K3873" s="5" t="s">
        <v>20</v>
      </c>
      <c r="L3873" s="7" t="s">
        <v>11094</v>
      </c>
    </row>
    <row r="3874" customFormat="false" ht="15.65" hidden="false" customHeight="true" outlineLevel="0" collapsed="false">
      <c r="A3874" s="2" t="str">
        <f aca="false">HYPERLINK("https://www.fabsurplus.com/sdi_catalog/salesItemDetails.do?id=84380")</f>
        <v>https://www.fabsurplus.com/sdi_catalog/salesItemDetails.do?id=84380</v>
      </c>
      <c r="B3874" s="2" t="s">
        <v>11095</v>
      </c>
      <c r="C3874" s="2" t="s">
        <v>11096</v>
      </c>
      <c r="D3874" s="2" t="s">
        <v>11097</v>
      </c>
      <c r="E3874" s="2" t="s">
        <v>11098</v>
      </c>
      <c r="F3874" s="2" t="s">
        <v>236</v>
      </c>
      <c r="G3874" s="2"/>
      <c r="H3874" s="2" t="s">
        <v>98</v>
      </c>
      <c r="I3874" s="2"/>
      <c r="J3874" s="2" t="s">
        <v>19</v>
      </c>
      <c r="K3874" s="2" t="s">
        <v>20</v>
      </c>
      <c r="L3874" s="4" t="s">
        <v>11099</v>
      </c>
    </row>
    <row r="3875" customFormat="false" ht="15.65" hidden="false" customHeight="true" outlineLevel="0" collapsed="false">
      <c r="A3875" s="5" t="str">
        <f aca="false">HYPERLINK("https://www.fabsurplus.com/sdi_catalog/salesItemDetails.do?id=84381")</f>
        <v>https://www.fabsurplus.com/sdi_catalog/salesItemDetails.do?id=84381</v>
      </c>
      <c r="B3875" s="5" t="s">
        <v>11100</v>
      </c>
      <c r="C3875" s="5" t="s">
        <v>11096</v>
      </c>
      <c r="D3875" s="5" t="s">
        <v>11101</v>
      </c>
      <c r="E3875" s="5" t="s">
        <v>11102</v>
      </c>
      <c r="F3875" s="5" t="s">
        <v>236</v>
      </c>
      <c r="G3875" s="5" t="s">
        <v>11103</v>
      </c>
      <c r="H3875" s="5" t="s">
        <v>98</v>
      </c>
      <c r="I3875" s="5"/>
      <c r="J3875" s="5" t="s">
        <v>19</v>
      </c>
      <c r="K3875" s="5" t="s">
        <v>20</v>
      </c>
      <c r="L3875" s="7" t="s">
        <v>11104</v>
      </c>
    </row>
    <row r="3876" customFormat="false" ht="15.65" hidden="false" customHeight="true" outlineLevel="0" collapsed="false">
      <c r="A3876" s="2" t="str">
        <f aca="false">HYPERLINK("https://www.fabsurplus.com/sdi_catalog/salesItemDetails.do?id=84382")</f>
        <v>https://www.fabsurplus.com/sdi_catalog/salesItemDetails.do?id=84382</v>
      </c>
      <c r="B3876" s="2" t="s">
        <v>11105</v>
      </c>
      <c r="C3876" s="2" t="s">
        <v>11096</v>
      </c>
      <c r="D3876" s="2" t="s">
        <v>11106</v>
      </c>
      <c r="E3876" s="2" t="s">
        <v>11107</v>
      </c>
      <c r="F3876" s="2" t="s">
        <v>86</v>
      </c>
      <c r="G3876" s="2" t="s">
        <v>11108</v>
      </c>
      <c r="H3876" s="2" t="s">
        <v>98</v>
      </c>
      <c r="I3876" s="2"/>
      <c r="J3876" s="2" t="s">
        <v>19</v>
      </c>
      <c r="K3876" s="2" t="s">
        <v>20</v>
      </c>
      <c r="L3876" s="4" t="s">
        <v>11109</v>
      </c>
    </row>
    <row r="3877" customFormat="false" ht="15.65" hidden="false" customHeight="true" outlineLevel="0" collapsed="false">
      <c r="A3877" s="5" t="str">
        <f aca="false">HYPERLINK("https://www.fabsurplus.com/sdi_catalog/salesItemDetails.do?id=84383")</f>
        <v>https://www.fabsurplus.com/sdi_catalog/salesItemDetails.do?id=84383</v>
      </c>
      <c r="B3877" s="5" t="s">
        <v>11110</v>
      </c>
      <c r="C3877" s="5" t="s">
        <v>11096</v>
      </c>
      <c r="D3877" s="5" t="s">
        <v>11111</v>
      </c>
      <c r="E3877" s="5" t="s">
        <v>11112</v>
      </c>
      <c r="F3877" s="5" t="s">
        <v>151</v>
      </c>
      <c r="G3877" s="5" t="s">
        <v>11108</v>
      </c>
      <c r="H3877" s="5" t="s">
        <v>98</v>
      </c>
      <c r="I3877" s="5"/>
      <c r="J3877" s="5" t="s">
        <v>19</v>
      </c>
      <c r="K3877" s="5" t="s">
        <v>20</v>
      </c>
      <c r="L3877" s="7" t="s">
        <v>11113</v>
      </c>
    </row>
    <row r="3878" customFormat="false" ht="15.65" hidden="false" customHeight="true" outlineLevel="0" collapsed="false">
      <c r="A3878" s="2" t="str">
        <f aca="false">HYPERLINK("https://www.fabsurplus.com/sdi_catalog/salesItemDetails.do?id=84384")</f>
        <v>https://www.fabsurplus.com/sdi_catalog/salesItemDetails.do?id=84384</v>
      </c>
      <c r="B3878" s="2" t="s">
        <v>11114</v>
      </c>
      <c r="C3878" s="2" t="s">
        <v>11096</v>
      </c>
      <c r="D3878" s="2" t="s">
        <v>11115</v>
      </c>
      <c r="E3878" s="2" t="s">
        <v>11102</v>
      </c>
      <c r="F3878" s="2" t="s">
        <v>151</v>
      </c>
      <c r="G3878" s="2"/>
      <c r="H3878" s="2" t="s">
        <v>98</v>
      </c>
      <c r="I3878" s="2"/>
      <c r="J3878" s="2" t="s">
        <v>19</v>
      </c>
      <c r="K3878" s="2" t="s">
        <v>20</v>
      </c>
      <c r="L3878" s="4" t="s">
        <v>11116</v>
      </c>
    </row>
    <row r="3879" customFormat="false" ht="15.65" hidden="false" customHeight="true" outlineLevel="0" collapsed="false">
      <c r="A3879" s="5" t="str">
        <f aca="false">HYPERLINK("https://www.fabsurplus.com/sdi_catalog/salesItemDetails.do?id=84385")</f>
        <v>https://www.fabsurplus.com/sdi_catalog/salesItemDetails.do?id=84385</v>
      </c>
      <c r="B3879" s="5" t="s">
        <v>11117</v>
      </c>
      <c r="C3879" s="5" t="s">
        <v>11096</v>
      </c>
      <c r="D3879" s="5" t="s">
        <v>11118</v>
      </c>
      <c r="E3879" s="5" t="s">
        <v>11102</v>
      </c>
      <c r="F3879" s="5" t="s">
        <v>16</v>
      </c>
      <c r="G3879" s="5"/>
      <c r="H3879" s="5" t="s">
        <v>98</v>
      </c>
      <c r="I3879" s="5"/>
      <c r="J3879" s="5" t="s">
        <v>19</v>
      </c>
      <c r="K3879" s="5" t="s">
        <v>20</v>
      </c>
      <c r="L3879" s="7" t="s">
        <v>11119</v>
      </c>
    </row>
    <row r="3880" customFormat="false" ht="15.65" hidden="false" customHeight="true" outlineLevel="0" collapsed="false">
      <c r="A3880" s="2" t="str">
        <f aca="false">HYPERLINK("https://www.fabsurplus.com/sdi_catalog/salesItemDetails.do?id=69782")</f>
        <v>https://www.fabsurplus.com/sdi_catalog/salesItemDetails.do?id=69782</v>
      </c>
      <c r="B3880" s="2" t="s">
        <v>11120</v>
      </c>
      <c r="C3880" s="2" t="s">
        <v>11121</v>
      </c>
      <c r="D3880" s="2" t="s">
        <v>11122</v>
      </c>
      <c r="E3880" s="2" t="s">
        <v>11123</v>
      </c>
      <c r="F3880" s="2" t="s">
        <v>16</v>
      </c>
      <c r="G3880" s="2"/>
      <c r="H3880" s="2" t="s">
        <v>18</v>
      </c>
      <c r="I3880" s="2"/>
      <c r="J3880" s="2" t="s">
        <v>19</v>
      </c>
      <c r="K3880" s="2" t="s">
        <v>20</v>
      </c>
      <c r="L3880" s="2" t="s">
        <v>11124</v>
      </c>
    </row>
    <row r="3881" customFormat="false" ht="15.65" hidden="false" customHeight="true" outlineLevel="0" collapsed="false">
      <c r="A3881" s="5" t="str">
        <f aca="false">HYPERLINK("https://www.fabsurplus.com/sdi_catalog/salesItemDetails.do?id=70302")</f>
        <v>https://www.fabsurplus.com/sdi_catalog/salesItemDetails.do?id=70302</v>
      </c>
      <c r="B3881" s="5" t="s">
        <v>11125</v>
      </c>
      <c r="C3881" s="5" t="s">
        <v>11126</v>
      </c>
      <c r="D3881" s="5" t="s">
        <v>11127</v>
      </c>
      <c r="E3881" s="5" t="s">
        <v>11128</v>
      </c>
      <c r="F3881" s="5" t="s">
        <v>16</v>
      </c>
      <c r="G3881" s="5" t="s">
        <v>165</v>
      </c>
      <c r="H3881" s="5" t="s">
        <v>1969</v>
      </c>
      <c r="I3881" s="5"/>
      <c r="J3881" s="5" t="s">
        <v>19</v>
      </c>
      <c r="K3881" s="5" t="s">
        <v>20</v>
      </c>
      <c r="L3881" s="7" t="s">
        <v>11129</v>
      </c>
    </row>
    <row r="3882" customFormat="false" ht="15.65" hidden="false" customHeight="true" outlineLevel="0" collapsed="false">
      <c r="A3882" s="2" t="str">
        <f aca="false">HYPERLINK("https://www.fabsurplus.com/sdi_catalog/salesItemDetails.do?id=98497")</f>
        <v>https://www.fabsurplus.com/sdi_catalog/salesItemDetails.do?id=98497</v>
      </c>
      <c r="B3882" s="2" t="s">
        <v>11130</v>
      </c>
      <c r="C3882" s="2" t="s">
        <v>11131</v>
      </c>
      <c r="D3882" s="2" t="s">
        <v>11132</v>
      </c>
      <c r="E3882" s="2" t="s">
        <v>11133</v>
      </c>
      <c r="F3882" s="2" t="s">
        <v>16</v>
      </c>
      <c r="G3882" s="2" t="s">
        <v>38</v>
      </c>
      <c r="H3882" s="2" t="s">
        <v>32</v>
      </c>
      <c r="I3882" s="2"/>
      <c r="J3882" s="2" t="s">
        <v>19</v>
      </c>
      <c r="K3882" s="2" t="s">
        <v>20</v>
      </c>
      <c r="L3882" s="4" t="s">
        <v>11134</v>
      </c>
    </row>
    <row r="3883" customFormat="false" ht="15.65" hidden="false" customHeight="true" outlineLevel="0" collapsed="false">
      <c r="A3883" s="5" t="str">
        <f aca="false">HYPERLINK("https://www.fabsurplus.com/sdi_catalog/salesItemDetails.do?id=108299")</f>
        <v>https://www.fabsurplus.com/sdi_catalog/salesItemDetails.do?id=108299</v>
      </c>
      <c r="B3883" s="5" t="s">
        <v>11135</v>
      </c>
      <c r="C3883" s="5" t="s">
        <v>11136</v>
      </c>
      <c r="D3883" s="5" t="s">
        <v>11137</v>
      </c>
      <c r="E3883" s="5" t="s">
        <v>11138</v>
      </c>
      <c r="F3883" s="5" t="s">
        <v>16</v>
      </c>
      <c r="G3883" s="5" t="s">
        <v>38</v>
      </c>
      <c r="H3883" s="5"/>
      <c r="I3883" s="6" t="n">
        <v>41061</v>
      </c>
      <c r="J3883" s="5" t="s">
        <v>19</v>
      </c>
      <c r="K3883" s="5"/>
      <c r="L3883" s="5"/>
    </row>
    <row r="3884" customFormat="false" ht="15.65" hidden="false" customHeight="true" outlineLevel="0" collapsed="false">
      <c r="A3884" s="2" t="str">
        <f aca="false">HYPERLINK("https://www.fabsurplus.com/sdi_catalog/salesItemDetails.do?id=106535")</f>
        <v>https://www.fabsurplus.com/sdi_catalog/salesItemDetails.do?id=106535</v>
      </c>
      <c r="B3884" s="2" t="s">
        <v>11139</v>
      </c>
      <c r="C3884" s="2" t="s">
        <v>11140</v>
      </c>
      <c r="D3884" s="2" t="s">
        <v>11132</v>
      </c>
      <c r="E3884" s="2" t="s">
        <v>11141</v>
      </c>
      <c r="F3884" s="2" t="s">
        <v>16</v>
      </c>
      <c r="G3884" s="2" t="s">
        <v>38</v>
      </c>
      <c r="H3884" s="2" t="s">
        <v>18</v>
      </c>
      <c r="I3884" s="2"/>
      <c r="J3884" s="2" t="s">
        <v>19</v>
      </c>
      <c r="K3884" s="2" t="s">
        <v>20</v>
      </c>
      <c r="L3884" s="2" t="s">
        <v>2863</v>
      </c>
    </row>
    <row r="3885" customFormat="false" ht="15.65" hidden="false" customHeight="true" outlineLevel="0" collapsed="false">
      <c r="A3885" s="5" t="str">
        <f aca="false">HYPERLINK("https://www.fabsurplus.com/sdi_catalog/salesItemDetails.do?id=106536")</f>
        <v>https://www.fabsurplus.com/sdi_catalog/salesItemDetails.do?id=106536</v>
      </c>
      <c r="B3885" s="5" t="s">
        <v>11142</v>
      </c>
      <c r="C3885" s="5" t="s">
        <v>11140</v>
      </c>
      <c r="D3885" s="5" t="s">
        <v>11132</v>
      </c>
      <c r="E3885" s="5" t="s">
        <v>11141</v>
      </c>
      <c r="F3885" s="5" t="s">
        <v>16</v>
      </c>
      <c r="G3885" s="5" t="s">
        <v>2858</v>
      </c>
      <c r="H3885" s="5" t="s">
        <v>32</v>
      </c>
      <c r="I3885" s="5"/>
      <c r="J3885" s="5" t="s">
        <v>19</v>
      </c>
      <c r="K3885" s="5" t="s">
        <v>20</v>
      </c>
      <c r="L3885" s="5" t="s">
        <v>2863</v>
      </c>
    </row>
    <row r="3886" customFormat="false" ht="15.65" hidden="false" customHeight="true" outlineLevel="0" collapsed="false">
      <c r="A3886" s="2" t="str">
        <f aca="false">HYPERLINK("https://www.fabsurplus.com/sdi_catalog/salesItemDetails.do?id=106537")</f>
        <v>https://www.fabsurplus.com/sdi_catalog/salesItemDetails.do?id=106537</v>
      </c>
      <c r="B3886" s="2" t="s">
        <v>11143</v>
      </c>
      <c r="C3886" s="2" t="s">
        <v>11140</v>
      </c>
      <c r="D3886" s="2" t="s">
        <v>11144</v>
      </c>
      <c r="E3886" s="2" t="s">
        <v>11141</v>
      </c>
      <c r="F3886" s="2" t="s">
        <v>16</v>
      </c>
      <c r="G3886" s="2" t="s">
        <v>38</v>
      </c>
      <c r="H3886" s="2" t="s">
        <v>18</v>
      </c>
      <c r="I3886" s="2"/>
      <c r="J3886" s="2" t="s">
        <v>19</v>
      </c>
      <c r="K3886" s="2" t="s">
        <v>20</v>
      </c>
      <c r="L3886" s="2" t="s">
        <v>2863</v>
      </c>
    </row>
    <row r="3887" customFormat="false" ht="15.65" hidden="false" customHeight="true" outlineLevel="0" collapsed="false">
      <c r="A3887" s="5" t="str">
        <f aca="false">HYPERLINK("https://www.fabsurplus.com/sdi_catalog/salesItemDetails.do?id=106538")</f>
        <v>https://www.fabsurplus.com/sdi_catalog/salesItemDetails.do?id=106538</v>
      </c>
      <c r="B3887" s="5" t="s">
        <v>11145</v>
      </c>
      <c r="C3887" s="5" t="s">
        <v>11140</v>
      </c>
      <c r="D3887" s="5" t="s">
        <v>11144</v>
      </c>
      <c r="E3887" s="5" t="s">
        <v>11141</v>
      </c>
      <c r="F3887" s="5" t="s">
        <v>16</v>
      </c>
      <c r="G3887" s="5" t="s">
        <v>2858</v>
      </c>
      <c r="H3887" s="5" t="s">
        <v>18</v>
      </c>
      <c r="I3887" s="5"/>
      <c r="J3887" s="5" t="s">
        <v>19</v>
      </c>
      <c r="K3887" s="5" t="s">
        <v>20</v>
      </c>
      <c r="L3887" s="5" t="s">
        <v>2863</v>
      </c>
    </row>
    <row r="3888" customFormat="false" ht="15.65" hidden="false" customHeight="true" outlineLevel="0" collapsed="false">
      <c r="A3888" s="2" t="str">
        <f aca="false">HYPERLINK("https://www.fabsurplus.com/sdi_catalog/salesItemDetails.do?id=106539")</f>
        <v>https://www.fabsurplus.com/sdi_catalog/salesItemDetails.do?id=106539</v>
      </c>
      <c r="B3888" s="2" t="s">
        <v>11146</v>
      </c>
      <c r="C3888" s="2" t="s">
        <v>11140</v>
      </c>
      <c r="D3888" s="2" t="s">
        <v>11147</v>
      </c>
      <c r="E3888" s="2" t="s">
        <v>11141</v>
      </c>
      <c r="F3888" s="2" t="s">
        <v>16</v>
      </c>
      <c r="G3888" s="2" t="s">
        <v>2858</v>
      </c>
      <c r="H3888" s="2" t="s">
        <v>32</v>
      </c>
      <c r="I3888" s="2"/>
      <c r="J3888" s="2" t="s">
        <v>19</v>
      </c>
      <c r="K3888" s="2" t="s">
        <v>20</v>
      </c>
      <c r="L3888" s="2" t="s">
        <v>2863</v>
      </c>
    </row>
    <row r="3889" customFormat="false" ht="15.65" hidden="false" customHeight="true" outlineLevel="0" collapsed="false">
      <c r="A3889" s="5" t="str">
        <f aca="false">HYPERLINK("https://www.fabsurplus.com/sdi_catalog/salesItemDetails.do?id=106541")</f>
        <v>https://www.fabsurplus.com/sdi_catalog/salesItemDetails.do?id=106541</v>
      </c>
      <c r="B3889" s="5" t="s">
        <v>11148</v>
      </c>
      <c r="C3889" s="5" t="s">
        <v>11140</v>
      </c>
      <c r="D3889" s="5" t="s">
        <v>6689</v>
      </c>
      <c r="E3889" s="5" t="s">
        <v>11149</v>
      </c>
      <c r="F3889" s="5" t="s">
        <v>16</v>
      </c>
      <c r="G3889" s="5" t="s">
        <v>2858</v>
      </c>
      <c r="H3889" s="5" t="s">
        <v>32</v>
      </c>
      <c r="I3889" s="6" t="n">
        <v>36312</v>
      </c>
      <c r="J3889" s="5" t="s">
        <v>19</v>
      </c>
      <c r="K3889" s="5" t="s">
        <v>20</v>
      </c>
      <c r="L3889" s="7" t="s">
        <v>11150</v>
      </c>
    </row>
    <row r="3890" customFormat="false" ht="15.65" hidden="false" customHeight="true" outlineLevel="0" collapsed="false">
      <c r="A3890" s="2" t="str">
        <f aca="false">HYPERLINK("https://www.fabsurplus.com/sdi_catalog/salesItemDetails.do?id=106913")</f>
        <v>https://www.fabsurplus.com/sdi_catalog/salesItemDetails.do?id=106913</v>
      </c>
      <c r="B3890" s="2" t="s">
        <v>11151</v>
      </c>
      <c r="C3890" s="2" t="s">
        <v>11140</v>
      </c>
      <c r="D3890" s="2" t="s">
        <v>11152</v>
      </c>
      <c r="E3890" s="2"/>
      <c r="F3890" s="2" t="s">
        <v>16</v>
      </c>
      <c r="G3890" s="2" t="s">
        <v>97</v>
      </c>
      <c r="H3890" s="2" t="s">
        <v>32</v>
      </c>
      <c r="I3890" s="2"/>
      <c r="J3890" s="2" t="s">
        <v>19</v>
      </c>
      <c r="K3890" s="2" t="s">
        <v>2891</v>
      </c>
      <c r="L3890" s="2"/>
    </row>
    <row r="3891" customFormat="false" ht="15.65" hidden="false" customHeight="true" outlineLevel="0" collapsed="false">
      <c r="A3891" s="5" t="str">
        <f aca="false">HYPERLINK("https://www.fabsurplus.com/sdi_catalog/salesItemDetails.do?id=106954")</f>
        <v>https://www.fabsurplus.com/sdi_catalog/salesItemDetails.do?id=106954</v>
      </c>
      <c r="B3891" s="5" t="s">
        <v>11153</v>
      </c>
      <c r="C3891" s="5" t="s">
        <v>11154</v>
      </c>
      <c r="D3891" s="5" t="s">
        <v>6732</v>
      </c>
      <c r="E3891" s="5" t="s">
        <v>6695</v>
      </c>
      <c r="F3891" s="5" t="s">
        <v>16</v>
      </c>
      <c r="G3891" s="5" t="s">
        <v>1293</v>
      </c>
      <c r="H3891" s="5" t="s">
        <v>18</v>
      </c>
      <c r="I3891" s="6" t="n">
        <v>38139</v>
      </c>
      <c r="J3891" s="5" t="s">
        <v>19</v>
      </c>
      <c r="K3891" s="5" t="s">
        <v>20</v>
      </c>
      <c r="L3891" s="7" t="s">
        <v>11155</v>
      </c>
    </row>
    <row r="3892" customFormat="false" ht="15.65" hidden="false" customHeight="true" outlineLevel="0" collapsed="false">
      <c r="A3892" s="2" t="str">
        <f aca="false">HYPERLINK("https://www.fabsurplus.com/sdi_catalog/salesItemDetails.do?id=106955")</f>
        <v>https://www.fabsurplus.com/sdi_catalog/salesItemDetails.do?id=106955</v>
      </c>
      <c r="B3892" s="2" t="s">
        <v>11156</v>
      </c>
      <c r="C3892" s="2" t="s">
        <v>11154</v>
      </c>
      <c r="D3892" s="2" t="s">
        <v>6732</v>
      </c>
      <c r="E3892" s="2" t="s">
        <v>6695</v>
      </c>
      <c r="F3892" s="2" t="s">
        <v>16</v>
      </c>
      <c r="G3892" s="2" t="s">
        <v>1293</v>
      </c>
      <c r="H3892" s="2" t="s">
        <v>18</v>
      </c>
      <c r="I3892" s="3" t="n">
        <v>35947</v>
      </c>
      <c r="J3892" s="2" t="s">
        <v>19</v>
      </c>
      <c r="K3892" s="2" t="s">
        <v>20</v>
      </c>
      <c r="L3892" s="4" t="s">
        <v>11157</v>
      </c>
    </row>
    <row r="3893" customFormat="false" ht="15.65" hidden="false" customHeight="true" outlineLevel="0" collapsed="false">
      <c r="A3893" s="5" t="str">
        <f aca="false">HYPERLINK("https://www.fabsurplus.com/sdi_catalog/salesItemDetails.do?id=106669")</f>
        <v>https://www.fabsurplus.com/sdi_catalog/salesItemDetails.do?id=106669</v>
      </c>
      <c r="B3893" s="5" t="s">
        <v>11158</v>
      </c>
      <c r="C3893" s="5" t="s">
        <v>11159</v>
      </c>
      <c r="D3893" s="5" t="s">
        <v>11160</v>
      </c>
      <c r="E3893" s="5" t="s">
        <v>59</v>
      </c>
      <c r="F3893" s="5" t="s">
        <v>16</v>
      </c>
      <c r="G3893" s="5" t="s">
        <v>38</v>
      </c>
      <c r="H3893" s="5"/>
      <c r="I3893" s="6" t="n">
        <v>35217</v>
      </c>
      <c r="J3893" s="5" t="s">
        <v>19</v>
      </c>
      <c r="K3893" s="5"/>
      <c r="L3893" s="5" t="s">
        <v>518</v>
      </c>
    </row>
    <row r="3894" customFormat="false" ht="15.65" hidden="false" customHeight="true" outlineLevel="0" collapsed="false">
      <c r="A3894" s="2" t="str">
        <f aca="false">HYPERLINK("https://www.fabsurplus.com/sdi_catalog/salesItemDetails.do?id=106670")</f>
        <v>https://www.fabsurplus.com/sdi_catalog/salesItemDetails.do?id=106670</v>
      </c>
      <c r="B3894" s="2" t="s">
        <v>11161</v>
      </c>
      <c r="C3894" s="2" t="s">
        <v>11159</v>
      </c>
      <c r="D3894" s="2" t="s">
        <v>11162</v>
      </c>
      <c r="E3894" s="2" t="s">
        <v>11163</v>
      </c>
      <c r="F3894" s="2" t="s">
        <v>16</v>
      </c>
      <c r="G3894" s="2" t="s">
        <v>2868</v>
      </c>
      <c r="H3894" s="2"/>
      <c r="I3894" s="2"/>
      <c r="J3894" s="2" t="s">
        <v>19</v>
      </c>
      <c r="K3894" s="2"/>
      <c r="L3894" s="2" t="s">
        <v>518</v>
      </c>
    </row>
    <row r="3895" customFormat="false" ht="15.65" hidden="false" customHeight="true" outlineLevel="0" collapsed="false">
      <c r="A3895" s="5" t="str">
        <f aca="false">HYPERLINK("https://www.fabsurplus.com/sdi_catalog/salesItemDetails.do?id=106671")</f>
        <v>https://www.fabsurplus.com/sdi_catalog/salesItemDetails.do?id=106671</v>
      </c>
      <c r="B3895" s="5" t="s">
        <v>11164</v>
      </c>
      <c r="C3895" s="5" t="s">
        <v>11159</v>
      </c>
      <c r="D3895" s="5" t="s">
        <v>11165</v>
      </c>
      <c r="E3895" s="5" t="s">
        <v>11163</v>
      </c>
      <c r="F3895" s="5" t="s">
        <v>16</v>
      </c>
      <c r="G3895" s="5" t="s">
        <v>2868</v>
      </c>
      <c r="H3895" s="5"/>
      <c r="I3895" s="5"/>
      <c r="J3895" s="5" t="s">
        <v>19</v>
      </c>
      <c r="K3895" s="5"/>
      <c r="L3895" s="5" t="s">
        <v>518</v>
      </c>
    </row>
    <row r="3896" customFormat="false" ht="15.65" hidden="false" customHeight="true" outlineLevel="0" collapsed="false">
      <c r="A3896" s="2" t="str">
        <f aca="false">HYPERLINK("https://www.fabsurplus.com/sdi_catalog/salesItemDetails.do?id=106672")</f>
        <v>https://www.fabsurplus.com/sdi_catalog/salesItemDetails.do?id=106672</v>
      </c>
      <c r="B3896" s="2" t="s">
        <v>11166</v>
      </c>
      <c r="C3896" s="2" t="s">
        <v>11159</v>
      </c>
      <c r="D3896" s="2" t="s">
        <v>11167</v>
      </c>
      <c r="E3896" s="2" t="s">
        <v>11163</v>
      </c>
      <c r="F3896" s="2" t="s">
        <v>16</v>
      </c>
      <c r="G3896" s="2" t="s">
        <v>38</v>
      </c>
      <c r="H3896" s="2"/>
      <c r="I3896" s="2"/>
      <c r="J3896" s="2" t="s">
        <v>19</v>
      </c>
      <c r="K3896" s="2"/>
      <c r="L3896" s="2" t="s">
        <v>518</v>
      </c>
    </row>
    <row r="3897" customFormat="false" ht="15.65" hidden="false" customHeight="true" outlineLevel="0" collapsed="false">
      <c r="A3897" s="5" t="str">
        <f aca="false">HYPERLINK("https://www.fabsurplus.com/sdi_catalog/salesItemDetails.do?id=87367")</f>
        <v>https://www.fabsurplus.com/sdi_catalog/salesItemDetails.do?id=87367</v>
      </c>
      <c r="B3897" s="5" t="s">
        <v>11168</v>
      </c>
      <c r="C3897" s="5" t="s">
        <v>11169</v>
      </c>
      <c r="D3897" s="5" t="s">
        <v>11170</v>
      </c>
      <c r="E3897" s="5" t="s">
        <v>11171</v>
      </c>
      <c r="F3897" s="5" t="s">
        <v>16</v>
      </c>
      <c r="G3897" s="5" t="s">
        <v>2889</v>
      </c>
      <c r="H3897" s="5" t="s">
        <v>32</v>
      </c>
      <c r="I3897" s="5"/>
      <c r="J3897" s="5" t="s">
        <v>286</v>
      </c>
      <c r="K3897" s="5" t="s">
        <v>20</v>
      </c>
      <c r="L3897" s="7" t="s">
        <v>11172</v>
      </c>
    </row>
    <row r="3898" customFormat="false" ht="15.65" hidden="false" customHeight="true" outlineLevel="0" collapsed="false">
      <c r="A3898" s="2" t="str">
        <f aca="false">HYPERLINK("https://www.fabsurplus.com/sdi_catalog/salesItemDetails.do?id=108104")</f>
        <v>https://www.fabsurplus.com/sdi_catalog/salesItemDetails.do?id=108104</v>
      </c>
      <c r="B3898" s="2" t="s">
        <v>11173</v>
      </c>
      <c r="C3898" s="2" t="s">
        <v>11169</v>
      </c>
      <c r="D3898" s="2" t="s">
        <v>11174</v>
      </c>
      <c r="E3898" s="2" t="s">
        <v>11175</v>
      </c>
      <c r="F3898" s="2" t="s">
        <v>16</v>
      </c>
      <c r="G3898" s="2"/>
      <c r="H3898" s="2"/>
      <c r="I3898" s="2"/>
      <c r="J3898" s="2" t="s">
        <v>19</v>
      </c>
      <c r="K3898" s="2"/>
      <c r="L3898" s="2" t="s">
        <v>11176</v>
      </c>
    </row>
    <row r="3899" customFormat="false" ht="15.65" hidden="false" customHeight="true" outlineLevel="0" collapsed="false">
      <c r="A3899" s="5" t="str">
        <f aca="false">HYPERLINK("https://www.fabsurplus.com/sdi_catalog/salesItemDetails.do?id=108105")</f>
        <v>https://www.fabsurplus.com/sdi_catalog/salesItemDetails.do?id=108105</v>
      </c>
      <c r="B3899" s="5" t="s">
        <v>11177</v>
      </c>
      <c r="C3899" s="5" t="s">
        <v>11169</v>
      </c>
      <c r="D3899" s="5" t="s">
        <v>11178</v>
      </c>
      <c r="E3899" s="5" t="s">
        <v>11179</v>
      </c>
      <c r="F3899" s="5" t="s">
        <v>16</v>
      </c>
      <c r="G3899" s="5"/>
      <c r="H3899" s="5"/>
      <c r="I3899" s="5"/>
      <c r="J3899" s="5" t="s">
        <v>19</v>
      </c>
      <c r="K3899" s="5"/>
      <c r="L3899" s="5" t="s">
        <v>11180</v>
      </c>
    </row>
    <row r="3900" customFormat="false" ht="15.65" hidden="false" customHeight="true" outlineLevel="0" collapsed="false">
      <c r="A3900" s="2" t="str">
        <f aca="false">HYPERLINK("https://www.fabsurplus.com/sdi_catalog/salesItemDetails.do?id=72155")</f>
        <v>https://www.fabsurplus.com/sdi_catalog/salesItemDetails.do?id=72155</v>
      </c>
      <c r="B3900" s="2" t="s">
        <v>11181</v>
      </c>
      <c r="C3900" s="2" t="s">
        <v>11182</v>
      </c>
      <c r="D3900" s="2" t="s">
        <v>11183</v>
      </c>
      <c r="E3900" s="2" t="s">
        <v>11184</v>
      </c>
      <c r="F3900" s="2" t="s">
        <v>16</v>
      </c>
      <c r="G3900" s="2" t="s">
        <v>104</v>
      </c>
      <c r="H3900" s="2" t="s">
        <v>98</v>
      </c>
      <c r="I3900" s="3" t="n">
        <v>37652.9583333333</v>
      </c>
      <c r="J3900" s="2" t="s">
        <v>19</v>
      </c>
      <c r="K3900" s="2" t="s">
        <v>20</v>
      </c>
      <c r="L3900" s="4" t="s">
        <v>11185</v>
      </c>
    </row>
    <row r="3901" customFormat="false" ht="15.65" hidden="false" customHeight="true" outlineLevel="0" collapsed="false">
      <c r="A3901" s="5" t="str">
        <f aca="false">HYPERLINK("https://www.fabsurplus.com/sdi_catalog/salesItemDetails.do?id=108979")</f>
        <v>https://www.fabsurplus.com/sdi_catalog/salesItemDetails.do?id=108979</v>
      </c>
      <c r="B3901" s="5" t="s">
        <v>11186</v>
      </c>
      <c r="C3901" s="5" t="s">
        <v>11187</v>
      </c>
      <c r="D3901" s="5" t="s">
        <v>11188</v>
      </c>
      <c r="E3901" s="5" t="s">
        <v>11189</v>
      </c>
      <c r="F3901" s="5" t="s">
        <v>16</v>
      </c>
      <c r="G3901" s="5" t="s">
        <v>104</v>
      </c>
      <c r="H3901" s="5" t="s">
        <v>18</v>
      </c>
      <c r="I3901" s="5"/>
      <c r="J3901" s="5" t="s">
        <v>19</v>
      </c>
      <c r="K3901" s="5" t="s">
        <v>20</v>
      </c>
      <c r="L3901" s="7" t="s">
        <v>11190</v>
      </c>
    </row>
    <row r="3902" customFormat="false" ht="15.65" hidden="false" customHeight="true" outlineLevel="0" collapsed="false">
      <c r="A3902" s="2" t="str">
        <f aca="false">HYPERLINK("https://www.fabsurplus.com/sdi_catalog/salesItemDetails.do?id=108980")</f>
        <v>https://www.fabsurplus.com/sdi_catalog/salesItemDetails.do?id=108980</v>
      </c>
      <c r="B3902" s="2" t="s">
        <v>11191</v>
      </c>
      <c r="C3902" s="2" t="s">
        <v>11187</v>
      </c>
      <c r="D3902" s="2" t="s">
        <v>11192</v>
      </c>
      <c r="E3902" s="2" t="s">
        <v>11189</v>
      </c>
      <c r="F3902" s="2" t="s">
        <v>16</v>
      </c>
      <c r="G3902" s="2" t="s">
        <v>104</v>
      </c>
      <c r="H3902" s="2" t="s">
        <v>18</v>
      </c>
      <c r="I3902" s="2"/>
      <c r="J3902" s="2" t="s">
        <v>19</v>
      </c>
      <c r="K3902" s="2" t="s">
        <v>20</v>
      </c>
      <c r="L3902" s="4" t="s">
        <v>11193</v>
      </c>
    </row>
    <row r="3903" customFormat="false" ht="15.65" hidden="false" customHeight="true" outlineLevel="0" collapsed="false">
      <c r="A3903" s="5" t="str">
        <f aca="false">HYPERLINK("https://www.fabsurplus.com/sdi_catalog/salesItemDetails.do?id=108982")</f>
        <v>https://www.fabsurplus.com/sdi_catalog/salesItemDetails.do?id=108982</v>
      </c>
      <c r="B3903" s="5" t="s">
        <v>11194</v>
      </c>
      <c r="C3903" s="5" t="s">
        <v>11187</v>
      </c>
      <c r="D3903" s="5" t="s">
        <v>11195</v>
      </c>
      <c r="E3903" s="5" t="s">
        <v>11196</v>
      </c>
      <c r="F3903" s="5" t="s">
        <v>16</v>
      </c>
      <c r="G3903" s="5" t="s">
        <v>104</v>
      </c>
      <c r="H3903" s="5" t="s">
        <v>18</v>
      </c>
      <c r="I3903" s="6" t="n">
        <v>37043</v>
      </c>
      <c r="J3903" s="5" t="s">
        <v>19</v>
      </c>
      <c r="K3903" s="5" t="s">
        <v>20</v>
      </c>
      <c r="L3903" s="7" t="s">
        <v>11197</v>
      </c>
    </row>
    <row r="3904" customFormat="false" ht="15.65" hidden="false" customHeight="true" outlineLevel="0" collapsed="false">
      <c r="A3904" s="2" t="str">
        <f aca="false">HYPERLINK("https://www.fabsurplus.com/sdi_catalog/salesItemDetails.do?id=108983")</f>
        <v>https://www.fabsurplus.com/sdi_catalog/salesItemDetails.do?id=108983</v>
      </c>
      <c r="B3904" s="2" t="s">
        <v>11198</v>
      </c>
      <c r="C3904" s="2" t="s">
        <v>11187</v>
      </c>
      <c r="D3904" s="2" t="s">
        <v>11199</v>
      </c>
      <c r="E3904" s="2" t="s">
        <v>11200</v>
      </c>
      <c r="F3904" s="2" t="s">
        <v>16</v>
      </c>
      <c r="G3904" s="2" t="s">
        <v>104</v>
      </c>
      <c r="H3904" s="2" t="s">
        <v>18</v>
      </c>
      <c r="I3904" s="3" t="n">
        <v>35947</v>
      </c>
      <c r="J3904" s="2" t="s">
        <v>19</v>
      </c>
      <c r="K3904" s="2" t="s">
        <v>20</v>
      </c>
      <c r="L3904" s="4" t="s">
        <v>11201</v>
      </c>
    </row>
    <row r="3905" customFormat="false" ht="15.65" hidden="false" customHeight="true" outlineLevel="0" collapsed="false">
      <c r="A3905" s="5" t="str">
        <f aca="false">HYPERLINK("https://www.fabsurplus.com/sdi_catalog/salesItemDetails.do?id=108984")</f>
        <v>https://www.fabsurplus.com/sdi_catalog/salesItemDetails.do?id=108984</v>
      </c>
      <c r="B3905" s="5" t="s">
        <v>11202</v>
      </c>
      <c r="C3905" s="5" t="s">
        <v>11187</v>
      </c>
      <c r="D3905" s="5" t="s">
        <v>11203</v>
      </c>
      <c r="E3905" s="5" t="s">
        <v>11204</v>
      </c>
      <c r="F3905" s="5" t="s">
        <v>16</v>
      </c>
      <c r="G3905" s="5" t="s">
        <v>104</v>
      </c>
      <c r="H3905" s="5" t="s">
        <v>1969</v>
      </c>
      <c r="I3905" s="6" t="n">
        <v>37104</v>
      </c>
      <c r="J3905" s="5"/>
      <c r="K3905" s="5" t="s">
        <v>20</v>
      </c>
      <c r="L3905" s="7" t="s">
        <v>11205</v>
      </c>
    </row>
    <row r="3906" customFormat="false" ht="15.65" hidden="false" customHeight="true" outlineLevel="0" collapsed="false">
      <c r="A3906" s="2" t="str">
        <f aca="false">HYPERLINK("https://www.fabsurplus.com/sdi_catalog/salesItemDetails.do?id=108985")</f>
        <v>https://www.fabsurplus.com/sdi_catalog/salesItemDetails.do?id=108985</v>
      </c>
      <c r="B3906" s="2" t="s">
        <v>11206</v>
      </c>
      <c r="C3906" s="2" t="s">
        <v>11187</v>
      </c>
      <c r="D3906" s="2" t="s">
        <v>11207</v>
      </c>
      <c r="E3906" s="2" t="s">
        <v>11208</v>
      </c>
      <c r="F3906" s="2" t="s">
        <v>16</v>
      </c>
      <c r="G3906" s="2" t="s">
        <v>104</v>
      </c>
      <c r="H3906" s="2" t="s">
        <v>32</v>
      </c>
      <c r="I3906" s="3" t="n">
        <v>38139</v>
      </c>
      <c r="J3906" s="2" t="s">
        <v>19</v>
      </c>
      <c r="K3906" s="2" t="s">
        <v>20</v>
      </c>
      <c r="L3906" s="4" t="s">
        <v>11209</v>
      </c>
    </row>
    <row r="3907" customFormat="false" ht="15.65" hidden="false" customHeight="true" outlineLevel="0" collapsed="false">
      <c r="A3907" s="5" t="str">
        <f aca="false">HYPERLINK("https://www.fabsurplus.com/sdi_catalog/salesItemDetails.do?id=108986")</f>
        <v>https://www.fabsurplus.com/sdi_catalog/salesItemDetails.do?id=108986</v>
      </c>
      <c r="B3907" s="5" t="s">
        <v>11210</v>
      </c>
      <c r="C3907" s="5" t="s">
        <v>11187</v>
      </c>
      <c r="D3907" s="5" t="s">
        <v>11211</v>
      </c>
      <c r="E3907" s="5" t="s">
        <v>11212</v>
      </c>
      <c r="F3907" s="5" t="s">
        <v>16</v>
      </c>
      <c r="G3907" s="5" t="s">
        <v>104</v>
      </c>
      <c r="H3907" s="5" t="s">
        <v>32</v>
      </c>
      <c r="I3907" s="5"/>
      <c r="J3907" s="5" t="s">
        <v>19</v>
      </c>
      <c r="K3907" s="5" t="s">
        <v>20</v>
      </c>
      <c r="L3907" s="7" t="s">
        <v>11213</v>
      </c>
    </row>
    <row r="3908" customFormat="false" ht="15.65" hidden="false" customHeight="true" outlineLevel="0" collapsed="false">
      <c r="A3908" s="2" t="str">
        <f aca="false">HYPERLINK("https://www.fabsurplus.com/sdi_catalog/salesItemDetails.do?id=106941")</f>
        <v>https://www.fabsurplus.com/sdi_catalog/salesItemDetails.do?id=106941</v>
      </c>
      <c r="B3908" s="2" t="s">
        <v>11214</v>
      </c>
      <c r="C3908" s="2" t="s">
        <v>11187</v>
      </c>
      <c r="D3908" s="2" t="s">
        <v>11215</v>
      </c>
      <c r="E3908" s="2" t="s">
        <v>11216</v>
      </c>
      <c r="F3908" s="2" t="s">
        <v>16</v>
      </c>
      <c r="G3908" s="2" t="s">
        <v>104</v>
      </c>
      <c r="H3908" s="2" t="s">
        <v>18</v>
      </c>
      <c r="I3908" s="2"/>
      <c r="J3908" s="2" t="s">
        <v>19</v>
      </c>
      <c r="K3908" s="2" t="s">
        <v>20</v>
      </c>
      <c r="L3908" s="4" t="s">
        <v>11217</v>
      </c>
    </row>
    <row r="3909" customFormat="false" ht="15.65" hidden="false" customHeight="true" outlineLevel="0" collapsed="false">
      <c r="A3909" s="5" t="str">
        <f aca="false">HYPERLINK("https://www.fabsurplus.com/sdi_catalog/salesItemDetails.do?id=106942")</f>
        <v>https://www.fabsurplus.com/sdi_catalog/salesItemDetails.do?id=106942</v>
      </c>
      <c r="B3909" s="5" t="s">
        <v>11218</v>
      </c>
      <c r="C3909" s="5" t="s">
        <v>11187</v>
      </c>
      <c r="D3909" s="5" t="s">
        <v>11219</v>
      </c>
      <c r="E3909" s="5" t="s">
        <v>11220</v>
      </c>
      <c r="F3909" s="5" t="s">
        <v>16</v>
      </c>
      <c r="G3909" s="5" t="s">
        <v>104</v>
      </c>
      <c r="H3909" s="5" t="s">
        <v>18</v>
      </c>
      <c r="I3909" s="6" t="n">
        <v>37043</v>
      </c>
      <c r="J3909" s="5" t="s">
        <v>19</v>
      </c>
      <c r="K3909" s="5" t="s">
        <v>20</v>
      </c>
      <c r="L3909" s="7" t="s">
        <v>11217</v>
      </c>
    </row>
    <row r="3910" customFormat="false" ht="15.65" hidden="false" customHeight="true" outlineLevel="0" collapsed="false">
      <c r="A3910" s="2" t="str">
        <f aca="false">HYPERLINK("https://www.fabsurplus.com/sdi_catalog/salesItemDetails.do?id=106943")</f>
        <v>https://www.fabsurplus.com/sdi_catalog/salesItemDetails.do?id=106943</v>
      </c>
      <c r="B3910" s="2" t="s">
        <v>11221</v>
      </c>
      <c r="C3910" s="2" t="s">
        <v>11187</v>
      </c>
      <c r="D3910" s="2" t="s">
        <v>11222</v>
      </c>
      <c r="E3910" s="2" t="s">
        <v>11223</v>
      </c>
      <c r="F3910" s="2" t="s">
        <v>16</v>
      </c>
      <c r="G3910" s="2" t="s">
        <v>104</v>
      </c>
      <c r="H3910" s="2" t="s">
        <v>1969</v>
      </c>
      <c r="I3910" s="3" t="n">
        <v>37043</v>
      </c>
      <c r="J3910" s="2" t="s">
        <v>19</v>
      </c>
      <c r="K3910" s="2" t="s">
        <v>20</v>
      </c>
      <c r="L3910" s="4" t="s">
        <v>11224</v>
      </c>
    </row>
    <row r="3911" customFormat="false" ht="15.65" hidden="false" customHeight="true" outlineLevel="0" collapsed="false">
      <c r="A3911" s="5" t="str">
        <f aca="false">HYPERLINK("https://www.fabsurplus.com/sdi_catalog/salesItemDetails.do?id=106743")</f>
        <v>https://www.fabsurplus.com/sdi_catalog/salesItemDetails.do?id=106743</v>
      </c>
      <c r="B3911" s="5" t="s">
        <v>11225</v>
      </c>
      <c r="C3911" s="5" t="s">
        <v>11226</v>
      </c>
      <c r="D3911" s="5" t="s">
        <v>11227</v>
      </c>
      <c r="E3911" s="5" t="s">
        <v>11228</v>
      </c>
      <c r="F3911" s="5" t="s">
        <v>16</v>
      </c>
      <c r="G3911" s="5" t="s">
        <v>38</v>
      </c>
      <c r="H3911" s="5"/>
      <c r="I3911" s="5"/>
      <c r="J3911" s="5" t="s">
        <v>19</v>
      </c>
      <c r="K3911" s="5"/>
      <c r="L3911" s="5" t="s">
        <v>518</v>
      </c>
    </row>
    <row r="3912" customFormat="false" ht="15.65" hidden="false" customHeight="true" outlineLevel="0" collapsed="false">
      <c r="A3912" s="2" t="str">
        <f aca="false">HYPERLINK("https://www.fabsurplus.com/sdi_catalog/salesItemDetails.do?id=83909")</f>
        <v>https://www.fabsurplus.com/sdi_catalog/salesItemDetails.do?id=83909</v>
      </c>
      <c r="B3912" s="2" t="s">
        <v>11229</v>
      </c>
      <c r="C3912" s="2" t="s">
        <v>11230</v>
      </c>
      <c r="D3912" s="2" t="s">
        <v>11231</v>
      </c>
      <c r="E3912" s="2" t="s">
        <v>9350</v>
      </c>
      <c r="F3912" s="2" t="s">
        <v>60</v>
      </c>
      <c r="G3912" s="2"/>
      <c r="H3912" s="2" t="s">
        <v>1266</v>
      </c>
      <c r="I3912" s="2"/>
      <c r="J3912" s="2" t="s">
        <v>19</v>
      </c>
      <c r="K3912" s="2" t="s">
        <v>20</v>
      </c>
      <c r="L3912" s="4" t="s">
        <v>11232</v>
      </c>
    </row>
    <row r="3913" customFormat="false" ht="15.65" hidden="false" customHeight="true" outlineLevel="0" collapsed="false">
      <c r="A3913" s="5" t="str">
        <f aca="false">HYPERLINK("https://www.fabsurplus.com/sdi_catalog/salesItemDetails.do?id=83910")</f>
        <v>https://www.fabsurplus.com/sdi_catalog/salesItemDetails.do?id=83910</v>
      </c>
      <c r="B3913" s="5" t="s">
        <v>11233</v>
      </c>
      <c r="C3913" s="5" t="s">
        <v>11230</v>
      </c>
      <c r="D3913" s="5" t="s">
        <v>11234</v>
      </c>
      <c r="E3913" s="5" t="s">
        <v>11235</v>
      </c>
      <c r="F3913" s="5" t="s">
        <v>145</v>
      </c>
      <c r="G3913" s="5"/>
      <c r="H3913" s="5" t="s">
        <v>1266</v>
      </c>
      <c r="I3913" s="5"/>
      <c r="J3913" s="5" t="s">
        <v>19</v>
      </c>
      <c r="K3913" s="5" t="s">
        <v>20</v>
      </c>
      <c r="L3913" s="7" t="s">
        <v>11236</v>
      </c>
    </row>
    <row r="3914" customFormat="false" ht="15.65" hidden="false" customHeight="true" outlineLevel="0" collapsed="false">
      <c r="A3914" s="2" t="str">
        <f aca="false">HYPERLINK("https://www.fabsurplus.com/sdi_catalog/salesItemDetails.do?id=83911")</f>
        <v>https://www.fabsurplus.com/sdi_catalog/salesItemDetails.do?id=83911</v>
      </c>
      <c r="B3914" s="2" t="s">
        <v>11237</v>
      </c>
      <c r="C3914" s="2" t="s">
        <v>11230</v>
      </c>
      <c r="D3914" s="2" t="s">
        <v>11238</v>
      </c>
      <c r="E3914" s="2" t="s">
        <v>11235</v>
      </c>
      <c r="F3914" s="2" t="s">
        <v>321</v>
      </c>
      <c r="G3914" s="2"/>
      <c r="H3914" s="2" t="s">
        <v>1266</v>
      </c>
      <c r="I3914" s="2"/>
      <c r="J3914" s="2" t="s">
        <v>19</v>
      </c>
      <c r="K3914" s="2" t="s">
        <v>20</v>
      </c>
      <c r="L3914" s="4" t="s">
        <v>11239</v>
      </c>
    </row>
    <row r="3915" customFormat="false" ht="15.65" hidden="false" customHeight="true" outlineLevel="0" collapsed="false">
      <c r="A3915" s="5" t="str">
        <f aca="false">HYPERLINK("https://www.fabsurplus.com/sdi_catalog/salesItemDetails.do?id=83912")</f>
        <v>https://www.fabsurplus.com/sdi_catalog/salesItemDetails.do?id=83912</v>
      </c>
      <c r="B3915" s="5" t="s">
        <v>11240</v>
      </c>
      <c r="C3915" s="5" t="s">
        <v>11230</v>
      </c>
      <c r="D3915" s="5" t="s">
        <v>11241</v>
      </c>
      <c r="E3915" s="5" t="s">
        <v>11235</v>
      </c>
      <c r="F3915" s="5" t="s">
        <v>60</v>
      </c>
      <c r="G3915" s="5"/>
      <c r="H3915" s="5" t="s">
        <v>1266</v>
      </c>
      <c r="I3915" s="5"/>
      <c r="J3915" s="5" t="s">
        <v>19</v>
      </c>
      <c r="K3915" s="5" t="s">
        <v>20</v>
      </c>
      <c r="L3915" s="7" t="s">
        <v>11242</v>
      </c>
    </row>
    <row r="3916" customFormat="false" ht="15.65" hidden="false" customHeight="true" outlineLevel="0" collapsed="false">
      <c r="A3916" s="2" t="str">
        <f aca="false">HYPERLINK("https://www.fabsurplus.com/sdi_catalog/salesItemDetails.do?id=83913")</f>
        <v>https://www.fabsurplus.com/sdi_catalog/salesItemDetails.do?id=83913</v>
      </c>
      <c r="B3916" s="2" t="s">
        <v>11243</v>
      </c>
      <c r="C3916" s="2" t="s">
        <v>11230</v>
      </c>
      <c r="D3916" s="2" t="s">
        <v>11244</v>
      </c>
      <c r="E3916" s="2" t="s">
        <v>11235</v>
      </c>
      <c r="F3916" s="2" t="s">
        <v>3299</v>
      </c>
      <c r="G3916" s="2"/>
      <c r="H3916" s="2" t="s">
        <v>1266</v>
      </c>
      <c r="I3916" s="2"/>
      <c r="J3916" s="2" t="s">
        <v>19</v>
      </c>
      <c r="K3916" s="2" t="s">
        <v>20</v>
      </c>
      <c r="L3916" s="4" t="s">
        <v>11245</v>
      </c>
    </row>
    <row r="3917" customFormat="false" ht="15.65" hidden="false" customHeight="true" outlineLevel="0" collapsed="false">
      <c r="A3917" s="5" t="str">
        <f aca="false">HYPERLINK("https://www.fabsurplus.com/sdi_catalog/salesItemDetails.do?id=83915")</f>
        <v>https://www.fabsurplus.com/sdi_catalog/salesItemDetails.do?id=83915</v>
      </c>
      <c r="B3917" s="5" t="s">
        <v>11246</v>
      </c>
      <c r="C3917" s="5" t="s">
        <v>11230</v>
      </c>
      <c r="D3917" s="5" t="s">
        <v>11247</v>
      </c>
      <c r="E3917" s="5" t="s">
        <v>11248</v>
      </c>
      <c r="F3917" s="5" t="s">
        <v>151</v>
      </c>
      <c r="G3917" s="5" t="s">
        <v>11249</v>
      </c>
      <c r="H3917" s="5" t="s">
        <v>1266</v>
      </c>
      <c r="I3917" s="5"/>
      <c r="J3917" s="5" t="s">
        <v>19</v>
      </c>
      <c r="K3917" s="5" t="s">
        <v>20</v>
      </c>
      <c r="L3917" s="7" t="s">
        <v>11250</v>
      </c>
    </row>
    <row r="3918" customFormat="false" ht="15.65" hidden="false" customHeight="true" outlineLevel="0" collapsed="false">
      <c r="A3918" s="2" t="str">
        <f aca="false">HYPERLINK("https://www.fabsurplus.com/sdi_catalog/salesItemDetails.do?id=83919")</f>
        <v>https://www.fabsurplus.com/sdi_catalog/salesItemDetails.do?id=83919</v>
      </c>
      <c r="B3918" s="2" t="s">
        <v>11251</v>
      </c>
      <c r="C3918" s="2" t="s">
        <v>11230</v>
      </c>
      <c r="D3918" s="2" t="s">
        <v>11252</v>
      </c>
      <c r="E3918" s="2" t="s">
        <v>11235</v>
      </c>
      <c r="F3918" s="2" t="s">
        <v>108</v>
      </c>
      <c r="G3918" s="2"/>
      <c r="H3918" s="2" t="s">
        <v>1266</v>
      </c>
      <c r="I3918" s="2"/>
      <c r="J3918" s="2" t="s">
        <v>19</v>
      </c>
      <c r="K3918" s="2" t="s">
        <v>20</v>
      </c>
      <c r="L3918" s="4" t="s">
        <v>11253</v>
      </c>
    </row>
    <row r="3919" customFormat="false" ht="15.65" hidden="false" customHeight="true" outlineLevel="0" collapsed="false">
      <c r="A3919" s="5" t="str">
        <f aca="false">HYPERLINK("https://www.fabsurplus.com/sdi_catalog/salesItemDetails.do?id=80257")</f>
        <v>https://www.fabsurplus.com/sdi_catalog/salesItemDetails.do?id=80257</v>
      </c>
      <c r="B3919" s="5" t="s">
        <v>11254</v>
      </c>
      <c r="C3919" s="5" t="s">
        <v>11255</v>
      </c>
      <c r="D3919" s="5" t="s">
        <v>11256</v>
      </c>
      <c r="E3919" s="5" t="s">
        <v>3050</v>
      </c>
      <c r="F3919" s="5" t="s">
        <v>203</v>
      </c>
      <c r="G3919" s="5" t="s">
        <v>97</v>
      </c>
      <c r="H3919" s="5" t="s">
        <v>98</v>
      </c>
      <c r="I3919" s="5"/>
      <c r="J3919" s="5" t="s">
        <v>19</v>
      </c>
      <c r="K3919" s="5" t="s">
        <v>20</v>
      </c>
      <c r="L3919" s="5"/>
    </row>
    <row r="3920" customFormat="false" ht="15.65" hidden="false" customHeight="true" outlineLevel="0" collapsed="false">
      <c r="A3920" s="2" t="str">
        <f aca="false">HYPERLINK("https://www.fabsurplus.com/sdi_catalog/salesItemDetails.do?id=33413")</f>
        <v>https://www.fabsurplus.com/sdi_catalog/salesItemDetails.do?id=33413</v>
      </c>
      <c r="B3920" s="2" t="s">
        <v>11257</v>
      </c>
      <c r="C3920" s="2" t="s">
        <v>11258</v>
      </c>
      <c r="D3920" s="2" t="s">
        <v>11259</v>
      </c>
      <c r="E3920" s="2" t="s">
        <v>11260</v>
      </c>
      <c r="F3920" s="2" t="s">
        <v>16</v>
      </c>
      <c r="G3920" s="2" t="s">
        <v>392</v>
      </c>
      <c r="H3920" s="2" t="s">
        <v>18</v>
      </c>
      <c r="I3920" s="3" t="n">
        <v>38838</v>
      </c>
      <c r="J3920" s="2" t="s">
        <v>286</v>
      </c>
      <c r="K3920" s="2" t="s">
        <v>20</v>
      </c>
      <c r="L3920" s="4" t="s">
        <v>11261</v>
      </c>
    </row>
    <row r="3921" customFormat="false" ht="15.65" hidden="false" customHeight="true" outlineLevel="0" collapsed="false">
      <c r="A3921" s="5" t="str">
        <f aca="false">HYPERLINK("https://www.fabsurplus.com/sdi_catalog/salesItemDetails.do?id=33414")</f>
        <v>https://www.fabsurplus.com/sdi_catalog/salesItemDetails.do?id=33414</v>
      </c>
      <c r="B3921" s="5" t="s">
        <v>11262</v>
      </c>
      <c r="C3921" s="5" t="s">
        <v>11258</v>
      </c>
      <c r="D3921" s="5" t="s">
        <v>11259</v>
      </c>
      <c r="E3921" s="5" t="s">
        <v>11260</v>
      </c>
      <c r="F3921" s="5" t="s">
        <v>16</v>
      </c>
      <c r="G3921" s="5" t="s">
        <v>565</v>
      </c>
      <c r="H3921" s="5" t="s">
        <v>18</v>
      </c>
      <c r="I3921" s="6" t="n">
        <v>38838</v>
      </c>
      <c r="J3921" s="5" t="s">
        <v>286</v>
      </c>
      <c r="K3921" s="5" t="s">
        <v>20</v>
      </c>
      <c r="L3921" s="7" t="s">
        <v>11263</v>
      </c>
    </row>
    <row r="3922" customFormat="false" ht="15.65" hidden="false" customHeight="true" outlineLevel="0" collapsed="false">
      <c r="A3922" s="2" t="str">
        <f aca="false">HYPERLINK("https://www.fabsurplus.com/sdi_catalog/salesItemDetails.do?id=79888")</f>
        <v>https://www.fabsurplus.com/sdi_catalog/salesItemDetails.do?id=79888</v>
      </c>
      <c r="B3922" s="2" t="s">
        <v>11264</v>
      </c>
      <c r="C3922" s="2" t="s">
        <v>11265</v>
      </c>
      <c r="D3922" s="2" t="s">
        <v>11266</v>
      </c>
      <c r="E3922" s="2" t="s">
        <v>11267</v>
      </c>
      <c r="F3922" s="2" t="s">
        <v>16</v>
      </c>
      <c r="G3922" s="2" t="s">
        <v>1236</v>
      </c>
      <c r="H3922" s="2" t="s">
        <v>18</v>
      </c>
      <c r="I3922" s="3" t="n">
        <v>37772.9166666667</v>
      </c>
      <c r="J3922" s="2" t="s">
        <v>19</v>
      </c>
      <c r="K3922" s="2" t="s">
        <v>20</v>
      </c>
      <c r="L3922" s="4" t="s">
        <v>11268</v>
      </c>
    </row>
    <row r="3923" customFormat="false" ht="15.65" hidden="false" customHeight="true" outlineLevel="0" collapsed="false">
      <c r="A3923" s="5" t="str">
        <f aca="false">HYPERLINK("https://www.fabsurplus.com/sdi_catalog/salesItemDetails.do?id=79890")</f>
        <v>https://www.fabsurplus.com/sdi_catalog/salesItemDetails.do?id=79890</v>
      </c>
      <c r="B3923" s="5" t="s">
        <v>11269</v>
      </c>
      <c r="C3923" s="5" t="s">
        <v>11270</v>
      </c>
      <c r="D3923" s="5" t="s">
        <v>11271</v>
      </c>
      <c r="E3923" s="5" t="s">
        <v>11272</v>
      </c>
      <c r="F3923" s="5" t="s">
        <v>16</v>
      </c>
      <c r="G3923" s="5"/>
      <c r="H3923" s="5" t="s">
        <v>18</v>
      </c>
      <c r="I3923" s="5"/>
      <c r="J3923" s="5" t="s">
        <v>19</v>
      </c>
      <c r="K3923" s="5" t="s">
        <v>20</v>
      </c>
      <c r="L3923" s="7" t="s">
        <v>11273</v>
      </c>
    </row>
    <row r="3924" customFormat="false" ht="15.65" hidden="false" customHeight="true" outlineLevel="0" collapsed="false">
      <c r="A3924" s="2" t="str">
        <f aca="false">HYPERLINK("https://www.fabsurplus.com/sdi_catalog/salesItemDetails.do?id=78136")</f>
        <v>https://www.fabsurplus.com/sdi_catalog/salesItemDetails.do?id=78136</v>
      </c>
      <c r="B3924" s="2" t="s">
        <v>11274</v>
      </c>
      <c r="C3924" s="2" t="s">
        <v>11275</v>
      </c>
      <c r="D3924" s="2" t="s">
        <v>11276</v>
      </c>
      <c r="E3924" s="2" t="s">
        <v>11277</v>
      </c>
      <c r="F3924" s="2" t="s">
        <v>16</v>
      </c>
      <c r="G3924" s="2"/>
      <c r="H3924" s="2" t="s">
        <v>32</v>
      </c>
      <c r="I3924" s="3" t="n">
        <v>38686.9583333333</v>
      </c>
      <c r="J3924" s="2" t="s">
        <v>19</v>
      </c>
      <c r="K3924" s="2" t="s">
        <v>20</v>
      </c>
      <c r="L3924" s="4" t="s">
        <v>11278</v>
      </c>
    </row>
    <row r="3925" customFormat="false" ht="15.65" hidden="false" customHeight="true" outlineLevel="0" collapsed="false">
      <c r="A3925" s="5" t="str">
        <f aca="false">HYPERLINK("https://www.fabsurplus.com/sdi_catalog/salesItemDetails.do?id=80089")</f>
        <v>https://www.fabsurplus.com/sdi_catalog/salesItemDetails.do?id=80089</v>
      </c>
      <c r="B3925" s="5" t="s">
        <v>11279</v>
      </c>
      <c r="C3925" s="5" t="s">
        <v>11275</v>
      </c>
      <c r="D3925" s="5" t="s">
        <v>11276</v>
      </c>
      <c r="E3925" s="5" t="s">
        <v>11277</v>
      </c>
      <c r="F3925" s="5" t="s">
        <v>16</v>
      </c>
      <c r="G3925" s="5"/>
      <c r="H3925" s="5" t="s">
        <v>18</v>
      </c>
      <c r="I3925" s="6" t="n">
        <v>38686.9583333333</v>
      </c>
      <c r="J3925" s="5" t="s">
        <v>19</v>
      </c>
      <c r="K3925" s="5" t="s">
        <v>20</v>
      </c>
      <c r="L3925" s="7" t="s">
        <v>11280</v>
      </c>
    </row>
    <row r="3926" customFormat="false" ht="15.65" hidden="false" customHeight="true" outlineLevel="0" collapsed="false">
      <c r="A3926" s="2" t="str">
        <f aca="false">HYPERLINK("https://www.fabsurplus.com/sdi_catalog/salesItemDetails.do?id=110522")</f>
        <v>https://www.fabsurplus.com/sdi_catalog/salesItemDetails.do?id=110522</v>
      </c>
      <c r="B3926" s="2" t="s">
        <v>11281</v>
      </c>
      <c r="C3926" s="2" t="s">
        <v>11282</v>
      </c>
      <c r="D3926" s="2" t="s">
        <v>748</v>
      </c>
      <c r="E3926" s="2" t="s">
        <v>748</v>
      </c>
      <c r="F3926" s="2" t="s">
        <v>16</v>
      </c>
      <c r="G3926" s="2" t="s">
        <v>165</v>
      </c>
      <c r="H3926" s="2"/>
      <c r="I3926" s="2"/>
      <c r="J3926" s="2" t="s">
        <v>42</v>
      </c>
      <c r="K3926" s="2"/>
      <c r="L3926" s="2" t="s">
        <v>11283</v>
      </c>
    </row>
    <row r="3927" customFormat="false" ht="15.65" hidden="false" customHeight="true" outlineLevel="0" collapsed="false">
      <c r="A3927" s="5" t="str">
        <f aca="false">HYPERLINK("https://www.fabsurplus.com/sdi_catalog/salesItemDetails.do?id=110523")</f>
        <v>https://www.fabsurplus.com/sdi_catalog/salesItemDetails.do?id=110523</v>
      </c>
      <c r="B3927" s="5" t="s">
        <v>11284</v>
      </c>
      <c r="C3927" s="5" t="s">
        <v>11282</v>
      </c>
      <c r="D3927" s="5" t="s">
        <v>748</v>
      </c>
      <c r="E3927" s="5" t="s">
        <v>748</v>
      </c>
      <c r="F3927" s="5" t="s">
        <v>16</v>
      </c>
      <c r="G3927" s="5" t="s">
        <v>165</v>
      </c>
      <c r="H3927" s="5"/>
      <c r="I3927" s="5"/>
      <c r="J3927" s="5" t="s">
        <v>42</v>
      </c>
      <c r="K3927" s="5"/>
      <c r="L3927" s="5" t="s">
        <v>11283</v>
      </c>
    </row>
    <row r="3928" customFormat="false" ht="15.65" hidden="false" customHeight="true" outlineLevel="0" collapsed="false">
      <c r="A3928" s="2" t="str">
        <f aca="false">HYPERLINK("https://www.fabsurplus.com/sdi_catalog/salesItemDetails.do?id=110524")</f>
        <v>https://www.fabsurplus.com/sdi_catalog/salesItemDetails.do?id=110524</v>
      </c>
      <c r="B3928" s="2" t="s">
        <v>11285</v>
      </c>
      <c r="C3928" s="2" t="s">
        <v>11282</v>
      </c>
      <c r="D3928" s="2" t="s">
        <v>748</v>
      </c>
      <c r="E3928" s="2" t="s">
        <v>748</v>
      </c>
      <c r="F3928" s="2" t="s">
        <v>16</v>
      </c>
      <c r="G3928" s="2" t="s">
        <v>165</v>
      </c>
      <c r="H3928" s="2"/>
      <c r="I3928" s="2"/>
      <c r="J3928" s="2" t="s">
        <v>42</v>
      </c>
      <c r="K3928" s="2"/>
      <c r="L3928" s="2" t="s">
        <v>11283</v>
      </c>
    </row>
    <row r="3929" customFormat="false" ht="15.65" hidden="false" customHeight="true" outlineLevel="0" collapsed="false">
      <c r="A3929" s="5" t="str">
        <f aca="false">HYPERLINK("https://www.fabsurplus.com/sdi_catalog/salesItemDetails.do?id=110525")</f>
        <v>https://www.fabsurplus.com/sdi_catalog/salesItemDetails.do?id=110525</v>
      </c>
      <c r="B3929" s="5" t="s">
        <v>11286</v>
      </c>
      <c r="C3929" s="5" t="s">
        <v>11282</v>
      </c>
      <c r="D3929" s="5" t="s">
        <v>748</v>
      </c>
      <c r="E3929" s="5" t="s">
        <v>748</v>
      </c>
      <c r="F3929" s="5" t="s">
        <v>16</v>
      </c>
      <c r="G3929" s="5" t="s">
        <v>165</v>
      </c>
      <c r="H3929" s="5"/>
      <c r="I3929" s="5"/>
      <c r="J3929" s="5" t="s">
        <v>42</v>
      </c>
      <c r="K3929" s="5"/>
      <c r="L3929" s="5" t="s">
        <v>11283</v>
      </c>
    </row>
    <row r="3930" customFormat="false" ht="15.65" hidden="false" customHeight="true" outlineLevel="0" collapsed="false">
      <c r="A3930" s="2" t="str">
        <f aca="false">HYPERLINK("https://www.fabsurplus.com/sdi_catalog/salesItemDetails.do?id=110526")</f>
        <v>https://www.fabsurplus.com/sdi_catalog/salesItemDetails.do?id=110526</v>
      </c>
      <c r="B3930" s="2" t="s">
        <v>11287</v>
      </c>
      <c r="C3930" s="2" t="s">
        <v>11282</v>
      </c>
      <c r="D3930" s="2" t="s">
        <v>748</v>
      </c>
      <c r="E3930" s="2" t="s">
        <v>748</v>
      </c>
      <c r="F3930" s="2" t="s">
        <v>16</v>
      </c>
      <c r="G3930" s="2" t="s">
        <v>165</v>
      </c>
      <c r="H3930" s="2"/>
      <c r="I3930" s="2"/>
      <c r="J3930" s="2" t="s">
        <v>42</v>
      </c>
      <c r="K3930" s="2"/>
      <c r="L3930" s="2" t="s">
        <v>11283</v>
      </c>
    </row>
    <row r="3931" customFormat="false" ht="15.65" hidden="false" customHeight="true" outlineLevel="0" collapsed="false">
      <c r="A3931" s="5" t="str">
        <f aca="false">HYPERLINK("https://www.fabsurplus.com/sdi_catalog/salesItemDetails.do?id=71165")</f>
        <v>https://www.fabsurplus.com/sdi_catalog/salesItemDetails.do?id=71165</v>
      </c>
      <c r="B3931" s="5" t="s">
        <v>11288</v>
      </c>
      <c r="C3931" s="5" t="s">
        <v>11289</v>
      </c>
      <c r="D3931" s="5" t="s">
        <v>11290</v>
      </c>
      <c r="E3931" s="5" t="s">
        <v>11291</v>
      </c>
      <c r="F3931" s="5" t="s">
        <v>151</v>
      </c>
      <c r="G3931" s="5" t="s">
        <v>1272</v>
      </c>
      <c r="H3931" s="5" t="s">
        <v>18</v>
      </c>
      <c r="I3931" s="6" t="n">
        <v>36708</v>
      </c>
      <c r="J3931" s="5" t="s">
        <v>19</v>
      </c>
      <c r="K3931" s="5" t="s">
        <v>20</v>
      </c>
      <c r="L3931" s="7" t="s">
        <v>11292</v>
      </c>
    </row>
    <row r="3932" customFormat="false" ht="15.65" hidden="false" customHeight="true" outlineLevel="0" collapsed="false">
      <c r="A3932" s="2" t="str">
        <f aca="false">HYPERLINK("https://www.fabsurplus.com/sdi_catalog/salesItemDetails.do?id=106544")</f>
        <v>https://www.fabsurplus.com/sdi_catalog/salesItemDetails.do?id=106544</v>
      </c>
      <c r="B3932" s="2" t="s">
        <v>11293</v>
      </c>
      <c r="C3932" s="2" t="s">
        <v>11294</v>
      </c>
      <c r="D3932" s="2" t="s">
        <v>11295</v>
      </c>
      <c r="E3932" s="2" t="s">
        <v>11296</v>
      </c>
      <c r="F3932" s="2" t="s">
        <v>16</v>
      </c>
      <c r="G3932" s="2" t="s">
        <v>2858</v>
      </c>
      <c r="H3932" s="2" t="s">
        <v>32</v>
      </c>
      <c r="I3932" s="3" t="n">
        <v>34851</v>
      </c>
      <c r="J3932" s="2" t="s">
        <v>19</v>
      </c>
      <c r="K3932" s="2" t="s">
        <v>20</v>
      </c>
      <c r="L3932" s="2" t="s">
        <v>2863</v>
      </c>
    </row>
    <row r="3933" customFormat="false" ht="15.65" hidden="false" customHeight="true" outlineLevel="0" collapsed="false">
      <c r="A3933" s="5" t="str">
        <f aca="false">HYPERLINK("https://www.fabsurplus.com/sdi_catalog/salesItemDetails.do?id=108877")</f>
        <v>https://www.fabsurplus.com/sdi_catalog/salesItemDetails.do?id=108877</v>
      </c>
      <c r="B3933" s="5" t="s">
        <v>11297</v>
      </c>
      <c r="C3933" s="5" t="s">
        <v>11298</v>
      </c>
      <c r="D3933" s="5"/>
      <c r="E3933" s="5" t="s">
        <v>11299</v>
      </c>
      <c r="F3933" s="5" t="s">
        <v>16</v>
      </c>
      <c r="G3933" s="5"/>
      <c r="H3933" s="5"/>
      <c r="I3933" s="5"/>
      <c r="J3933" s="5" t="s">
        <v>42</v>
      </c>
      <c r="K3933" s="5"/>
      <c r="L3933" s="5" t="s">
        <v>131</v>
      </c>
    </row>
    <row r="3934" customFormat="false" ht="15.65" hidden="false" customHeight="true" outlineLevel="0" collapsed="false">
      <c r="A3934" s="2" t="str">
        <f aca="false">HYPERLINK("https://www.fabsurplus.com/sdi_catalog/salesItemDetails.do?id=27748")</f>
        <v>https://www.fabsurplus.com/sdi_catalog/salesItemDetails.do?id=27748</v>
      </c>
      <c r="B3934" s="2" t="s">
        <v>11300</v>
      </c>
      <c r="C3934" s="2" t="s">
        <v>11301</v>
      </c>
      <c r="D3934" s="2" t="s">
        <v>11302</v>
      </c>
      <c r="E3934" s="2" t="s">
        <v>11303</v>
      </c>
      <c r="F3934" s="2" t="s">
        <v>16</v>
      </c>
      <c r="G3934" s="2"/>
      <c r="H3934" s="2" t="s">
        <v>18</v>
      </c>
      <c r="I3934" s="2"/>
      <c r="J3934" s="2" t="s">
        <v>19</v>
      </c>
      <c r="K3934" s="2" t="s">
        <v>20</v>
      </c>
      <c r="L3934" s="2" t="s">
        <v>11304</v>
      </c>
    </row>
    <row r="3935" customFormat="false" ht="15.65" hidden="false" customHeight="true" outlineLevel="0" collapsed="false">
      <c r="A3935" s="5" t="str">
        <f aca="false">HYPERLINK("https://www.fabsurplus.com/sdi_catalog/salesItemDetails.do?id=109015")</f>
        <v>https://www.fabsurplus.com/sdi_catalog/salesItemDetails.do?id=109015</v>
      </c>
      <c r="B3935" s="5" t="s">
        <v>11305</v>
      </c>
      <c r="C3935" s="5" t="s">
        <v>11306</v>
      </c>
      <c r="D3935" s="5" t="s">
        <v>11307</v>
      </c>
      <c r="E3935" s="5" t="s">
        <v>11308</v>
      </c>
      <c r="F3935" s="5" t="s">
        <v>151</v>
      </c>
      <c r="G3935" s="5" t="s">
        <v>11309</v>
      </c>
      <c r="H3935" s="5" t="s">
        <v>32</v>
      </c>
      <c r="I3935" s="5"/>
      <c r="J3935" s="5" t="s">
        <v>19</v>
      </c>
      <c r="K3935" s="5" t="s">
        <v>20</v>
      </c>
      <c r="L3935" s="7" t="s">
        <v>11310</v>
      </c>
    </row>
    <row r="3936" customFormat="false" ht="15.65" hidden="false" customHeight="true" outlineLevel="0" collapsed="false">
      <c r="A3936" s="2" t="str">
        <f aca="false">HYPERLINK("https://www.fabsurplus.com/sdi_catalog/salesItemDetails.do?id=83522")</f>
        <v>https://www.fabsurplus.com/sdi_catalog/salesItemDetails.do?id=83522</v>
      </c>
      <c r="B3936" s="2" t="s">
        <v>11311</v>
      </c>
      <c r="C3936" s="2" t="s">
        <v>11312</v>
      </c>
      <c r="D3936" s="2" t="s">
        <v>11313</v>
      </c>
      <c r="E3936" s="2" t="s">
        <v>11314</v>
      </c>
      <c r="F3936" s="2" t="s">
        <v>16</v>
      </c>
      <c r="G3936" s="2" t="s">
        <v>11315</v>
      </c>
      <c r="H3936" s="2" t="s">
        <v>18</v>
      </c>
      <c r="I3936" s="2"/>
      <c r="J3936" s="2"/>
      <c r="K3936" s="2" t="s">
        <v>20</v>
      </c>
      <c r="L3936" s="4" t="s">
        <v>11316</v>
      </c>
    </row>
    <row r="3937" customFormat="false" ht="15.65" hidden="false" customHeight="true" outlineLevel="0" collapsed="false">
      <c r="A3937" s="5" t="str">
        <f aca="false">HYPERLINK("https://www.fabsurplus.com/sdi_catalog/salesItemDetails.do?id=106834")</f>
        <v>https://www.fabsurplus.com/sdi_catalog/salesItemDetails.do?id=106834</v>
      </c>
      <c r="B3937" s="5" t="s">
        <v>11317</v>
      </c>
      <c r="C3937" s="5" t="s">
        <v>11312</v>
      </c>
      <c r="D3937" s="5" t="s">
        <v>2913</v>
      </c>
      <c r="E3937" s="5" t="s">
        <v>11318</v>
      </c>
      <c r="F3937" s="5" t="s">
        <v>4038</v>
      </c>
      <c r="G3937" s="5" t="s">
        <v>84</v>
      </c>
      <c r="H3937" s="5"/>
      <c r="I3937" s="5"/>
      <c r="J3937" s="5" t="s">
        <v>42</v>
      </c>
      <c r="K3937" s="5"/>
      <c r="L3937" s="5" t="s">
        <v>142</v>
      </c>
    </row>
    <row r="3938" customFormat="false" ht="15.65" hidden="false" customHeight="true" outlineLevel="0" collapsed="false">
      <c r="A3938" s="2" t="str">
        <f aca="false">HYPERLINK("https://www.fabsurplus.com/sdi_catalog/salesItemDetails.do?id=110527")</f>
        <v>https://www.fabsurplus.com/sdi_catalog/salesItemDetails.do?id=110527</v>
      </c>
      <c r="B3938" s="2" t="s">
        <v>11319</v>
      </c>
      <c r="C3938" s="2" t="s">
        <v>11312</v>
      </c>
      <c r="D3938" s="2" t="s">
        <v>11320</v>
      </c>
      <c r="E3938" s="2" t="s">
        <v>748</v>
      </c>
      <c r="F3938" s="2" t="s">
        <v>16</v>
      </c>
      <c r="G3938" s="2" t="s">
        <v>165</v>
      </c>
      <c r="H3938" s="2"/>
      <c r="I3938" s="2"/>
      <c r="J3938" s="2" t="s">
        <v>42</v>
      </c>
      <c r="K3938" s="2"/>
      <c r="L3938" s="2" t="s">
        <v>11321</v>
      </c>
    </row>
    <row r="3939" customFormat="false" ht="15.65" hidden="false" customHeight="true" outlineLevel="0" collapsed="false">
      <c r="A3939" s="5" t="str">
        <f aca="false">HYPERLINK("https://www.fabsurplus.com/sdi_catalog/salesItemDetails.do?id=110528")</f>
        <v>https://www.fabsurplus.com/sdi_catalog/salesItemDetails.do?id=110528</v>
      </c>
      <c r="B3939" s="5" t="s">
        <v>11322</v>
      </c>
      <c r="C3939" s="5" t="s">
        <v>11312</v>
      </c>
      <c r="D3939" s="5" t="s">
        <v>11320</v>
      </c>
      <c r="E3939" s="5" t="s">
        <v>748</v>
      </c>
      <c r="F3939" s="5" t="s">
        <v>16</v>
      </c>
      <c r="G3939" s="5" t="s">
        <v>165</v>
      </c>
      <c r="H3939" s="5"/>
      <c r="I3939" s="5"/>
      <c r="J3939" s="5" t="s">
        <v>42</v>
      </c>
      <c r="K3939" s="5"/>
      <c r="L3939" s="5" t="s">
        <v>11321</v>
      </c>
    </row>
    <row r="3940" customFormat="false" ht="15.65" hidden="false" customHeight="true" outlineLevel="0" collapsed="false">
      <c r="A3940" s="2" t="str">
        <f aca="false">HYPERLINK("https://www.fabsurplus.com/sdi_catalog/salesItemDetails.do?id=110529")</f>
        <v>https://www.fabsurplus.com/sdi_catalog/salesItemDetails.do?id=110529</v>
      </c>
      <c r="B3940" s="2" t="s">
        <v>11323</v>
      </c>
      <c r="C3940" s="2" t="s">
        <v>11312</v>
      </c>
      <c r="D3940" s="2" t="s">
        <v>11320</v>
      </c>
      <c r="E3940" s="2" t="s">
        <v>748</v>
      </c>
      <c r="F3940" s="2" t="s">
        <v>16</v>
      </c>
      <c r="G3940" s="2" t="s">
        <v>165</v>
      </c>
      <c r="H3940" s="2"/>
      <c r="I3940" s="2"/>
      <c r="J3940" s="2" t="s">
        <v>42</v>
      </c>
      <c r="K3940" s="2"/>
      <c r="L3940" s="2" t="s">
        <v>11321</v>
      </c>
    </row>
    <row r="3941" customFormat="false" ht="15.65" hidden="false" customHeight="true" outlineLevel="0" collapsed="false">
      <c r="A3941" s="5" t="str">
        <f aca="false">HYPERLINK("https://www.fabsurplus.com/sdi_catalog/salesItemDetails.do?id=110530")</f>
        <v>https://www.fabsurplus.com/sdi_catalog/salesItemDetails.do?id=110530</v>
      </c>
      <c r="B3941" s="5" t="s">
        <v>11324</v>
      </c>
      <c r="C3941" s="5" t="s">
        <v>11312</v>
      </c>
      <c r="D3941" s="5" t="s">
        <v>11320</v>
      </c>
      <c r="E3941" s="5" t="s">
        <v>748</v>
      </c>
      <c r="F3941" s="5" t="s">
        <v>16</v>
      </c>
      <c r="G3941" s="5" t="s">
        <v>165</v>
      </c>
      <c r="H3941" s="5"/>
      <c r="I3941" s="5"/>
      <c r="J3941" s="5" t="s">
        <v>42</v>
      </c>
      <c r="K3941" s="5"/>
      <c r="L3941" s="5" t="s">
        <v>11321</v>
      </c>
    </row>
    <row r="3942" customFormat="false" ht="15.65" hidden="false" customHeight="true" outlineLevel="0" collapsed="false">
      <c r="A3942" s="2" t="str">
        <f aca="false">HYPERLINK("https://www.fabsurplus.com/sdi_catalog/salesItemDetails.do?id=110531")</f>
        <v>https://www.fabsurplus.com/sdi_catalog/salesItemDetails.do?id=110531</v>
      </c>
      <c r="B3942" s="2" t="s">
        <v>11325</v>
      </c>
      <c r="C3942" s="2" t="s">
        <v>11312</v>
      </c>
      <c r="D3942" s="2" t="s">
        <v>11320</v>
      </c>
      <c r="E3942" s="2" t="s">
        <v>748</v>
      </c>
      <c r="F3942" s="2" t="s">
        <v>16</v>
      </c>
      <c r="G3942" s="2" t="s">
        <v>165</v>
      </c>
      <c r="H3942" s="2"/>
      <c r="I3942" s="2"/>
      <c r="J3942" s="2" t="s">
        <v>42</v>
      </c>
      <c r="K3942" s="2"/>
      <c r="L3942" s="2" t="s">
        <v>11321</v>
      </c>
    </row>
    <row r="3943" customFormat="false" ht="15.65" hidden="false" customHeight="true" outlineLevel="0" collapsed="false">
      <c r="A3943" s="5" t="str">
        <f aca="false">HYPERLINK("https://www.fabsurplus.com/sdi_catalog/salesItemDetails.do?id=108878")</f>
        <v>https://www.fabsurplus.com/sdi_catalog/salesItemDetails.do?id=108878</v>
      </c>
      <c r="B3943" s="5" t="s">
        <v>11326</v>
      </c>
      <c r="C3943" s="5" t="s">
        <v>11327</v>
      </c>
      <c r="D3943" s="5" t="s">
        <v>11328</v>
      </c>
      <c r="E3943" s="5" t="s">
        <v>11329</v>
      </c>
      <c r="F3943" s="5" t="s">
        <v>16</v>
      </c>
      <c r="G3943" s="5" t="s">
        <v>165</v>
      </c>
      <c r="H3943" s="5"/>
      <c r="I3943" s="5"/>
      <c r="J3943" s="5" t="s">
        <v>42</v>
      </c>
      <c r="K3943" s="5"/>
      <c r="L3943" s="5" t="s">
        <v>131</v>
      </c>
    </row>
    <row r="3944" customFormat="false" ht="15.65" hidden="false" customHeight="true" outlineLevel="0" collapsed="false">
      <c r="A3944" s="2" t="str">
        <f aca="false">HYPERLINK("https://www.fabsurplus.com/sdi_catalog/salesItemDetails.do?id=108879")</f>
        <v>https://www.fabsurplus.com/sdi_catalog/salesItemDetails.do?id=108879</v>
      </c>
      <c r="B3944" s="2" t="s">
        <v>11330</v>
      </c>
      <c r="C3944" s="2" t="s">
        <v>11327</v>
      </c>
      <c r="D3944" s="2" t="s">
        <v>11331</v>
      </c>
      <c r="E3944" s="2" t="s">
        <v>11332</v>
      </c>
      <c r="F3944" s="2" t="s">
        <v>16</v>
      </c>
      <c r="G3944" s="2" t="s">
        <v>165</v>
      </c>
      <c r="H3944" s="2"/>
      <c r="I3944" s="2"/>
      <c r="J3944" s="2" t="s">
        <v>42</v>
      </c>
      <c r="K3944" s="2"/>
      <c r="L3944" s="2" t="s">
        <v>131</v>
      </c>
    </row>
    <row r="3945" customFormat="false" ht="15.65" hidden="false" customHeight="true" outlineLevel="0" collapsed="false">
      <c r="A3945" s="5" t="str">
        <f aca="false">HYPERLINK("https://www.fabsurplus.com/sdi_catalog/salesItemDetails.do?id=108880")</f>
        <v>https://www.fabsurplus.com/sdi_catalog/salesItemDetails.do?id=108880</v>
      </c>
      <c r="B3945" s="5" t="s">
        <v>11333</v>
      </c>
      <c r="C3945" s="5" t="s">
        <v>11327</v>
      </c>
      <c r="D3945" s="5" t="s">
        <v>11334</v>
      </c>
      <c r="E3945" s="5" t="s">
        <v>11335</v>
      </c>
      <c r="F3945" s="5" t="s">
        <v>16</v>
      </c>
      <c r="G3945" s="5" t="s">
        <v>165</v>
      </c>
      <c r="H3945" s="5"/>
      <c r="I3945" s="5"/>
      <c r="J3945" s="5" t="s">
        <v>42</v>
      </c>
      <c r="K3945" s="5"/>
      <c r="L3945" s="5" t="s">
        <v>131</v>
      </c>
    </row>
    <row r="3946" customFormat="false" ht="15.65" hidden="false" customHeight="true" outlineLevel="0" collapsed="false">
      <c r="A3946" s="2" t="str">
        <f aca="false">HYPERLINK("https://www.fabsurplus.com/sdi_catalog/salesItemDetails.do?id=84502")</f>
        <v>https://www.fabsurplus.com/sdi_catalog/salesItemDetails.do?id=84502</v>
      </c>
      <c r="B3946" s="2" t="s">
        <v>11336</v>
      </c>
      <c r="C3946" s="2" t="s">
        <v>11337</v>
      </c>
      <c r="D3946" s="2" t="s">
        <v>11338</v>
      </c>
      <c r="E3946" s="2" t="s">
        <v>11339</v>
      </c>
      <c r="F3946" s="2" t="s">
        <v>151</v>
      </c>
      <c r="G3946" s="2" t="s">
        <v>11340</v>
      </c>
      <c r="H3946" s="2" t="s">
        <v>98</v>
      </c>
      <c r="I3946" s="2"/>
      <c r="J3946" s="2" t="s">
        <v>19</v>
      </c>
      <c r="K3946" s="2" t="s">
        <v>20</v>
      </c>
      <c r="L3946" s="4" t="s">
        <v>11341</v>
      </c>
    </row>
    <row r="3947" customFormat="false" ht="15.65" hidden="false" customHeight="true" outlineLevel="0" collapsed="false">
      <c r="A3947" s="5" t="str">
        <f aca="false">HYPERLINK("https://www.fabsurplus.com/sdi_catalog/salesItemDetails.do?id=106150")</f>
        <v>https://www.fabsurplus.com/sdi_catalog/salesItemDetails.do?id=106150</v>
      </c>
      <c r="B3947" s="5" t="s">
        <v>11342</v>
      </c>
      <c r="C3947" s="5" t="s">
        <v>11343</v>
      </c>
      <c r="D3947" s="5" t="s">
        <v>11344</v>
      </c>
      <c r="E3947" s="5" t="s">
        <v>9590</v>
      </c>
      <c r="F3947" s="5" t="s">
        <v>16</v>
      </c>
      <c r="G3947" s="5" t="s">
        <v>1293</v>
      </c>
      <c r="H3947" s="5" t="s">
        <v>275</v>
      </c>
      <c r="I3947" s="5"/>
      <c r="J3947" s="5" t="s">
        <v>286</v>
      </c>
      <c r="K3947" s="5" t="s">
        <v>20</v>
      </c>
      <c r="L3947" s="7" t="s">
        <v>11345</v>
      </c>
    </row>
    <row r="3948" customFormat="false" ht="15.65" hidden="false" customHeight="true" outlineLevel="0" collapsed="false">
      <c r="A3948" s="2" t="str">
        <f aca="false">HYPERLINK("https://www.fabsurplus.com/sdi_catalog/salesItemDetails.do?id=106151")</f>
        <v>https://www.fabsurplus.com/sdi_catalog/salesItemDetails.do?id=106151</v>
      </c>
      <c r="B3948" s="2" t="s">
        <v>11346</v>
      </c>
      <c r="C3948" s="2" t="s">
        <v>11347</v>
      </c>
      <c r="D3948" s="2" t="s">
        <v>11348</v>
      </c>
      <c r="E3948" s="2" t="s">
        <v>11349</v>
      </c>
      <c r="F3948" s="2" t="s">
        <v>16</v>
      </c>
      <c r="G3948" s="2" t="s">
        <v>6309</v>
      </c>
      <c r="H3948" s="2" t="s">
        <v>1772</v>
      </c>
      <c r="I3948" s="3" t="n">
        <v>30956</v>
      </c>
      <c r="J3948" s="2" t="s">
        <v>19</v>
      </c>
      <c r="K3948" s="2" t="s">
        <v>20</v>
      </c>
      <c r="L3948" s="4" t="s">
        <v>11350</v>
      </c>
    </row>
    <row r="3949" customFormat="false" ht="15.65" hidden="false" customHeight="true" outlineLevel="0" collapsed="false">
      <c r="A3949" s="5" t="str">
        <f aca="false">HYPERLINK("https://www.fabsurplus.com/sdi_catalog/salesItemDetails.do?id=106152")</f>
        <v>https://www.fabsurplus.com/sdi_catalog/salesItemDetails.do?id=106152</v>
      </c>
      <c r="B3949" s="5" t="s">
        <v>11351</v>
      </c>
      <c r="C3949" s="5" t="s">
        <v>11347</v>
      </c>
      <c r="D3949" s="5" t="s">
        <v>11344</v>
      </c>
      <c r="E3949" s="5" t="s">
        <v>11349</v>
      </c>
      <c r="F3949" s="5" t="s">
        <v>16</v>
      </c>
      <c r="G3949" s="5" t="s">
        <v>6309</v>
      </c>
      <c r="H3949" s="5" t="s">
        <v>1772</v>
      </c>
      <c r="I3949" s="6" t="n">
        <v>31199</v>
      </c>
      <c r="J3949" s="5" t="s">
        <v>19</v>
      </c>
      <c r="K3949" s="5" t="s">
        <v>20</v>
      </c>
      <c r="L3949" s="7" t="s">
        <v>11352</v>
      </c>
    </row>
    <row r="3950" customFormat="false" ht="15.65" hidden="false" customHeight="true" outlineLevel="0" collapsed="false">
      <c r="A3950" s="2" t="str">
        <f aca="false">HYPERLINK("https://www.fabsurplus.com/sdi_catalog/salesItemDetails.do?id=110532")</f>
        <v>https://www.fabsurplus.com/sdi_catalog/salesItemDetails.do?id=110532</v>
      </c>
      <c r="B3950" s="2" t="s">
        <v>11353</v>
      </c>
      <c r="C3950" s="2" t="s">
        <v>11343</v>
      </c>
      <c r="D3950" s="2" t="s">
        <v>11354</v>
      </c>
      <c r="E3950" s="2" t="s">
        <v>763</v>
      </c>
      <c r="F3950" s="2" t="s">
        <v>16</v>
      </c>
      <c r="G3950" s="2" t="s">
        <v>165</v>
      </c>
      <c r="H3950" s="2"/>
      <c r="I3950" s="2"/>
      <c r="J3950" s="2" t="s">
        <v>42</v>
      </c>
      <c r="K3950" s="2"/>
      <c r="L3950" s="2" t="s">
        <v>11355</v>
      </c>
    </row>
    <row r="3951" customFormat="false" ht="15.65" hidden="false" customHeight="true" outlineLevel="0" collapsed="false">
      <c r="A3951" s="5" t="str">
        <f aca="false">HYPERLINK("https://www.fabsurplus.com/sdi_catalog/salesItemDetails.do?id=110533")</f>
        <v>https://www.fabsurplus.com/sdi_catalog/salesItemDetails.do?id=110533</v>
      </c>
      <c r="B3951" s="5" t="s">
        <v>11356</v>
      </c>
      <c r="C3951" s="5" t="s">
        <v>11343</v>
      </c>
      <c r="D3951" s="5" t="s">
        <v>11354</v>
      </c>
      <c r="E3951" s="5" t="s">
        <v>763</v>
      </c>
      <c r="F3951" s="5" t="s">
        <v>16</v>
      </c>
      <c r="G3951" s="5" t="s">
        <v>165</v>
      </c>
      <c r="H3951" s="5"/>
      <c r="I3951" s="5"/>
      <c r="J3951" s="5" t="s">
        <v>42</v>
      </c>
      <c r="K3951" s="5"/>
      <c r="L3951" s="5" t="s">
        <v>11357</v>
      </c>
    </row>
    <row r="3952" customFormat="false" ht="15.65" hidden="false" customHeight="true" outlineLevel="0" collapsed="false">
      <c r="A3952" s="2" t="str">
        <f aca="false">HYPERLINK("https://www.fabsurplus.com/sdi_catalog/salesItemDetails.do?id=110534")</f>
        <v>https://www.fabsurplus.com/sdi_catalog/salesItemDetails.do?id=110534</v>
      </c>
      <c r="B3952" s="2" t="s">
        <v>11358</v>
      </c>
      <c r="C3952" s="2" t="s">
        <v>11359</v>
      </c>
      <c r="D3952" s="2" t="s">
        <v>11354</v>
      </c>
      <c r="E3952" s="2" t="s">
        <v>763</v>
      </c>
      <c r="F3952" s="2" t="s">
        <v>16</v>
      </c>
      <c r="G3952" s="2" t="s">
        <v>165</v>
      </c>
      <c r="H3952" s="2"/>
      <c r="I3952" s="2"/>
      <c r="J3952" s="2" t="s">
        <v>42</v>
      </c>
      <c r="K3952" s="2"/>
      <c r="L3952" s="2" t="s">
        <v>11360</v>
      </c>
    </row>
    <row r="3953" customFormat="false" ht="15.65" hidden="false" customHeight="true" outlineLevel="0" collapsed="false">
      <c r="A3953" s="5" t="str">
        <f aca="false">HYPERLINK("https://www.fabsurplus.com/sdi_catalog/salesItemDetails.do?id=110535")</f>
        <v>https://www.fabsurplus.com/sdi_catalog/salesItemDetails.do?id=110535</v>
      </c>
      <c r="B3953" s="5" t="s">
        <v>11361</v>
      </c>
      <c r="C3953" s="5" t="s">
        <v>11343</v>
      </c>
      <c r="D3953" s="5" t="s">
        <v>11354</v>
      </c>
      <c r="E3953" s="5" t="s">
        <v>763</v>
      </c>
      <c r="F3953" s="5" t="s">
        <v>16</v>
      </c>
      <c r="G3953" s="5" t="s">
        <v>165</v>
      </c>
      <c r="H3953" s="5"/>
      <c r="I3953" s="5"/>
      <c r="J3953" s="5" t="s">
        <v>42</v>
      </c>
      <c r="K3953" s="5"/>
      <c r="L3953" s="5" t="s">
        <v>11362</v>
      </c>
    </row>
    <row r="3954" customFormat="false" ht="15.65" hidden="false" customHeight="true" outlineLevel="0" collapsed="false">
      <c r="A3954" s="2" t="str">
        <f aca="false">HYPERLINK("https://www.fabsurplus.com/sdi_catalog/salesItemDetails.do?id=110536")</f>
        <v>https://www.fabsurplus.com/sdi_catalog/salesItemDetails.do?id=110536</v>
      </c>
      <c r="B3954" s="2" t="s">
        <v>11363</v>
      </c>
      <c r="C3954" s="2" t="s">
        <v>11343</v>
      </c>
      <c r="D3954" s="2" t="s">
        <v>11354</v>
      </c>
      <c r="E3954" s="2" t="s">
        <v>763</v>
      </c>
      <c r="F3954" s="2" t="s">
        <v>16</v>
      </c>
      <c r="G3954" s="2" t="s">
        <v>165</v>
      </c>
      <c r="H3954" s="2"/>
      <c r="I3954" s="2"/>
      <c r="J3954" s="2" t="s">
        <v>42</v>
      </c>
      <c r="K3954" s="2"/>
      <c r="L3954" s="2" t="s">
        <v>11362</v>
      </c>
    </row>
    <row r="3955" customFormat="false" ht="15.65" hidden="false" customHeight="true" outlineLevel="0" collapsed="false">
      <c r="A3955" s="5" t="str">
        <f aca="false">HYPERLINK("https://www.fabsurplus.com/sdi_catalog/salesItemDetails.do?id=110537")</f>
        <v>https://www.fabsurplus.com/sdi_catalog/salesItemDetails.do?id=110537</v>
      </c>
      <c r="B3955" s="5" t="s">
        <v>11364</v>
      </c>
      <c r="C3955" s="5" t="s">
        <v>11343</v>
      </c>
      <c r="D3955" s="5" t="s">
        <v>11365</v>
      </c>
      <c r="E3955" s="5" t="s">
        <v>763</v>
      </c>
      <c r="F3955" s="5" t="s">
        <v>16</v>
      </c>
      <c r="G3955" s="5" t="s">
        <v>165</v>
      </c>
      <c r="H3955" s="5"/>
      <c r="I3955" s="5"/>
      <c r="J3955" s="5" t="s">
        <v>42</v>
      </c>
      <c r="K3955" s="5"/>
      <c r="L3955" s="5" t="s">
        <v>11366</v>
      </c>
    </row>
    <row r="3956" customFormat="false" ht="15.65" hidden="false" customHeight="true" outlineLevel="0" collapsed="false">
      <c r="A3956" s="2" t="str">
        <f aca="false">HYPERLINK("https://www.fabsurplus.com/sdi_catalog/salesItemDetails.do?id=110538")</f>
        <v>https://www.fabsurplus.com/sdi_catalog/salesItemDetails.do?id=110538</v>
      </c>
      <c r="B3956" s="2" t="s">
        <v>11367</v>
      </c>
      <c r="C3956" s="2" t="s">
        <v>11343</v>
      </c>
      <c r="D3956" s="2" t="s">
        <v>11354</v>
      </c>
      <c r="E3956" s="2" t="s">
        <v>763</v>
      </c>
      <c r="F3956" s="2" t="s">
        <v>16</v>
      </c>
      <c r="G3956" s="2" t="s">
        <v>165</v>
      </c>
      <c r="H3956" s="2"/>
      <c r="I3956" s="2"/>
      <c r="J3956" s="2" t="s">
        <v>42</v>
      </c>
      <c r="K3956" s="2"/>
      <c r="L3956" s="2" t="s">
        <v>11368</v>
      </c>
    </row>
    <row r="3957" customFormat="false" ht="15.65" hidden="false" customHeight="true" outlineLevel="0" collapsed="false">
      <c r="A3957" s="5" t="str">
        <f aca="false">HYPERLINK("https://www.fabsurplus.com/sdi_catalog/salesItemDetails.do?id=110539")</f>
        <v>https://www.fabsurplus.com/sdi_catalog/salesItemDetails.do?id=110539</v>
      </c>
      <c r="B3957" s="5" t="s">
        <v>11369</v>
      </c>
      <c r="C3957" s="5" t="s">
        <v>11343</v>
      </c>
      <c r="D3957" s="5" t="s">
        <v>11354</v>
      </c>
      <c r="E3957" s="5" t="s">
        <v>763</v>
      </c>
      <c r="F3957" s="5" t="s">
        <v>16</v>
      </c>
      <c r="G3957" s="5" t="s">
        <v>165</v>
      </c>
      <c r="H3957" s="5"/>
      <c r="I3957" s="5"/>
      <c r="J3957" s="5" t="s">
        <v>42</v>
      </c>
      <c r="K3957" s="5"/>
      <c r="L3957" s="5" t="s">
        <v>11368</v>
      </c>
    </row>
    <row r="3958" customFormat="false" ht="15.65" hidden="false" customHeight="true" outlineLevel="0" collapsed="false">
      <c r="A3958" s="2" t="str">
        <f aca="false">HYPERLINK("https://www.fabsurplus.com/sdi_catalog/salesItemDetails.do?id=110540")</f>
        <v>https://www.fabsurplus.com/sdi_catalog/salesItemDetails.do?id=110540</v>
      </c>
      <c r="B3958" s="2" t="s">
        <v>11370</v>
      </c>
      <c r="C3958" s="2" t="s">
        <v>11343</v>
      </c>
      <c r="D3958" s="2" t="s">
        <v>11354</v>
      </c>
      <c r="E3958" s="2" t="s">
        <v>763</v>
      </c>
      <c r="F3958" s="2" t="s">
        <v>16</v>
      </c>
      <c r="G3958" s="2" t="s">
        <v>165</v>
      </c>
      <c r="H3958" s="2"/>
      <c r="I3958" s="2"/>
      <c r="J3958" s="2" t="s">
        <v>42</v>
      </c>
      <c r="K3958" s="2"/>
      <c r="L3958" s="2" t="s">
        <v>11368</v>
      </c>
    </row>
    <row r="3959" customFormat="false" ht="15.65" hidden="false" customHeight="true" outlineLevel="0" collapsed="false">
      <c r="A3959" s="5" t="str">
        <f aca="false">HYPERLINK("https://www.fabsurplus.com/sdi_catalog/salesItemDetails.do?id=110541")</f>
        <v>https://www.fabsurplus.com/sdi_catalog/salesItemDetails.do?id=110541</v>
      </c>
      <c r="B3959" s="5" t="s">
        <v>11371</v>
      </c>
      <c r="C3959" s="5" t="s">
        <v>11343</v>
      </c>
      <c r="D3959" s="5" t="s">
        <v>11354</v>
      </c>
      <c r="E3959" s="5" t="s">
        <v>763</v>
      </c>
      <c r="F3959" s="5" t="s">
        <v>16</v>
      </c>
      <c r="G3959" s="5" t="s">
        <v>165</v>
      </c>
      <c r="H3959" s="5"/>
      <c r="I3959" s="5"/>
      <c r="J3959" s="5" t="s">
        <v>42</v>
      </c>
      <c r="K3959" s="5"/>
      <c r="L3959" s="5" t="s">
        <v>11372</v>
      </c>
    </row>
    <row r="3960" customFormat="false" ht="15.65" hidden="false" customHeight="true" outlineLevel="0" collapsed="false">
      <c r="A3960" s="2" t="str">
        <f aca="false">HYPERLINK("https://www.fabsurplus.com/sdi_catalog/salesItemDetails.do?id=110542")</f>
        <v>https://www.fabsurplus.com/sdi_catalog/salesItemDetails.do?id=110542</v>
      </c>
      <c r="B3960" s="2" t="s">
        <v>11373</v>
      </c>
      <c r="C3960" s="2" t="s">
        <v>11343</v>
      </c>
      <c r="D3960" s="2" t="s">
        <v>11354</v>
      </c>
      <c r="E3960" s="2" t="s">
        <v>763</v>
      </c>
      <c r="F3960" s="2" t="s">
        <v>16</v>
      </c>
      <c r="G3960" s="2" t="s">
        <v>165</v>
      </c>
      <c r="H3960" s="2"/>
      <c r="I3960" s="2"/>
      <c r="J3960" s="2" t="s">
        <v>42</v>
      </c>
      <c r="K3960" s="2"/>
      <c r="L3960" s="2" t="s">
        <v>11374</v>
      </c>
    </row>
    <row r="3961" customFormat="false" ht="15.65" hidden="false" customHeight="true" outlineLevel="0" collapsed="false">
      <c r="A3961" s="5" t="str">
        <f aca="false">HYPERLINK("https://www.fabsurplus.com/sdi_catalog/salesItemDetails.do?id=110543")</f>
        <v>https://www.fabsurplus.com/sdi_catalog/salesItemDetails.do?id=110543</v>
      </c>
      <c r="B3961" s="5" t="s">
        <v>11375</v>
      </c>
      <c r="C3961" s="5" t="s">
        <v>11343</v>
      </c>
      <c r="D3961" s="5" t="s">
        <v>11354</v>
      </c>
      <c r="E3961" s="5" t="s">
        <v>763</v>
      </c>
      <c r="F3961" s="5" t="s">
        <v>16</v>
      </c>
      <c r="G3961" s="5" t="s">
        <v>165</v>
      </c>
      <c r="H3961" s="5"/>
      <c r="I3961" s="5"/>
      <c r="J3961" s="5" t="s">
        <v>42</v>
      </c>
      <c r="K3961" s="5"/>
      <c r="L3961" s="5" t="s">
        <v>11374</v>
      </c>
    </row>
    <row r="3962" customFormat="false" ht="15.65" hidden="false" customHeight="true" outlineLevel="0" collapsed="false">
      <c r="A3962" s="2" t="str">
        <f aca="false">HYPERLINK("https://www.fabsurplus.com/sdi_catalog/salesItemDetails.do?id=110544")</f>
        <v>https://www.fabsurplus.com/sdi_catalog/salesItemDetails.do?id=110544</v>
      </c>
      <c r="B3962" s="2" t="s">
        <v>11376</v>
      </c>
      <c r="C3962" s="2" t="s">
        <v>11343</v>
      </c>
      <c r="D3962" s="2" t="s">
        <v>11354</v>
      </c>
      <c r="E3962" s="2" t="s">
        <v>763</v>
      </c>
      <c r="F3962" s="2" t="s">
        <v>16</v>
      </c>
      <c r="G3962" s="2" t="s">
        <v>165</v>
      </c>
      <c r="H3962" s="2"/>
      <c r="I3962" s="2"/>
      <c r="J3962" s="2" t="s">
        <v>42</v>
      </c>
      <c r="K3962" s="2"/>
      <c r="L3962" s="2" t="s">
        <v>11374</v>
      </c>
    </row>
    <row r="3963" customFormat="false" ht="15.65" hidden="false" customHeight="true" outlineLevel="0" collapsed="false">
      <c r="A3963" s="5" t="str">
        <f aca="false">HYPERLINK("https://www.fabsurplus.com/sdi_catalog/salesItemDetails.do?id=110545")</f>
        <v>https://www.fabsurplus.com/sdi_catalog/salesItemDetails.do?id=110545</v>
      </c>
      <c r="B3963" s="5" t="s">
        <v>11377</v>
      </c>
      <c r="C3963" s="5" t="s">
        <v>11343</v>
      </c>
      <c r="D3963" s="5" t="s">
        <v>11354</v>
      </c>
      <c r="E3963" s="5" t="s">
        <v>763</v>
      </c>
      <c r="F3963" s="5" t="s">
        <v>16</v>
      </c>
      <c r="G3963" s="5" t="s">
        <v>165</v>
      </c>
      <c r="H3963" s="5"/>
      <c r="I3963" s="5"/>
      <c r="J3963" s="5" t="s">
        <v>42</v>
      </c>
      <c r="K3963" s="5"/>
      <c r="L3963" s="5" t="s">
        <v>11374</v>
      </c>
    </row>
    <row r="3964" customFormat="false" ht="15.65" hidden="false" customHeight="true" outlineLevel="0" collapsed="false">
      <c r="A3964" s="2" t="str">
        <f aca="false">HYPERLINK("https://www.fabsurplus.com/sdi_catalog/salesItemDetails.do?id=110546")</f>
        <v>https://www.fabsurplus.com/sdi_catalog/salesItemDetails.do?id=110546</v>
      </c>
      <c r="B3964" s="2" t="s">
        <v>11378</v>
      </c>
      <c r="C3964" s="2" t="s">
        <v>11343</v>
      </c>
      <c r="D3964" s="2" t="s">
        <v>11365</v>
      </c>
      <c r="E3964" s="2" t="s">
        <v>763</v>
      </c>
      <c r="F3964" s="2" t="s">
        <v>16</v>
      </c>
      <c r="G3964" s="2" t="s">
        <v>165</v>
      </c>
      <c r="H3964" s="2"/>
      <c r="I3964" s="2"/>
      <c r="J3964" s="2" t="s">
        <v>42</v>
      </c>
      <c r="K3964" s="2"/>
      <c r="L3964" s="2" t="s">
        <v>11379</v>
      </c>
    </row>
    <row r="3965" customFormat="false" ht="15.65" hidden="false" customHeight="true" outlineLevel="0" collapsed="false">
      <c r="A3965" s="5" t="str">
        <f aca="false">HYPERLINK("https://www.fabsurplus.com/sdi_catalog/salesItemDetails.do?id=110547")</f>
        <v>https://www.fabsurplus.com/sdi_catalog/salesItemDetails.do?id=110547</v>
      </c>
      <c r="B3965" s="5" t="s">
        <v>11380</v>
      </c>
      <c r="C3965" s="5" t="s">
        <v>11343</v>
      </c>
      <c r="D3965" s="5" t="s">
        <v>11354</v>
      </c>
      <c r="E3965" s="5" t="s">
        <v>763</v>
      </c>
      <c r="F3965" s="5" t="s">
        <v>16</v>
      </c>
      <c r="G3965" s="5" t="s">
        <v>165</v>
      </c>
      <c r="H3965" s="5"/>
      <c r="I3965" s="5"/>
      <c r="J3965" s="5" t="s">
        <v>42</v>
      </c>
      <c r="K3965" s="5"/>
      <c r="L3965" s="5" t="s">
        <v>11381</v>
      </c>
    </row>
    <row r="3966" customFormat="false" ht="15.65" hidden="false" customHeight="true" outlineLevel="0" collapsed="false">
      <c r="A3966" s="2" t="str">
        <f aca="false">HYPERLINK("https://www.fabsurplus.com/sdi_catalog/salesItemDetails.do?id=108598")</f>
        <v>https://www.fabsurplus.com/sdi_catalog/salesItemDetails.do?id=108598</v>
      </c>
      <c r="B3966" s="2" t="s">
        <v>11382</v>
      </c>
      <c r="C3966" s="2" t="s">
        <v>11383</v>
      </c>
      <c r="D3966" s="2" t="s">
        <v>11384</v>
      </c>
      <c r="E3966" s="2" t="s">
        <v>11385</v>
      </c>
      <c r="F3966" s="2" t="s">
        <v>16</v>
      </c>
      <c r="G3966" s="2"/>
      <c r="H3966" s="2" t="s">
        <v>18</v>
      </c>
      <c r="I3966" s="2"/>
      <c r="J3966" s="2" t="s">
        <v>19</v>
      </c>
      <c r="K3966" s="2" t="s">
        <v>20</v>
      </c>
      <c r="L3966" s="2"/>
    </row>
    <row r="3967" customFormat="false" ht="15.65" hidden="false" customHeight="true" outlineLevel="0" collapsed="false">
      <c r="A3967" s="5" t="str">
        <f aca="false">HYPERLINK("https://www.fabsurplus.com/sdi_catalog/salesItemDetails.do?id=76613")</f>
        <v>https://www.fabsurplus.com/sdi_catalog/salesItemDetails.do?id=76613</v>
      </c>
      <c r="B3967" s="5" t="s">
        <v>11386</v>
      </c>
      <c r="C3967" s="5" t="s">
        <v>11387</v>
      </c>
      <c r="D3967" s="5" t="s">
        <v>11388</v>
      </c>
      <c r="E3967" s="5" t="s">
        <v>11389</v>
      </c>
      <c r="F3967" s="5" t="s">
        <v>16</v>
      </c>
      <c r="G3967" s="5" t="s">
        <v>1236</v>
      </c>
      <c r="H3967" s="5" t="s">
        <v>18</v>
      </c>
      <c r="I3967" s="6" t="n">
        <v>39294.9166666667</v>
      </c>
      <c r="J3967" s="5" t="s">
        <v>19</v>
      </c>
      <c r="K3967" s="5" t="s">
        <v>20</v>
      </c>
      <c r="L3967" s="7" t="s">
        <v>11390</v>
      </c>
    </row>
    <row r="3968" customFormat="false" ht="15.65" hidden="false" customHeight="true" outlineLevel="0" collapsed="false">
      <c r="A3968" s="2" t="str">
        <f aca="false">HYPERLINK("https://www.fabsurplus.com/sdi_catalog/salesItemDetails.do?id=79590")</f>
        <v>https://www.fabsurplus.com/sdi_catalog/salesItemDetails.do?id=79590</v>
      </c>
      <c r="B3968" s="2" t="s">
        <v>11391</v>
      </c>
      <c r="C3968" s="2" t="s">
        <v>11387</v>
      </c>
      <c r="D3968" s="2" t="s">
        <v>11392</v>
      </c>
      <c r="E3968" s="2" t="s">
        <v>11393</v>
      </c>
      <c r="F3968" s="2" t="s">
        <v>16</v>
      </c>
      <c r="G3968" s="2" t="s">
        <v>1236</v>
      </c>
      <c r="H3968" s="2" t="s">
        <v>18</v>
      </c>
      <c r="I3968" s="3" t="n">
        <v>38868.9166666667</v>
      </c>
      <c r="J3968" s="2" t="s">
        <v>19</v>
      </c>
      <c r="K3968" s="2" t="s">
        <v>20</v>
      </c>
      <c r="L3968" s="4" t="s">
        <v>11394</v>
      </c>
    </row>
    <row r="3969" customFormat="false" ht="15.65" hidden="false" customHeight="true" outlineLevel="0" collapsed="false">
      <c r="A3969" s="5" t="str">
        <f aca="false">HYPERLINK("https://www.fabsurplus.com/sdi_catalog/salesItemDetails.do?id=108774")</f>
        <v>https://www.fabsurplus.com/sdi_catalog/salesItemDetails.do?id=108774</v>
      </c>
      <c r="B3969" s="5" t="s">
        <v>11395</v>
      </c>
      <c r="C3969" s="5" t="s">
        <v>11383</v>
      </c>
      <c r="D3969" s="5" t="s">
        <v>11396</v>
      </c>
      <c r="E3969" s="5" t="s">
        <v>11385</v>
      </c>
      <c r="F3969" s="5" t="s">
        <v>16</v>
      </c>
      <c r="G3969" s="5"/>
      <c r="H3969" s="5"/>
      <c r="I3969" s="5"/>
      <c r="J3969" s="5" t="s">
        <v>19</v>
      </c>
      <c r="K3969" s="5"/>
      <c r="L3969" s="5"/>
    </row>
    <row r="3970" customFormat="false" ht="15.65" hidden="false" customHeight="true" outlineLevel="0" collapsed="false">
      <c r="A3970" s="2" t="str">
        <f aca="false">HYPERLINK("https://www.fabsurplus.com/sdi_catalog/salesItemDetails.do?id=79597")</f>
        <v>https://www.fabsurplus.com/sdi_catalog/salesItemDetails.do?id=79597</v>
      </c>
      <c r="B3970" s="2" t="s">
        <v>11397</v>
      </c>
      <c r="C3970" s="2" t="s">
        <v>11387</v>
      </c>
      <c r="D3970" s="2" t="s">
        <v>11398</v>
      </c>
      <c r="E3970" s="2" t="s">
        <v>11399</v>
      </c>
      <c r="F3970" s="2" t="s">
        <v>16</v>
      </c>
      <c r="G3970" s="2" t="s">
        <v>1236</v>
      </c>
      <c r="H3970" s="2" t="s">
        <v>18</v>
      </c>
      <c r="I3970" s="3" t="n">
        <v>39203</v>
      </c>
      <c r="J3970" s="2" t="s">
        <v>19</v>
      </c>
      <c r="K3970" s="2" t="s">
        <v>20</v>
      </c>
      <c r="L3970" s="4" t="s">
        <v>11400</v>
      </c>
    </row>
    <row r="3971" customFormat="false" ht="15.65" hidden="false" customHeight="true" outlineLevel="0" collapsed="false">
      <c r="A3971" s="5" t="str">
        <f aca="false">HYPERLINK("https://www.fabsurplus.com/sdi_catalog/salesItemDetails.do?id=79599")</f>
        <v>https://www.fabsurplus.com/sdi_catalog/salesItemDetails.do?id=79599</v>
      </c>
      <c r="B3971" s="5" t="s">
        <v>11401</v>
      </c>
      <c r="C3971" s="5" t="s">
        <v>11387</v>
      </c>
      <c r="D3971" s="5" t="s">
        <v>11402</v>
      </c>
      <c r="E3971" s="5" t="s">
        <v>11403</v>
      </c>
      <c r="F3971" s="5" t="s">
        <v>16</v>
      </c>
      <c r="G3971" s="5" t="s">
        <v>1236</v>
      </c>
      <c r="H3971" s="5" t="s">
        <v>32</v>
      </c>
      <c r="I3971" s="6" t="n">
        <v>36922.9583333333</v>
      </c>
      <c r="J3971" s="5" t="s">
        <v>19</v>
      </c>
      <c r="K3971" s="5" t="s">
        <v>20</v>
      </c>
      <c r="L3971" s="7" t="s">
        <v>11404</v>
      </c>
    </row>
    <row r="3972" customFormat="false" ht="15.65" hidden="false" customHeight="true" outlineLevel="0" collapsed="false">
      <c r="A3972" s="2" t="str">
        <f aca="false">HYPERLINK("https://www.fabsurplus.com/sdi_catalog/salesItemDetails.do?id=79601")</f>
        <v>https://www.fabsurplus.com/sdi_catalog/salesItemDetails.do?id=79601</v>
      </c>
      <c r="B3972" s="2" t="s">
        <v>11405</v>
      </c>
      <c r="C3972" s="2" t="s">
        <v>11387</v>
      </c>
      <c r="D3972" s="2" t="s">
        <v>11406</v>
      </c>
      <c r="E3972" s="2" t="s">
        <v>11407</v>
      </c>
      <c r="F3972" s="2" t="s">
        <v>16</v>
      </c>
      <c r="G3972" s="2" t="s">
        <v>1236</v>
      </c>
      <c r="H3972" s="2" t="s">
        <v>32</v>
      </c>
      <c r="I3972" s="2"/>
      <c r="J3972" s="2" t="s">
        <v>19</v>
      </c>
      <c r="K3972" s="2" t="s">
        <v>20</v>
      </c>
      <c r="L3972" s="4" t="s">
        <v>11408</v>
      </c>
    </row>
    <row r="3973" customFormat="false" ht="15.65" hidden="false" customHeight="true" outlineLevel="0" collapsed="false">
      <c r="A3973" s="5" t="str">
        <f aca="false">HYPERLINK("https://www.fabsurplus.com/sdi_catalog/salesItemDetails.do?id=98304")</f>
        <v>https://www.fabsurplus.com/sdi_catalog/salesItemDetails.do?id=98304</v>
      </c>
      <c r="B3973" s="5" t="s">
        <v>11409</v>
      </c>
      <c r="C3973" s="5" t="s">
        <v>11410</v>
      </c>
      <c r="D3973" s="5" t="s">
        <v>11411</v>
      </c>
      <c r="E3973" s="5" t="s">
        <v>2340</v>
      </c>
      <c r="F3973" s="5" t="s">
        <v>16</v>
      </c>
      <c r="G3973" s="5" t="s">
        <v>61</v>
      </c>
      <c r="H3973" s="5"/>
      <c r="I3973" s="6" t="n">
        <v>40329.9166666667</v>
      </c>
      <c r="J3973" s="5" t="s">
        <v>19</v>
      </c>
      <c r="K3973" s="5"/>
      <c r="L3973" s="5"/>
    </row>
    <row r="3974" customFormat="false" ht="15.65" hidden="false" customHeight="true" outlineLevel="0" collapsed="false">
      <c r="A3974" s="2" t="str">
        <f aca="false">HYPERLINK("https://www.fabsurplus.com/sdi_catalog/salesItemDetails.do?id=98305")</f>
        <v>https://www.fabsurplus.com/sdi_catalog/salesItemDetails.do?id=98305</v>
      </c>
      <c r="B3974" s="2" t="s">
        <v>11412</v>
      </c>
      <c r="C3974" s="2" t="s">
        <v>11410</v>
      </c>
      <c r="D3974" s="2" t="s">
        <v>11411</v>
      </c>
      <c r="E3974" s="2" t="s">
        <v>2340</v>
      </c>
      <c r="F3974" s="2" t="s">
        <v>16</v>
      </c>
      <c r="G3974" s="2" t="s">
        <v>61</v>
      </c>
      <c r="H3974" s="2"/>
      <c r="I3974" s="3" t="n">
        <v>40329.9166666667</v>
      </c>
      <c r="J3974" s="2" t="s">
        <v>19</v>
      </c>
      <c r="K3974" s="2"/>
      <c r="L3974" s="2"/>
    </row>
    <row r="3975" customFormat="false" ht="15.65" hidden="false" customHeight="true" outlineLevel="0" collapsed="false">
      <c r="A3975" s="5" t="str">
        <f aca="false">HYPERLINK("https://www.fabsurplus.com/sdi_catalog/salesItemDetails.do?id=108036")</f>
        <v>https://www.fabsurplus.com/sdi_catalog/salesItemDetails.do?id=108036</v>
      </c>
      <c r="B3975" s="5" t="s">
        <v>11413</v>
      </c>
      <c r="C3975" s="5" t="s">
        <v>11410</v>
      </c>
      <c r="D3975" s="5" t="s">
        <v>11414</v>
      </c>
      <c r="E3975" s="5" t="s">
        <v>11415</v>
      </c>
      <c r="F3975" s="5" t="s">
        <v>16</v>
      </c>
      <c r="G3975" s="5" t="s">
        <v>61</v>
      </c>
      <c r="H3975" s="5"/>
      <c r="I3975" s="6" t="n">
        <v>40360</v>
      </c>
      <c r="J3975" s="5" t="s">
        <v>19</v>
      </c>
      <c r="K3975" s="5"/>
      <c r="L3975" s="5" t="s">
        <v>11416</v>
      </c>
    </row>
    <row r="3976" customFormat="false" ht="15.65" hidden="false" customHeight="true" outlineLevel="0" collapsed="false">
      <c r="A3976" s="2" t="str">
        <f aca="false">HYPERLINK("https://www.fabsurplus.com/sdi_catalog/salesItemDetails.do?id=108300")</f>
        <v>https://www.fabsurplus.com/sdi_catalog/salesItemDetails.do?id=108300</v>
      </c>
      <c r="B3976" s="2" t="s">
        <v>11417</v>
      </c>
      <c r="C3976" s="2" t="s">
        <v>11410</v>
      </c>
      <c r="D3976" s="2" t="s">
        <v>11418</v>
      </c>
      <c r="E3976" s="2" t="s">
        <v>11419</v>
      </c>
      <c r="F3976" s="2" t="s">
        <v>16</v>
      </c>
      <c r="G3976" s="2"/>
      <c r="H3976" s="2"/>
      <c r="I3976" s="3" t="n">
        <v>37408</v>
      </c>
      <c r="J3976" s="2" t="s">
        <v>19</v>
      </c>
      <c r="K3976" s="2"/>
      <c r="L3976" s="2" t="s">
        <v>11420</v>
      </c>
    </row>
    <row r="3977" customFormat="false" ht="15.65" hidden="false" customHeight="true" outlineLevel="0" collapsed="false">
      <c r="A3977" s="5" t="str">
        <f aca="false">HYPERLINK("https://www.fabsurplus.com/sdi_catalog/salesItemDetails.do?id=98846")</f>
        <v>https://www.fabsurplus.com/sdi_catalog/salesItemDetails.do?id=98846</v>
      </c>
      <c r="B3977" s="5" t="s">
        <v>11421</v>
      </c>
      <c r="C3977" s="5" t="s">
        <v>11410</v>
      </c>
      <c r="D3977" s="5" t="s">
        <v>11422</v>
      </c>
      <c r="E3977" s="5" t="s">
        <v>1785</v>
      </c>
      <c r="F3977" s="5" t="s">
        <v>16</v>
      </c>
      <c r="G3977" s="5" t="s">
        <v>61</v>
      </c>
      <c r="H3977" s="5" t="s">
        <v>32</v>
      </c>
      <c r="I3977" s="6" t="n">
        <v>39933.9166666667</v>
      </c>
      <c r="J3977" s="5" t="s">
        <v>19</v>
      </c>
      <c r="K3977" s="5" t="s">
        <v>20</v>
      </c>
      <c r="L3977" s="7" t="s">
        <v>11423</v>
      </c>
    </row>
    <row r="3978" customFormat="false" ht="15.65" hidden="false" customHeight="true" outlineLevel="0" collapsed="false">
      <c r="A3978" s="2" t="str">
        <f aca="false">HYPERLINK("https://www.fabsurplus.com/sdi_catalog/salesItemDetails.do?id=98847")</f>
        <v>https://www.fabsurplus.com/sdi_catalog/salesItemDetails.do?id=98847</v>
      </c>
      <c r="B3978" s="2" t="s">
        <v>11424</v>
      </c>
      <c r="C3978" s="2" t="s">
        <v>11410</v>
      </c>
      <c r="D3978" s="2" t="s">
        <v>11425</v>
      </c>
      <c r="E3978" s="2" t="s">
        <v>1785</v>
      </c>
      <c r="F3978" s="2" t="s">
        <v>16</v>
      </c>
      <c r="G3978" s="2" t="s">
        <v>61</v>
      </c>
      <c r="H3978" s="2" t="s">
        <v>32</v>
      </c>
      <c r="I3978" s="3" t="n">
        <v>41486.9166666667</v>
      </c>
      <c r="J3978" s="2" t="s">
        <v>19</v>
      </c>
      <c r="K3978" s="2" t="s">
        <v>20</v>
      </c>
      <c r="L3978" s="2" t="s">
        <v>10213</v>
      </c>
    </row>
    <row r="3979" customFormat="false" ht="15.65" hidden="false" customHeight="true" outlineLevel="0" collapsed="false">
      <c r="A3979" s="5" t="str">
        <f aca="false">HYPERLINK("https://www.fabsurplus.com/sdi_catalog/salesItemDetails.do?id=77089")</f>
        <v>https://www.fabsurplus.com/sdi_catalog/salesItemDetails.do?id=77089</v>
      </c>
      <c r="B3979" s="5" t="s">
        <v>11426</v>
      </c>
      <c r="C3979" s="5" t="s">
        <v>11427</v>
      </c>
      <c r="D3979" s="5" t="s">
        <v>11428</v>
      </c>
      <c r="E3979" s="5" t="s">
        <v>11429</v>
      </c>
      <c r="F3979" s="5" t="s">
        <v>16</v>
      </c>
      <c r="G3979" s="5" t="s">
        <v>104</v>
      </c>
      <c r="H3979" s="5" t="s">
        <v>453</v>
      </c>
      <c r="I3979" s="5"/>
      <c r="J3979" s="5" t="s">
        <v>19</v>
      </c>
      <c r="K3979" s="5" t="s">
        <v>20</v>
      </c>
      <c r="L3979" s="7" t="s">
        <v>11430</v>
      </c>
    </row>
    <row r="3980" customFormat="false" ht="15.65" hidden="false" customHeight="true" outlineLevel="0" collapsed="false">
      <c r="A3980" s="2" t="str">
        <f aca="false">HYPERLINK("https://www.fabsurplus.com/sdi_catalog/salesItemDetails.do?id=109093")</f>
        <v>https://www.fabsurplus.com/sdi_catalog/salesItemDetails.do?id=109093</v>
      </c>
      <c r="B3980" s="2" t="s">
        <v>11431</v>
      </c>
      <c r="C3980" s="2" t="s">
        <v>11410</v>
      </c>
      <c r="D3980" s="2" t="s">
        <v>11432</v>
      </c>
      <c r="E3980" s="2" t="s">
        <v>11433</v>
      </c>
      <c r="F3980" s="2" t="s">
        <v>16</v>
      </c>
      <c r="G3980" s="2" t="s">
        <v>61</v>
      </c>
      <c r="H3980" s="2" t="s">
        <v>32</v>
      </c>
      <c r="I3980" s="3" t="n">
        <v>38991</v>
      </c>
      <c r="J3980" s="2" t="s">
        <v>19</v>
      </c>
      <c r="K3980" s="2" t="s">
        <v>20</v>
      </c>
      <c r="L3980" s="4" t="s">
        <v>11434</v>
      </c>
    </row>
    <row r="3981" customFormat="false" ht="15.65" hidden="false" customHeight="true" outlineLevel="0" collapsed="false">
      <c r="A3981" s="5" t="str">
        <f aca="false">HYPERLINK("https://www.fabsurplus.com/sdi_catalog/salesItemDetails.do?id=110638")</f>
        <v>https://www.fabsurplus.com/sdi_catalog/salesItemDetails.do?id=110638</v>
      </c>
      <c r="B3981" s="5" t="s">
        <v>11435</v>
      </c>
      <c r="C3981" s="5" t="s">
        <v>11410</v>
      </c>
      <c r="D3981" s="5" t="s">
        <v>11436</v>
      </c>
      <c r="E3981" s="5" t="s">
        <v>11437</v>
      </c>
      <c r="F3981" s="5" t="s">
        <v>16</v>
      </c>
      <c r="G3981" s="5" t="s">
        <v>1293</v>
      </c>
      <c r="H3981" s="5"/>
      <c r="I3981" s="5"/>
      <c r="J3981" s="5" t="s">
        <v>19</v>
      </c>
      <c r="K3981" s="5"/>
      <c r="L3981" s="7" t="s">
        <v>1617</v>
      </c>
    </row>
    <row r="3982" customFormat="false" ht="15.65" hidden="false" customHeight="true" outlineLevel="0" collapsed="false">
      <c r="A3982" s="2" t="str">
        <f aca="false">HYPERLINK("https://www.fabsurplus.com/sdi_catalog/salesItemDetails.do?id=110639")</f>
        <v>https://www.fabsurplus.com/sdi_catalog/salesItemDetails.do?id=110639</v>
      </c>
      <c r="B3982" s="2" t="s">
        <v>11438</v>
      </c>
      <c r="C3982" s="2" t="s">
        <v>11410</v>
      </c>
      <c r="D3982" s="2" t="s">
        <v>11439</v>
      </c>
      <c r="E3982" s="2" t="s">
        <v>59</v>
      </c>
      <c r="F3982" s="2" t="s">
        <v>16</v>
      </c>
      <c r="G3982" s="2" t="s">
        <v>61</v>
      </c>
      <c r="H3982" s="2"/>
      <c r="I3982" s="2"/>
      <c r="J3982" s="2" t="s">
        <v>19</v>
      </c>
      <c r="K3982" s="2"/>
      <c r="L3982" s="4" t="s">
        <v>1617</v>
      </c>
    </row>
    <row r="3983" customFormat="false" ht="15.65" hidden="false" customHeight="true" outlineLevel="0" collapsed="false">
      <c r="A3983" s="5" t="str">
        <f aca="false">HYPERLINK("https://www.fabsurplus.com/sdi_catalog/salesItemDetails.do?id=110640")</f>
        <v>https://www.fabsurplus.com/sdi_catalog/salesItemDetails.do?id=110640</v>
      </c>
      <c r="B3983" s="5" t="s">
        <v>11440</v>
      </c>
      <c r="C3983" s="5" t="s">
        <v>11410</v>
      </c>
      <c r="D3983" s="5" t="s">
        <v>11439</v>
      </c>
      <c r="E3983" s="5" t="s">
        <v>11441</v>
      </c>
      <c r="F3983" s="5" t="s">
        <v>16</v>
      </c>
      <c r="G3983" s="5" t="s">
        <v>61</v>
      </c>
      <c r="H3983" s="5"/>
      <c r="I3983" s="5"/>
      <c r="J3983" s="5" t="s">
        <v>19</v>
      </c>
      <c r="K3983" s="5"/>
      <c r="L3983" s="7" t="s">
        <v>1617</v>
      </c>
    </row>
    <row r="3984" customFormat="false" ht="15.65" hidden="false" customHeight="true" outlineLevel="0" collapsed="false">
      <c r="A3984" s="2" t="str">
        <f aca="false">HYPERLINK("https://www.fabsurplus.com/sdi_catalog/salesItemDetails.do?id=110641")</f>
        <v>https://www.fabsurplus.com/sdi_catalog/salesItemDetails.do?id=110641</v>
      </c>
      <c r="B3984" s="2" t="s">
        <v>11442</v>
      </c>
      <c r="C3984" s="2" t="s">
        <v>11410</v>
      </c>
      <c r="D3984" s="2" t="s">
        <v>11443</v>
      </c>
      <c r="E3984" s="2" t="s">
        <v>9590</v>
      </c>
      <c r="F3984" s="2" t="s">
        <v>16</v>
      </c>
      <c r="G3984" s="2" t="s">
        <v>61</v>
      </c>
      <c r="H3984" s="2"/>
      <c r="I3984" s="2"/>
      <c r="J3984" s="2" t="s">
        <v>19</v>
      </c>
      <c r="K3984" s="2"/>
      <c r="L3984" s="4" t="s">
        <v>1617</v>
      </c>
    </row>
    <row r="3985" customFormat="false" ht="15.65" hidden="false" customHeight="true" outlineLevel="0" collapsed="false">
      <c r="A3985" s="5" t="str">
        <f aca="false">HYPERLINK("https://www.fabsurplus.com/sdi_catalog/salesItemDetails.do?id=110642")</f>
        <v>https://www.fabsurplus.com/sdi_catalog/salesItemDetails.do?id=110642</v>
      </c>
      <c r="B3985" s="5" t="s">
        <v>11444</v>
      </c>
      <c r="C3985" s="5" t="s">
        <v>11410</v>
      </c>
      <c r="D3985" s="5" t="s">
        <v>11445</v>
      </c>
      <c r="E3985" s="5" t="s">
        <v>9590</v>
      </c>
      <c r="F3985" s="5" t="s">
        <v>16</v>
      </c>
      <c r="G3985" s="5" t="s">
        <v>61</v>
      </c>
      <c r="H3985" s="5"/>
      <c r="I3985" s="5"/>
      <c r="J3985" s="5" t="s">
        <v>19</v>
      </c>
      <c r="K3985" s="5"/>
      <c r="L3985" s="7" t="s">
        <v>1617</v>
      </c>
    </row>
    <row r="3986" customFormat="false" ht="15.65" hidden="false" customHeight="true" outlineLevel="0" collapsed="false">
      <c r="A3986" s="2" t="str">
        <f aca="false">HYPERLINK("https://www.fabsurplus.com/sdi_catalog/salesItemDetails.do?id=110643")</f>
        <v>https://www.fabsurplus.com/sdi_catalog/salesItemDetails.do?id=110643</v>
      </c>
      <c r="B3986" s="2" t="s">
        <v>11446</v>
      </c>
      <c r="C3986" s="2" t="s">
        <v>11410</v>
      </c>
      <c r="D3986" s="2" t="s">
        <v>11447</v>
      </c>
      <c r="E3986" s="2" t="s">
        <v>11448</v>
      </c>
      <c r="F3986" s="2" t="s">
        <v>16</v>
      </c>
      <c r="G3986" s="2" t="s">
        <v>61</v>
      </c>
      <c r="H3986" s="2"/>
      <c r="I3986" s="2"/>
      <c r="J3986" s="2" t="s">
        <v>19</v>
      </c>
      <c r="K3986" s="2"/>
      <c r="L3986" s="4" t="s">
        <v>1617</v>
      </c>
    </row>
    <row r="3987" customFormat="false" ht="15.65" hidden="false" customHeight="true" outlineLevel="0" collapsed="false">
      <c r="A3987" s="5" t="str">
        <f aca="false">HYPERLINK("https://www.fabsurplus.com/sdi_catalog/salesItemDetails.do?id=110644")</f>
        <v>https://www.fabsurplus.com/sdi_catalog/salesItemDetails.do?id=110644</v>
      </c>
      <c r="B3987" s="5" t="s">
        <v>11449</v>
      </c>
      <c r="C3987" s="5" t="s">
        <v>11410</v>
      </c>
      <c r="D3987" s="5" t="s">
        <v>11447</v>
      </c>
      <c r="E3987" s="5" t="s">
        <v>11448</v>
      </c>
      <c r="F3987" s="5" t="s">
        <v>16</v>
      </c>
      <c r="G3987" s="5" t="s">
        <v>61</v>
      </c>
      <c r="H3987" s="5"/>
      <c r="I3987" s="5"/>
      <c r="J3987" s="5" t="s">
        <v>19</v>
      </c>
      <c r="K3987" s="5"/>
      <c r="L3987" s="7" t="s">
        <v>1617</v>
      </c>
    </row>
    <row r="3988" customFormat="false" ht="15.65" hidden="false" customHeight="true" outlineLevel="0" collapsed="false">
      <c r="A3988" s="2" t="str">
        <f aca="false">HYPERLINK("https://www.fabsurplus.com/sdi_catalog/salesItemDetails.do?id=110645")</f>
        <v>https://www.fabsurplus.com/sdi_catalog/salesItemDetails.do?id=110645</v>
      </c>
      <c r="B3988" s="2" t="s">
        <v>11450</v>
      </c>
      <c r="C3988" s="2" t="s">
        <v>11410</v>
      </c>
      <c r="D3988" s="2" t="s">
        <v>11451</v>
      </c>
      <c r="E3988" s="2" t="s">
        <v>9590</v>
      </c>
      <c r="F3988" s="2" t="s">
        <v>16</v>
      </c>
      <c r="G3988" s="2" t="s">
        <v>38</v>
      </c>
      <c r="H3988" s="2"/>
      <c r="I3988" s="2"/>
      <c r="J3988" s="2" t="s">
        <v>19</v>
      </c>
      <c r="K3988" s="2"/>
      <c r="L3988" s="2" t="s">
        <v>11452</v>
      </c>
    </row>
    <row r="3989" customFormat="false" ht="15.65" hidden="false" customHeight="true" outlineLevel="0" collapsed="false">
      <c r="A3989" s="5" t="str">
        <f aca="false">HYPERLINK("https://www.fabsurplus.com/sdi_catalog/salesItemDetails.do?id=110646")</f>
        <v>https://www.fabsurplus.com/sdi_catalog/salesItemDetails.do?id=110646</v>
      </c>
      <c r="B3989" s="5" t="s">
        <v>11453</v>
      </c>
      <c r="C3989" s="5" t="s">
        <v>11410</v>
      </c>
      <c r="D3989" s="5" t="s">
        <v>11454</v>
      </c>
      <c r="E3989" s="5" t="s">
        <v>9590</v>
      </c>
      <c r="F3989" s="5" t="s">
        <v>16</v>
      </c>
      <c r="G3989" s="5" t="s">
        <v>38</v>
      </c>
      <c r="H3989" s="5"/>
      <c r="I3989" s="5"/>
      <c r="J3989" s="5" t="s">
        <v>19</v>
      </c>
      <c r="K3989" s="5"/>
      <c r="L3989" s="5" t="s">
        <v>11452</v>
      </c>
    </row>
    <row r="3990" customFormat="false" ht="15.65" hidden="false" customHeight="true" outlineLevel="0" collapsed="false">
      <c r="A3990" s="2" t="str">
        <f aca="false">HYPERLINK("https://www.fabsurplus.com/sdi_catalog/salesItemDetails.do?id=108599")</f>
        <v>https://www.fabsurplus.com/sdi_catalog/salesItemDetails.do?id=108599</v>
      </c>
      <c r="B3990" s="2" t="s">
        <v>11455</v>
      </c>
      <c r="C3990" s="2" t="s">
        <v>11427</v>
      </c>
      <c r="D3990" s="2" t="s">
        <v>11456</v>
      </c>
      <c r="E3990" s="2" t="s">
        <v>59</v>
      </c>
      <c r="F3990" s="2" t="s">
        <v>16</v>
      </c>
      <c r="G3990" s="2" t="s">
        <v>61</v>
      </c>
      <c r="H3990" s="2" t="s">
        <v>18</v>
      </c>
      <c r="I3990" s="3" t="n">
        <v>38838</v>
      </c>
      <c r="J3990" s="2" t="s">
        <v>42</v>
      </c>
      <c r="K3990" s="2" t="s">
        <v>20</v>
      </c>
      <c r="L3990" s="4" t="s">
        <v>11457</v>
      </c>
    </row>
    <row r="3991" customFormat="false" ht="15.65" hidden="false" customHeight="true" outlineLevel="0" collapsed="false">
      <c r="A3991" s="5" t="str">
        <f aca="false">HYPERLINK("https://www.fabsurplus.com/sdi_catalog/salesItemDetails.do?id=110647")</f>
        <v>https://www.fabsurplus.com/sdi_catalog/salesItemDetails.do?id=110647</v>
      </c>
      <c r="B3991" s="5" t="s">
        <v>11458</v>
      </c>
      <c r="C3991" s="5" t="s">
        <v>11410</v>
      </c>
      <c r="D3991" s="5" t="s">
        <v>11454</v>
      </c>
      <c r="E3991" s="5" t="s">
        <v>9590</v>
      </c>
      <c r="F3991" s="5" t="s">
        <v>16</v>
      </c>
      <c r="G3991" s="5" t="s">
        <v>38</v>
      </c>
      <c r="H3991" s="5"/>
      <c r="I3991" s="5"/>
      <c r="J3991" s="5" t="s">
        <v>19</v>
      </c>
      <c r="K3991" s="5"/>
      <c r="L3991" s="5" t="s">
        <v>11452</v>
      </c>
    </row>
    <row r="3992" customFormat="false" ht="15.65" hidden="false" customHeight="true" outlineLevel="0" collapsed="false">
      <c r="A3992" s="2" t="str">
        <f aca="false">HYPERLINK("https://www.fabsurplus.com/sdi_catalog/salesItemDetails.do?id=108600")</f>
        <v>https://www.fabsurplus.com/sdi_catalog/salesItemDetails.do?id=108600</v>
      </c>
      <c r="B3992" s="2" t="s">
        <v>11459</v>
      </c>
      <c r="C3992" s="2" t="s">
        <v>11410</v>
      </c>
      <c r="D3992" s="2" t="s">
        <v>11460</v>
      </c>
      <c r="E3992" s="2" t="s">
        <v>11461</v>
      </c>
      <c r="F3992" s="2" t="s">
        <v>16</v>
      </c>
      <c r="G3992" s="2" t="s">
        <v>61</v>
      </c>
      <c r="H3992" s="2" t="s">
        <v>18</v>
      </c>
      <c r="I3992" s="3" t="n">
        <v>38139</v>
      </c>
      <c r="J3992" s="2" t="s">
        <v>19</v>
      </c>
      <c r="K3992" s="2" t="s">
        <v>20</v>
      </c>
      <c r="L3992" s="2" t="s">
        <v>11462</v>
      </c>
    </row>
    <row r="3993" customFormat="false" ht="15.65" hidden="false" customHeight="true" outlineLevel="0" collapsed="false">
      <c r="A3993" s="5" t="str">
        <f aca="false">HYPERLINK("https://www.fabsurplus.com/sdi_catalog/salesItemDetails.do?id=110648")</f>
        <v>https://www.fabsurplus.com/sdi_catalog/salesItemDetails.do?id=110648</v>
      </c>
      <c r="B3993" s="5" t="s">
        <v>11463</v>
      </c>
      <c r="C3993" s="5" t="s">
        <v>11410</v>
      </c>
      <c r="D3993" s="5" t="s">
        <v>11454</v>
      </c>
      <c r="E3993" s="5" t="s">
        <v>9590</v>
      </c>
      <c r="F3993" s="5" t="s">
        <v>16</v>
      </c>
      <c r="G3993" s="5" t="s">
        <v>38</v>
      </c>
      <c r="H3993" s="5"/>
      <c r="I3993" s="5"/>
      <c r="J3993" s="5" t="s">
        <v>19</v>
      </c>
      <c r="K3993" s="5"/>
      <c r="L3993" s="5" t="s">
        <v>11452</v>
      </c>
    </row>
    <row r="3994" customFormat="false" ht="15.65" hidden="false" customHeight="true" outlineLevel="0" collapsed="false">
      <c r="A3994" s="2" t="str">
        <f aca="false">HYPERLINK("https://www.fabsurplus.com/sdi_catalog/salesItemDetails.do?id=108601")</f>
        <v>https://www.fabsurplus.com/sdi_catalog/salesItemDetails.do?id=108601</v>
      </c>
      <c r="B3994" s="2" t="s">
        <v>11464</v>
      </c>
      <c r="C3994" s="2" t="s">
        <v>11410</v>
      </c>
      <c r="D3994" s="2" t="s">
        <v>11460</v>
      </c>
      <c r="E3994" s="2" t="s">
        <v>11461</v>
      </c>
      <c r="F3994" s="2" t="s">
        <v>16</v>
      </c>
      <c r="G3994" s="2" t="s">
        <v>61</v>
      </c>
      <c r="H3994" s="2" t="s">
        <v>18</v>
      </c>
      <c r="I3994" s="3" t="n">
        <v>38869</v>
      </c>
      <c r="J3994" s="2" t="s">
        <v>19</v>
      </c>
      <c r="K3994" s="2" t="s">
        <v>20</v>
      </c>
      <c r="L3994" s="2" t="s">
        <v>11462</v>
      </c>
    </row>
    <row r="3995" customFormat="false" ht="15.65" hidden="false" customHeight="true" outlineLevel="0" collapsed="false">
      <c r="A3995" s="5" t="str">
        <f aca="false">HYPERLINK("https://www.fabsurplus.com/sdi_catalog/salesItemDetails.do?id=110649")</f>
        <v>https://www.fabsurplus.com/sdi_catalog/salesItemDetails.do?id=110649</v>
      </c>
      <c r="B3995" s="5" t="s">
        <v>11465</v>
      </c>
      <c r="C3995" s="5" t="s">
        <v>11410</v>
      </c>
      <c r="D3995" s="5" t="s">
        <v>11466</v>
      </c>
      <c r="E3995" s="5" t="s">
        <v>9590</v>
      </c>
      <c r="F3995" s="5" t="s">
        <v>16</v>
      </c>
      <c r="G3995" s="5" t="s">
        <v>38</v>
      </c>
      <c r="H3995" s="5"/>
      <c r="I3995" s="5"/>
      <c r="J3995" s="5" t="s">
        <v>19</v>
      </c>
      <c r="K3995" s="5"/>
      <c r="L3995" s="5" t="s">
        <v>11452</v>
      </c>
    </row>
    <row r="3996" customFormat="false" ht="15.65" hidden="false" customHeight="true" outlineLevel="0" collapsed="false">
      <c r="A3996" s="2" t="str">
        <f aca="false">HYPERLINK("https://www.fabsurplus.com/sdi_catalog/salesItemDetails.do?id=108602")</f>
        <v>https://www.fabsurplus.com/sdi_catalog/salesItemDetails.do?id=108602</v>
      </c>
      <c r="B3996" s="2" t="s">
        <v>11467</v>
      </c>
      <c r="C3996" s="2" t="s">
        <v>11410</v>
      </c>
      <c r="D3996" s="2" t="s">
        <v>11460</v>
      </c>
      <c r="E3996" s="2" t="s">
        <v>11461</v>
      </c>
      <c r="F3996" s="2" t="s">
        <v>16</v>
      </c>
      <c r="G3996" s="2" t="s">
        <v>61</v>
      </c>
      <c r="H3996" s="2" t="s">
        <v>18</v>
      </c>
      <c r="I3996" s="3" t="n">
        <v>38869</v>
      </c>
      <c r="J3996" s="2" t="s">
        <v>19</v>
      </c>
      <c r="K3996" s="2" t="s">
        <v>20</v>
      </c>
      <c r="L3996" s="2" t="s">
        <v>11462</v>
      </c>
    </row>
    <row r="3997" customFormat="false" ht="15.65" hidden="false" customHeight="true" outlineLevel="0" collapsed="false">
      <c r="A3997" s="5" t="str">
        <f aca="false">HYPERLINK("https://www.fabsurplus.com/sdi_catalog/salesItemDetails.do?id=110650")</f>
        <v>https://www.fabsurplus.com/sdi_catalog/salesItemDetails.do?id=110650</v>
      </c>
      <c r="B3997" s="5" t="s">
        <v>11468</v>
      </c>
      <c r="C3997" s="5" t="s">
        <v>11410</v>
      </c>
      <c r="D3997" s="5" t="s">
        <v>11469</v>
      </c>
      <c r="E3997" s="5" t="s">
        <v>9590</v>
      </c>
      <c r="F3997" s="5" t="s">
        <v>16</v>
      </c>
      <c r="G3997" s="5" t="s">
        <v>38</v>
      </c>
      <c r="H3997" s="5"/>
      <c r="I3997" s="5"/>
      <c r="J3997" s="5" t="s">
        <v>19</v>
      </c>
      <c r="K3997" s="5"/>
      <c r="L3997" s="5" t="s">
        <v>11452</v>
      </c>
    </row>
    <row r="3998" customFormat="false" ht="15.65" hidden="false" customHeight="true" outlineLevel="0" collapsed="false">
      <c r="A3998" s="2" t="str">
        <f aca="false">HYPERLINK("https://www.fabsurplus.com/sdi_catalog/salesItemDetails.do?id=108603")</f>
        <v>https://www.fabsurplus.com/sdi_catalog/salesItemDetails.do?id=108603</v>
      </c>
      <c r="B3998" s="2" t="s">
        <v>11470</v>
      </c>
      <c r="C3998" s="2" t="s">
        <v>11410</v>
      </c>
      <c r="D3998" s="2" t="s">
        <v>11456</v>
      </c>
      <c r="E3998" s="2" t="s">
        <v>59</v>
      </c>
      <c r="F3998" s="2" t="s">
        <v>16</v>
      </c>
      <c r="G3998" s="2" t="s">
        <v>61</v>
      </c>
      <c r="H3998" s="2" t="s">
        <v>18</v>
      </c>
      <c r="I3998" s="3" t="n">
        <v>38838</v>
      </c>
      <c r="J3998" s="2" t="s">
        <v>19</v>
      </c>
      <c r="K3998" s="2" t="s">
        <v>20</v>
      </c>
      <c r="L3998" s="2" t="s">
        <v>6838</v>
      </c>
    </row>
    <row r="3999" customFormat="false" ht="15.65" hidden="false" customHeight="true" outlineLevel="0" collapsed="false">
      <c r="A3999" s="5" t="str">
        <f aca="false">HYPERLINK("https://www.fabsurplus.com/sdi_catalog/salesItemDetails.do?id=110651")</f>
        <v>https://www.fabsurplus.com/sdi_catalog/salesItemDetails.do?id=110651</v>
      </c>
      <c r="B3999" s="5" t="s">
        <v>11471</v>
      </c>
      <c r="C3999" s="5" t="s">
        <v>11410</v>
      </c>
      <c r="D3999" s="5" t="s">
        <v>11472</v>
      </c>
      <c r="E3999" s="5" t="s">
        <v>9590</v>
      </c>
      <c r="F3999" s="5" t="s">
        <v>16</v>
      </c>
      <c r="G3999" s="5" t="s">
        <v>38</v>
      </c>
      <c r="H3999" s="5"/>
      <c r="I3999" s="5"/>
      <c r="J3999" s="5" t="s">
        <v>19</v>
      </c>
      <c r="K3999" s="5"/>
      <c r="L3999" s="5" t="s">
        <v>11452</v>
      </c>
    </row>
    <row r="4000" customFormat="false" ht="15.65" hidden="false" customHeight="true" outlineLevel="0" collapsed="false">
      <c r="A4000" s="2" t="str">
        <f aca="false">HYPERLINK("https://www.fabsurplus.com/sdi_catalog/salesItemDetails.do?id=108604")</f>
        <v>https://www.fabsurplus.com/sdi_catalog/salesItemDetails.do?id=108604</v>
      </c>
      <c r="B4000" s="2" t="s">
        <v>11473</v>
      </c>
      <c r="C4000" s="2" t="s">
        <v>11427</v>
      </c>
      <c r="D4000" s="2" t="s">
        <v>11474</v>
      </c>
      <c r="E4000" s="2" t="s">
        <v>10455</v>
      </c>
      <c r="F4000" s="2" t="s">
        <v>16</v>
      </c>
      <c r="G4000" s="2" t="s">
        <v>61</v>
      </c>
      <c r="H4000" s="2" t="s">
        <v>18</v>
      </c>
      <c r="I4000" s="3" t="n">
        <v>41061</v>
      </c>
      <c r="J4000" s="2" t="s">
        <v>19</v>
      </c>
      <c r="K4000" s="2" t="s">
        <v>20</v>
      </c>
      <c r="L4000" s="4" t="s">
        <v>11475</v>
      </c>
    </row>
    <row r="4001" customFormat="false" ht="15.65" hidden="false" customHeight="true" outlineLevel="0" collapsed="false">
      <c r="A4001" s="5" t="str">
        <f aca="false">HYPERLINK("https://www.fabsurplus.com/sdi_catalog/salesItemDetails.do?id=110652")</f>
        <v>https://www.fabsurplus.com/sdi_catalog/salesItemDetails.do?id=110652</v>
      </c>
      <c r="B4001" s="5" t="s">
        <v>11476</v>
      </c>
      <c r="C4001" s="5" t="s">
        <v>11410</v>
      </c>
      <c r="D4001" s="5" t="s">
        <v>11477</v>
      </c>
      <c r="E4001" s="5" t="s">
        <v>9590</v>
      </c>
      <c r="F4001" s="5" t="s">
        <v>16</v>
      </c>
      <c r="G4001" s="5" t="s">
        <v>38</v>
      </c>
      <c r="H4001" s="5"/>
      <c r="I4001" s="5"/>
      <c r="J4001" s="5" t="s">
        <v>19</v>
      </c>
      <c r="K4001" s="5"/>
      <c r="L4001" s="5" t="s">
        <v>11452</v>
      </c>
    </row>
    <row r="4002" customFormat="false" ht="15.65" hidden="false" customHeight="true" outlineLevel="0" collapsed="false">
      <c r="A4002" s="2" t="str">
        <f aca="false">HYPERLINK("https://www.fabsurplus.com/sdi_catalog/salesItemDetails.do?id=108605")</f>
        <v>https://www.fabsurplus.com/sdi_catalog/salesItemDetails.do?id=108605</v>
      </c>
      <c r="B4002" s="2" t="s">
        <v>11478</v>
      </c>
      <c r="C4002" s="2" t="s">
        <v>11410</v>
      </c>
      <c r="D4002" s="2" t="s">
        <v>11479</v>
      </c>
      <c r="E4002" s="2" t="s">
        <v>11480</v>
      </c>
      <c r="F4002" s="2" t="s">
        <v>16</v>
      </c>
      <c r="G4002" s="2" t="s">
        <v>38</v>
      </c>
      <c r="H4002" s="2" t="s">
        <v>18</v>
      </c>
      <c r="I4002" s="3" t="n">
        <v>37135</v>
      </c>
      <c r="J4002" s="2" t="s">
        <v>19</v>
      </c>
      <c r="K4002" s="2" t="s">
        <v>20</v>
      </c>
      <c r="L4002" s="4" t="s">
        <v>11481</v>
      </c>
    </row>
    <row r="4003" customFormat="false" ht="15.65" hidden="false" customHeight="true" outlineLevel="0" collapsed="false">
      <c r="A4003" s="5" t="str">
        <f aca="false">HYPERLINK("https://www.fabsurplus.com/sdi_catalog/salesItemDetails.do?id=110653")</f>
        <v>https://www.fabsurplus.com/sdi_catalog/salesItemDetails.do?id=110653</v>
      </c>
      <c r="B4003" s="5" t="s">
        <v>11482</v>
      </c>
      <c r="C4003" s="5" t="s">
        <v>11410</v>
      </c>
      <c r="D4003" s="5" t="s">
        <v>11483</v>
      </c>
      <c r="E4003" s="5" t="s">
        <v>9590</v>
      </c>
      <c r="F4003" s="5" t="s">
        <v>16</v>
      </c>
      <c r="G4003" s="5" t="s">
        <v>38</v>
      </c>
      <c r="H4003" s="5"/>
      <c r="I4003" s="5"/>
      <c r="J4003" s="5" t="s">
        <v>19</v>
      </c>
      <c r="K4003" s="5"/>
      <c r="L4003" s="5" t="s">
        <v>11452</v>
      </c>
    </row>
    <row r="4004" customFormat="false" ht="15.65" hidden="false" customHeight="true" outlineLevel="0" collapsed="false">
      <c r="A4004" s="2" t="str">
        <f aca="false">HYPERLINK("https://www.fabsurplus.com/sdi_catalog/salesItemDetails.do?id=108606")</f>
        <v>https://www.fabsurplus.com/sdi_catalog/salesItemDetails.do?id=108606</v>
      </c>
      <c r="B4004" s="2" t="s">
        <v>11484</v>
      </c>
      <c r="C4004" s="2" t="s">
        <v>11410</v>
      </c>
      <c r="D4004" s="2" t="s">
        <v>11485</v>
      </c>
      <c r="E4004" s="2" t="s">
        <v>11486</v>
      </c>
      <c r="F4004" s="2" t="s">
        <v>16</v>
      </c>
      <c r="G4004" s="2" t="s">
        <v>38</v>
      </c>
      <c r="H4004" s="2" t="s">
        <v>32</v>
      </c>
      <c r="I4004" s="3" t="n">
        <v>35551</v>
      </c>
      <c r="J4004" s="2" t="s">
        <v>19</v>
      </c>
      <c r="K4004" s="2"/>
      <c r="L4004" s="2"/>
    </row>
    <row r="4005" customFormat="false" ht="15.65" hidden="false" customHeight="true" outlineLevel="0" collapsed="false">
      <c r="A4005" s="5" t="str">
        <f aca="false">HYPERLINK("https://www.fabsurplus.com/sdi_catalog/salesItemDetails.do?id=109118")</f>
        <v>https://www.fabsurplus.com/sdi_catalog/salesItemDetails.do?id=109118</v>
      </c>
      <c r="B4005" s="5" t="s">
        <v>11487</v>
      </c>
      <c r="C4005" s="5" t="s">
        <v>11427</v>
      </c>
      <c r="D4005" s="5" t="s">
        <v>11488</v>
      </c>
      <c r="E4005" s="5" t="s">
        <v>2248</v>
      </c>
      <c r="F4005" s="5" t="s">
        <v>5998</v>
      </c>
      <c r="G4005" s="5" t="s">
        <v>61</v>
      </c>
      <c r="H4005" s="5" t="s">
        <v>18</v>
      </c>
      <c r="I4005" s="6" t="n">
        <v>40330</v>
      </c>
      <c r="J4005" s="5" t="s">
        <v>19</v>
      </c>
      <c r="K4005" s="5" t="s">
        <v>20</v>
      </c>
      <c r="L4005" s="5"/>
    </row>
    <row r="4006" customFormat="false" ht="15.65" hidden="false" customHeight="true" outlineLevel="0" collapsed="false">
      <c r="A4006" s="2" t="str">
        <f aca="false">HYPERLINK("https://www.fabsurplus.com/sdi_catalog/salesItemDetails.do?id=110654")</f>
        <v>https://www.fabsurplus.com/sdi_catalog/salesItemDetails.do?id=110654</v>
      </c>
      <c r="B4006" s="2" t="s">
        <v>11489</v>
      </c>
      <c r="C4006" s="2" t="s">
        <v>11410</v>
      </c>
      <c r="D4006" s="2" t="s">
        <v>11490</v>
      </c>
      <c r="E4006" s="2" t="s">
        <v>9590</v>
      </c>
      <c r="F4006" s="2" t="s">
        <v>16</v>
      </c>
      <c r="G4006" s="2" t="s">
        <v>38</v>
      </c>
      <c r="H4006" s="2"/>
      <c r="I4006" s="2"/>
      <c r="J4006" s="2" t="s">
        <v>19</v>
      </c>
      <c r="K4006" s="2"/>
      <c r="L4006" s="2" t="s">
        <v>11452</v>
      </c>
    </row>
    <row r="4007" customFormat="false" ht="15.65" hidden="false" customHeight="true" outlineLevel="0" collapsed="false">
      <c r="A4007" s="5" t="str">
        <f aca="false">HYPERLINK("https://www.fabsurplus.com/sdi_catalog/salesItemDetails.do?id=110655")</f>
        <v>https://www.fabsurplus.com/sdi_catalog/salesItemDetails.do?id=110655</v>
      </c>
      <c r="B4007" s="5" t="s">
        <v>11491</v>
      </c>
      <c r="C4007" s="5" t="s">
        <v>11410</v>
      </c>
      <c r="D4007" s="5" t="s">
        <v>11492</v>
      </c>
      <c r="E4007" s="5" t="s">
        <v>4290</v>
      </c>
      <c r="F4007" s="5" t="s">
        <v>16</v>
      </c>
      <c r="G4007" s="5" t="s">
        <v>61</v>
      </c>
      <c r="H4007" s="5"/>
      <c r="I4007" s="5"/>
      <c r="J4007" s="5" t="s">
        <v>19</v>
      </c>
      <c r="K4007" s="5"/>
      <c r="L4007" s="7" t="s">
        <v>1617</v>
      </c>
    </row>
    <row r="4008" customFormat="false" ht="15.65" hidden="false" customHeight="true" outlineLevel="0" collapsed="false">
      <c r="A4008" s="2" t="str">
        <f aca="false">HYPERLINK("https://www.fabsurplus.com/sdi_catalog/salesItemDetails.do?id=110656")</f>
        <v>https://www.fabsurplus.com/sdi_catalog/salesItemDetails.do?id=110656</v>
      </c>
      <c r="B4008" s="2" t="s">
        <v>11493</v>
      </c>
      <c r="C4008" s="2" t="s">
        <v>11410</v>
      </c>
      <c r="D4008" s="2" t="s">
        <v>11494</v>
      </c>
      <c r="E4008" s="2" t="s">
        <v>4290</v>
      </c>
      <c r="F4008" s="2" t="s">
        <v>16</v>
      </c>
      <c r="G4008" s="2" t="s">
        <v>38</v>
      </c>
      <c r="H4008" s="2"/>
      <c r="I4008" s="2"/>
      <c r="J4008" s="2" t="s">
        <v>19</v>
      </c>
      <c r="K4008" s="2"/>
      <c r="L4008" s="4" t="s">
        <v>1617</v>
      </c>
    </row>
    <row r="4009" customFormat="false" ht="15.65" hidden="false" customHeight="true" outlineLevel="0" collapsed="false">
      <c r="A4009" s="5" t="str">
        <f aca="false">HYPERLINK("https://www.fabsurplus.com/sdi_catalog/salesItemDetails.do?id=110657")</f>
        <v>https://www.fabsurplus.com/sdi_catalog/salesItemDetails.do?id=110657</v>
      </c>
      <c r="B4009" s="5" t="s">
        <v>11495</v>
      </c>
      <c r="C4009" s="5" t="s">
        <v>11410</v>
      </c>
      <c r="D4009" s="5" t="s">
        <v>11494</v>
      </c>
      <c r="E4009" s="5" t="s">
        <v>4290</v>
      </c>
      <c r="F4009" s="5" t="s">
        <v>16</v>
      </c>
      <c r="G4009" s="5" t="s">
        <v>38</v>
      </c>
      <c r="H4009" s="5"/>
      <c r="I4009" s="5"/>
      <c r="J4009" s="5" t="s">
        <v>19</v>
      </c>
      <c r="K4009" s="5"/>
      <c r="L4009" s="7" t="s">
        <v>1617</v>
      </c>
    </row>
    <row r="4010" customFormat="false" ht="15.65" hidden="false" customHeight="true" outlineLevel="0" collapsed="false">
      <c r="A4010" s="2" t="str">
        <f aca="false">HYPERLINK("https://www.fabsurplus.com/sdi_catalog/salesItemDetails.do?id=108614")</f>
        <v>https://www.fabsurplus.com/sdi_catalog/salesItemDetails.do?id=108614</v>
      </c>
      <c r="B4010" s="2" t="s">
        <v>11496</v>
      </c>
      <c r="C4010" s="2" t="s">
        <v>11410</v>
      </c>
      <c r="D4010" s="2" t="s">
        <v>11497</v>
      </c>
      <c r="E4010" s="2" t="s">
        <v>64</v>
      </c>
      <c r="F4010" s="2" t="s">
        <v>16</v>
      </c>
      <c r="G4010" s="2" t="s">
        <v>38</v>
      </c>
      <c r="H4010" s="2" t="s">
        <v>18</v>
      </c>
      <c r="I4010" s="3" t="n">
        <v>37043</v>
      </c>
      <c r="J4010" s="2" t="s">
        <v>19</v>
      </c>
      <c r="K4010" s="2" t="s">
        <v>20</v>
      </c>
      <c r="L4010" s="2" t="s">
        <v>6838</v>
      </c>
    </row>
    <row r="4011" customFormat="false" ht="15.65" hidden="false" customHeight="true" outlineLevel="0" collapsed="false">
      <c r="A4011" s="5" t="str">
        <f aca="false">HYPERLINK("https://www.fabsurplus.com/sdi_catalog/salesItemDetails.do?id=108106")</f>
        <v>https://www.fabsurplus.com/sdi_catalog/salesItemDetails.do?id=108106</v>
      </c>
      <c r="B4011" s="5" t="s">
        <v>11498</v>
      </c>
      <c r="C4011" s="5" t="s">
        <v>11410</v>
      </c>
      <c r="D4011" s="5" t="s">
        <v>11499</v>
      </c>
      <c r="E4011" s="5" t="s">
        <v>11500</v>
      </c>
      <c r="F4011" s="5" t="s">
        <v>16</v>
      </c>
      <c r="G4011" s="5" t="s">
        <v>61</v>
      </c>
      <c r="H4011" s="5"/>
      <c r="I4011" s="5"/>
      <c r="J4011" s="5" t="s">
        <v>19</v>
      </c>
      <c r="K4011" s="5"/>
      <c r="L4011" s="5" t="s">
        <v>11501</v>
      </c>
    </row>
    <row r="4012" customFormat="false" ht="15.65" hidden="false" customHeight="true" outlineLevel="0" collapsed="false">
      <c r="A4012" s="2" t="str">
        <f aca="false">HYPERLINK("https://www.fabsurplus.com/sdi_catalog/salesItemDetails.do?id=108107")</f>
        <v>https://www.fabsurplus.com/sdi_catalog/salesItemDetails.do?id=108107</v>
      </c>
      <c r="B4012" s="2" t="s">
        <v>11502</v>
      </c>
      <c r="C4012" s="2" t="s">
        <v>11410</v>
      </c>
      <c r="D4012" s="2" t="s">
        <v>11503</v>
      </c>
      <c r="E4012" s="2" t="s">
        <v>11504</v>
      </c>
      <c r="F4012" s="2" t="s">
        <v>16</v>
      </c>
      <c r="G4012" s="2" t="s">
        <v>61</v>
      </c>
      <c r="H4012" s="2"/>
      <c r="I4012" s="2"/>
      <c r="J4012" s="2" t="s">
        <v>19</v>
      </c>
      <c r="K4012" s="2"/>
      <c r="L4012" s="2" t="s">
        <v>11505</v>
      </c>
    </row>
    <row r="4013" customFormat="false" ht="15.65" hidden="false" customHeight="true" outlineLevel="0" collapsed="false">
      <c r="A4013" s="5" t="str">
        <f aca="false">HYPERLINK("https://www.fabsurplus.com/sdi_catalog/salesItemDetails.do?id=108108")</f>
        <v>https://www.fabsurplus.com/sdi_catalog/salesItemDetails.do?id=108108</v>
      </c>
      <c r="B4013" s="5" t="s">
        <v>11506</v>
      </c>
      <c r="C4013" s="5" t="s">
        <v>11410</v>
      </c>
      <c r="D4013" s="5" t="s">
        <v>11503</v>
      </c>
      <c r="E4013" s="5" t="s">
        <v>11500</v>
      </c>
      <c r="F4013" s="5" t="s">
        <v>16</v>
      </c>
      <c r="G4013" s="5" t="s">
        <v>61</v>
      </c>
      <c r="H4013" s="5"/>
      <c r="I4013" s="5"/>
      <c r="J4013" s="5" t="s">
        <v>19</v>
      </c>
      <c r="K4013" s="5"/>
      <c r="L4013" s="5" t="s">
        <v>11501</v>
      </c>
    </row>
    <row r="4014" customFormat="false" ht="15.65" hidden="false" customHeight="true" outlineLevel="0" collapsed="false">
      <c r="A4014" s="2" t="str">
        <f aca="false">HYPERLINK("https://www.fabsurplus.com/sdi_catalog/salesItemDetails.do?id=108109")</f>
        <v>https://www.fabsurplus.com/sdi_catalog/salesItemDetails.do?id=108109</v>
      </c>
      <c r="B4014" s="2" t="s">
        <v>11507</v>
      </c>
      <c r="C4014" s="2" t="s">
        <v>11410</v>
      </c>
      <c r="D4014" s="2" t="s">
        <v>11508</v>
      </c>
      <c r="E4014" s="2" t="s">
        <v>2340</v>
      </c>
      <c r="F4014" s="2" t="s">
        <v>16</v>
      </c>
      <c r="G4014" s="2" t="s">
        <v>61</v>
      </c>
      <c r="H4014" s="2"/>
      <c r="I4014" s="2"/>
      <c r="J4014" s="2" t="s">
        <v>19</v>
      </c>
      <c r="K4014" s="2"/>
      <c r="L4014" s="2"/>
    </row>
    <row r="4015" customFormat="false" ht="15.65" hidden="false" customHeight="true" outlineLevel="0" collapsed="false">
      <c r="A4015" s="5" t="str">
        <f aca="false">HYPERLINK("https://www.fabsurplus.com/sdi_catalog/salesItemDetails.do?id=108110")</f>
        <v>https://www.fabsurplus.com/sdi_catalog/salesItemDetails.do?id=108110</v>
      </c>
      <c r="B4015" s="5" t="s">
        <v>11509</v>
      </c>
      <c r="C4015" s="5" t="s">
        <v>11410</v>
      </c>
      <c r="D4015" s="5" t="s">
        <v>11508</v>
      </c>
      <c r="E4015" s="5" t="s">
        <v>2340</v>
      </c>
      <c r="F4015" s="5" t="s">
        <v>16</v>
      </c>
      <c r="G4015" s="5" t="s">
        <v>61</v>
      </c>
      <c r="H4015" s="5"/>
      <c r="I4015" s="5"/>
      <c r="J4015" s="5" t="s">
        <v>19</v>
      </c>
      <c r="K4015" s="5"/>
      <c r="L4015" s="5"/>
    </row>
    <row r="4016" customFormat="false" ht="15.65" hidden="false" customHeight="true" outlineLevel="0" collapsed="false">
      <c r="A4016" s="2" t="str">
        <f aca="false">HYPERLINK("https://www.fabsurplus.com/sdi_catalog/salesItemDetails.do?id=108111")</f>
        <v>https://www.fabsurplus.com/sdi_catalog/salesItemDetails.do?id=108111</v>
      </c>
      <c r="B4016" s="2" t="s">
        <v>11510</v>
      </c>
      <c r="C4016" s="2" t="s">
        <v>11410</v>
      </c>
      <c r="D4016" s="2" t="s">
        <v>11511</v>
      </c>
      <c r="E4016" s="2" t="s">
        <v>11512</v>
      </c>
      <c r="F4016" s="2" t="s">
        <v>16</v>
      </c>
      <c r="G4016" s="2" t="s">
        <v>61</v>
      </c>
      <c r="H4016" s="2"/>
      <c r="I4016" s="2"/>
      <c r="J4016" s="2" t="s">
        <v>19</v>
      </c>
      <c r="K4016" s="2"/>
      <c r="L4016" s="2" t="s">
        <v>11513</v>
      </c>
    </row>
    <row r="4017" customFormat="false" ht="15.65" hidden="false" customHeight="true" outlineLevel="0" collapsed="false">
      <c r="A4017" s="5" t="str">
        <f aca="false">HYPERLINK("https://www.fabsurplus.com/sdi_catalog/salesItemDetails.do?id=108112")</f>
        <v>https://www.fabsurplus.com/sdi_catalog/salesItemDetails.do?id=108112</v>
      </c>
      <c r="B4017" s="5" t="s">
        <v>11514</v>
      </c>
      <c r="C4017" s="5" t="s">
        <v>11410</v>
      </c>
      <c r="D4017" s="5" t="s">
        <v>11515</v>
      </c>
      <c r="E4017" s="5" t="s">
        <v>2340</v>
      </c>
      <c r="F4017" s="5" t="s">
        <v>16</v>
      </c>
      <c r="G4017" s="5" t="s">
        <v>61</v>
      </c>
      <c r="H4017" s="5"/>
      <c r="I4017" s="5"/>
      <c r="J4017" s="5" t="s">
        <v>19</v>
      </c>
      <c r="K4017" s="5"/>
      <c r="L4017" s="5" t="s">
        <v>11516</v>
      </c>
    </row>
    <row r="4018" customFormat="false" ht="15.65" hidden="false" customHeight="true" outlineLevel="0" collapsed="false">
      <c r="A4018" s="2" t="str">
        <f aca="false">HYPERLINK("https://www.fabsurplus.com/sdi_catalog/salesItemDetails.do?id=108113")</f>
        <v>https://www.fabsurplus.com/sdi_catalog/salesItemDetails.do?id=108113</v>
      </c>
      <c r="B4018" s="2" t="s">
        <v>11517</v>
      </c>
      <c r="C4018" s="2" t="s">
        <v>11410</v>
      </c>
      <c r="D4018" s="2" t="s">
        <v>11515</v>
      </c>
      <c r="E4018" s="2" t="s">
        <v>11518</v>
      </c>
      <c r="F4018" s="2" t="s">
        <v>16</v>
      </c>
      <c r="G4018" s="2" t="s">
        <v>61</v>
      </c>
      <c r="H4018" s="2"/>
      <c r="I4018" s="2"/>
      <c r="J4018" s="2" t="s">
        <v>19</v>
      </c>
      <c r="K4018" s="2"/>
      <c r="L4018" s="2" t="s">
        <v>11519</v>
      </c>
    </row>
    <row r="4019" customFormat="false" ht="15.65" hidden="false" customHeight="true" outlineLevel="0" collapsed="false">
      <c r="A4019" s="5" t="str">
        <f aca="false">HYPERLINK("https://www.fabsurplus.com/sdi_catalog/salesItemDetails.do?id=108114")</f>
        <v>https://www.fabsurplus.com/sdi_catalog/salesItemDetails.do?id=108114</v>
      </c>
      <c r="B4019" s="5" t="s">
        <v>11520</v>
      </c>
      <c r="C4019" s="5" t="s">
        <v>11410</v>
      </c>
      <c r="D4019" s="5" t="s">
        <v>11515</v>
      </c>
      <c r="E4019" s="5" t="s">
        <v>11518</v>
      </c>
      <c r="F4019" s="5" t="s">
        <v>16</v>
      </c>
      <c r="G4019" s="5" t="s">
        <v>61</v>
      </c>
      <c r="H4019" s="5"/>
      <c r="I4019" s="5"/>
      <c r="J4019" s="5" t="s">
        <v>19</v>
      </c>
      <c r="K4019" s="5"/>
      <c r="L4019" s="5" t="s">
        <v>11519</v>
      </c>
    </row>
    <row r="4020" customFormat="false" ht="15.65" hidden="false" customHeight="true" outlineLevel="0" collapsed="false">
      <c r="A4020" s="2" t="str">
        <f aca="false">HYPERLINK("https://www.fabsurplus.com/sdi_catalog/salesItemDetails.do?id=108115")</f>
        <v>https://www.fabsurplus.com/sdi_catalog/salesItemDetails.do?id=108115</v>
      </c>
      <c r="B4020" s="2" t="s">
        <v>11521</v>
      </c>
      <c r="C4020" s="2" t="s">
        <v>11410</v>
      </c>
      <c r="D4020" s="2" t="s">
        <v>11515</v>
      </c>
      <c r="E4020" s="2" t="s">
        <v>11522</v>
      </c>
      <c r="F4020" s="2" t="s">
        <v>16</v>
      </c>
      <c r="G4020" s="2" t="s">
        <v>61</v>
      </c>
      <c r="H4020" s="2"/>
      <c r="I4020" s="2"/>
      <c r="J4020" s="2" t="s">
        <v>19</v>
      </c>
      <c r="K4020" s="2"/>
      <c r="L4020" s="2" t="s">
        <v>11523</v>
      </c>
    </row>
    <row r="4021" customFormat="false" ht="15.65" hidden="false" customHeight="true" outlineLevel="0" collapsed="false">
      <c r="A4021" s="5" t="str">
        <f aca="false">HYPERLINK("https://www.fabsurplus.com/sdi_catalog/salesItemDetails.do?id=108116")</f>
        <v>https://www.fabsurplus.com/sdi_catalog/salesItemDetails.do?id=108116</v>
      </c>
      <c r="B4021" s="5" t="s">
        <v>11524</v>
      </c>
      <c r="C4021" s="5" t="s">
        <v>11410</v>
      </c>
      <c r="D4021" s="5" t="s">
        <v>11525</v>
      </c>
      <c r="E4021" s="5" t="s">
        <v>2340</v>
      </c>
      <c r="F4021" s="5" t="s">
        <v>16</v>
      </c>
      <c r="G4021" s="5" t="s">
        <v>61</v>
      </c>
      <c r="H4021" s="5"/>
      <c r="I4021" s="5"/>
      <c r="J4021" s="5" t="s">
        <v>19</v>
      </c>
      <c r="K4021" s="5"/>
      <c r="L4021" s="5" t="s">
        <v>11526</v>
      </c>
    </row>
    <row r="4022" customFormat="false" ht="15.65" hidden="false" customHeight="true" outlineLevel="0" collapsed="false">
      <c r="A4022" s="2" t="str">
        <f aca="false">HYPERLINK("https://www.fabsurplus.com/sdi_catalog/salesItemDetails.do?id=108117")</f>
        <v>https://www.fabsurplus.com/sdi_catalog/salesItemDetails.do?id=108117</v>
      </c>
      <c r="B4022" s="2" t="s">
        <v>11527</v>
      </c>
      <c r="C4022" s="2" t="s">
        <v>11410</v>
      </c>
      <c r="D4022" s="2" t="s">
        <v>11525</v>
      </c>
      <c r="E4022" s="2" t="s">
        <v>11528</v>
      </c>
      <c r="F4022" s="2" t="s">
        <v>16</v>
      </c>
      <c r="G4022" s="2" t="s">
        <v>61</v>
      </c>
      <c r="H4022" s="2"/>
      <c r="I4022" s="2"/>
      <c r="J4022" s="2" t="s">
        <v>19</v>
      </c>
      <c r="K4022" s="2"/>
      <c r="L4022" s="2" t="s">
        <v>11529</v>
      </c>
    </row>
    <row r="4023" customFormat="false" ht="15.65" hidden="false" customHeight="true" outlineLevel="0" collapsed="false">
      <c r="A4023" s="5" t="str">
        <f aca="false">HYPERLINK("https://www.fabsurplus.com/sdi_catalog/salesItemDetails.do?id=108118")</f>
        <v>https://www.fabsurplus.com/sdi_catalog/salesItemDetails.do?id=108118</v>
      </c>
      <c r="B4023" s="5" t="s">
        <v>11530</v>
      </c>
      <c r="C4023" s="5" t="s">
        <v>11410</v>
      </c>
      <c r="D4023" s="5" t="s">
        <v>11531</v>
      </c>
      <c r="E4023" s="5" t="s">
        <v>11532</v>
      </c>
      <c r="F4023" s="5" t="s">
        <v>151</v>
      </c>
      <c r="G4023" s="5" t="s">
        <v>97</v>
      </c>
      <c r="H4023" s="5"/>
      <c r="I4023" s="5"/>
      <c r="J4023" s="5" t="s">
        <v>19</v>
      </c>
      <c r="K4023" s="5"/>
      <c r="L4023" s="5" t="s">
        <v>8988</v>
      </c>
    </row>
    <row r="4024" customFormat="false" ht="15.65" hidden="false" customHeight="true" outlineLevel="0" collapsed="false">
      <c r="A4024" s="2" t="str">
        <f aca="false">HYPERLINK("https://www.fabsurplus.com/sdi_catalog/salesItemDetails.do?id=108119")</f>
        <v>https://www.fabsurplus.com/sdi_catalog/salesItemDetails.do?id=108119</v>
      </c>
      <c r="B4024" s="2" t="s">
        <v>11533</v>
      </c>
      <c r="C4024" s="2" t="s">
        <v>11410</v>
      </c>
      <c r="D4024" s="2" t="s">
        <v>11534</v>
      </c>
      <c r="E4024" s="2" t="s">
        <v>11535</v>
      </c>
      <c r="F4024" s="2" t="s">
        <v>16</v>
      </c>
      <c r="G4024" s="2" t="s">
        <v>97</v>
      </c>
      <c r="H4024" s="2"/>
      <c r="I4024" s="2"/>
      <c r="J4024" s="2" t="s">
        <v>19</v>
      </c>
      <c r="K4024" s="2"/>
      <c r="L4024" s="2" t="s">
        <v>8988</v>
      </c>
    </row>
    <row r="4025" customFormat="false" ht="15.65" hidden="false" customHeight="true" outlineLevel="0" collapsed="false">
      <c r="A4025" s="5" t="str">
        <f aca="false">HYPERLINK("https://www.fabsurplus.com/sdi_catalog/salesItemDetails.do?id=108120")</f>
        <v>https://www.fabsurplus.com/sdi_catalog/salesItemDetails.do?id=108120</v>
      </c>
      <c r="B4025" s="5" t="s">
        <v>11536</v>
      </c>
      <c r="C4025" s="5" t="s">
        <v>11410</v>
      </c>
      <c r="D4025" s="5" t="s">
        <v>11537</v>
      </c>
      <c r="E4025" s="5" t="s">
        <v>8049</v>
      </c>
      <c r="F4025" s="5" t="s">
        <v>16</v>
      </c>
      <c r="G4025" s="5" t="s">
        <v>38</v>
      </c>
      <c r="H4025" s="5"/>
      <c r="I4025" s="5"/>
      <c r="J4025" s="5" t="s">
        <v>19</v>
      </c>
      <c r="K4025" s="5"/>
      <c r="L4025" s="5"/>
    </row>
    <row r="4026" customFormat="false" ht="15.65" hidden="false" customHeight="true" outlineLevel="0" collapsed="false">
      <c r="A4026" s="2" t="str">
        <f aca="false">HYPERLINK("https://www.fabsurplus.com/sdi_catalog/salesItemDetails.do?id=108126")</f>
        <v>https://www.fabsurplus.com/sdi_catalog/salesItemDetails.do?id=108126</v>
      </c>
      <c r="B4026" s="2" t="s">
        <v>11538</v>
      </c>
      <c r="C4026" s="2" t="s">
        <v>11410</v>
      </c>
      <c r="D4026" s="2" t="s">
        <v>11539</v>
      </c>
      <c r="E4026" s="2" t="s">
        <v>11540</v>
      </c>
      <c r="F4026" s="2" t="s">
        <v>16</v>
      </c>
      <c r="G4026" s="2" t="s">
        <v>97</v>
      </c>
      <c r="H4026" s="2"/>
      <c r="I4026" s="2"/>
      <c r="J4026" s="2" t="s">
        <v>19</v>
      </c>
      <c r="K4026" s="2"/>
      <c r="L4026" s="2" t="s">
        <v>11541</v>
      </c>
    </row>
    <row r="4027" customFormat="false" ht="15.65" hidden="false" customHeight="true" outlineLevel="0" collapsed="false">
      <c r="A4027" s="5" t="str">
        <f aca="false">HYPERLINK("https://www.fabsurplus.com/sdi_catalog/salesItemDetails.do?id=103528")</f>
        <v>https://www.fabsurplus.com/sdi_catalog/salesItemDetails.do?id=103528</v>
      </c>
      <c r="B4027" s="5" t="s">
        <v>11542</v>
      </c>
      <c r="C4027" s="5" t="s">
        <v>11410</v>
      </c>
      <c r="D4027" s="5" t="s">
        <v>11543</v>
      </c>
      <c r="E4027" s="5" t="s">
        <v>11544</v>
      </c>
      <c r="F4027" s="5" t="s">
        <v>16</v>
      </c>
      <c r="G4027" s="5" t="s">
        <v>61</v>
      </c>
      <c r="H4027" s="5"/>
      <c r="I4027" s="5"/>
      <c r="J4027" s="5" t="s">
        <v>19</v>
      </c>
      <c r="K4027" s="5"/>
      <c r="L4027" s="7" t="s">
        <v>1682</v>
      </c>
    </row>
    <row r="4028" customFormat="false" ht="15.65" hidden="false" customHeight="true" outlineLevel="0" collapsed="false">
      <c r="A4028" s="2" t="str">
        <f aca="false">HYPERLINK("https://www.fabsurplus.com/sdi_catalog/salesItemDetails.do?id=91245")</f>
        <v>https://www.fabsurplus.com/sdi_catalog/salesItemDetails.do?id=91245</v>
      </c>
      <c r="B4028" s="2" t="s">
        <v>11545</v>
      </c>
      <c r="C4028" s="2" t="s">
        <v>11427</v>
      </c>
      <c r="D4028" s="2" t="s">
        <v>11546</v>
      </c>
      <c r="E4028" s="2" t="s">
        <v>11547</v>
      </c>
      <c r="F4028" s="2" t="s">
        <v>16</v>
      </c>
      <c r="G4028" s="2" t="s">
        <v>61</v>
      </c>
      <c r="H4028" s="2"/>
      <c r="I4028" s="2"/>
      <c r="J4028" s="2" t="s">
        <v>19</v>
      </c>
      <c r="K4028" s="2"/>
      <c r="L4028" s="2" t="s">
        <v>142</v>
      </c>
    </row>
    <row r="4029" customFormat="false" ht="15.65" hidden="false" customHeight="true" outlineLevel="0" collapsed="false">
      <c r="A4029" s="5" t="str">
        <f aca="false">HYPERLINK("https://www.fabsurplus.com/sdi_catalog/salesItemDetails.do?id=93040")</f>
        <v>https://www.fabsurplus.com/sdi_catalog/salesItemDetails.do?id=93040</v>
      </c>
      <c r="B4029" s="5" t="s">
        <v>11548</v>
      </c>
      <c r="C4029" s="5" t="s">
        <v>11427</v>
      </c>
      <c r="D4029" s="5" t="s">
        <v>11549</v>
      </c>
      <c r="E4029" s="5" t="s">
        <v>11550</v>
      </c>
      <c r="F4029" s="5" t="s">
        <v>16</v>
      </c>
      <c r="G4029" s="5" t="s">
        <v>61</v>
      </c>
      <c r="H4029" s="5"/>
      <c r="I4029" s="6" t="n">
        <v>39964.9166666667</v>
      </c>
      <c r="J4029" s="5" t="s">
        <v>19</v>
      </c>
      <c r="K4029" s="5"/>
      <c r="L4029" s="5" t="s">
        <v>142</v>
      </c>
    </row>
    <row r="4030" customFormat="false" ht="15.65" hidden="false" customHeight="true" outlineLevel="0" collapsed="false">
      <c r="A4030" s="2" t="str">
        <f aca="false">HYPERLINK("https://www.fabsurplus.com/sdi_catalog/salesItemDetails.do?id=93041")</f>
        <v>https://www.fabsurplus.com/sdi_catalog/salesItemDetails.do?id=93041</v>
      </c>
      <c r="B4030" s="2" t="s">
        <v>11551</v>
      </c>
      <c r="C4030" s="2" t="s">
        <v>11427</v>
      </c>
      <c r="D4030" s="2" t="s">
        <v>11549</v>
      </c>
      <c r="E4030" s="2" t="s">
        <v>11550</v>
      </c>
      <c r="F4030" s="2" t="s">
        <v>16</v>
      </c>
      <c r="G4030" s="2" t="s">
        <v>61</v>
      </c>
      <c r="H4030" s="2"/>
      <c r="I4030" s="3" t="n">
        <v>40329.9166666667</v>
      </c>
      <c r="J4030" s="2" t="s">
        <v>19</v>
      </c>
      <c r="K4030" s="2"/>
      <c r="L4030" s="2" t="s">
        <v>142</v>
      </c>
    </row>
    <row r="4031" customFormat="false" ht="15.65" hidden="false" customHeight="true" outlineLevel="0" collapsed="false">
      <c r="A4031" s="5" t="str">
        <f aca="false">HYPERLINK("https://www.fabsurplus.com/sdi_catalog/salesItemDetails.do?id=93042")</f>
        <v>https://www.fabsurplus.com/sdi_catalog/salesItemDetails.do?id=93042</v>
      </c>
      <c r="B4031" s="5" t="s">
        <v>11552</v>
      </c>
      <c r="C4031" s="5" t="s">
        <v>11427</v>
      </c>
      <c r="D4031" s="5" t="s">
        <v>11549</v>
      </c>
      <c r="E4031" s="5" t="s">
        <v>11550</v>
      </c>
      <c r="F4031" s="5" t="s">
        <v>16</v>
      </c>
      <c r="G4031" s="5" t="s">
        <v>61</v>
      </c>
      <c r="H4031" s="5"/>
      <c r="I4031" s="6" t="n">
        <v>40329.9166666667</v>
      </c>
      <c r="J4031" s="5" t="s">
        <v>19</v>
      </c>
      <c r="K4031" s="5"/>
      <c r="L4031" s="5" t="s">
        <v>142</v>
      </c>
    </row>
    <row r="4032" customFormat="false" ht="15.65" hidden="false" customHeight="true" outlineLevel="0" collapsed="false">
      <c r="A4032" s="2" t="str">
        <f aca="false">HYPERLINK("https://www.fabsurplus.com/sdi_catalog/salesItemDetails.do?id=91255")</f>
        <v>https://www.fabsurplus.com/sdi_catalog/salesItemDetails.do?id=91255</v>
      </c>
      <c r="B4032" s="2" t="s">
        <v>11553</v>
      </c>
      <c r="C4032" s="2" t="s">
        <v>11427</v>
      </c>
      <c r="D4032" s="2" t="s">
        <v>11554</v>
      </c>
      <c r="E4032" s="2" t="s">
        <v>11555</v>
      </c>
      <c r="F4032" s="2" t="s">
        <v>16</v>
      </c>
      <c r="G4032" s="2" t="s">
        <v>61</v>
      </c>
      <c r="H4032" s="2"/>
      <c r="I4032" s="2"/>
      <c r="J4032" s="2" t="s">
        <v>19</v>
      </c>
      <c r="K4032" s="2"/>
      <c r="L4032" s="2" t="s">
        <v>142</v>
      </c>
    </row>
    <row r="4033" customFormat="false" ht="15.65" hidden="false" customHeight="true" outlineLevel="0" collapsed="false">
      <c r="A4033" s="5" t="str">
        <f aca="false">HYPERLINK("https://www.fabsurplus.com/sdi_catalog/salesItemDetails.do?id=83832")</f>
        <v>https://www.fabsurplus.com/sdi_catalog/salesItemDetails.do?id=83832</v>
      </c>
      <c r="B4033" s="5" t="s">
        <v>11556</v>
      </c>
      <c r="C4033" s="5" t="s">
        <v>11410</v>
      </c>
      <c r="D4033" s="5" t="s">
        <v>11557</v>
      </c>
      <c r="E4033" s="5" t="s">
        <v>11558</v>
      </c>
      <c r="F4033" s="5" t="s">
        <v>16</v>
      </c>
      <c r="G4033" s="5" t="s">
        <v>165</v>
      </c>
      <c r="H4033" s="5" t="s">
        <v>1969</v>
      </c>
      <c r="I4033" s="5"/>
      <c r="J4033" s="5" t="s">
        <v>19</v>
      </c>
      <c r="K4033" s="5" t="s">
        <v>20</v>
      </c>
      <c r="L4033" s="5" t="s">
        <v>11559</v>
      </c>
    </row>
    <row r="4034" customFormat="false" ht="15.65" hidden="false" customHeight="true" outlineLevel="0" collapsed="false">
      <c r="A4034" s="2" t="str">
        <f aca="false">HYPERLINK("https://www.fabsurplus.com/sdi_catalog/salesItemDetails.do?id=91256")</f>
        <v>https://www.fabsurplus.com/sdi_catalog/salesItemDetails.do?id=91256</v>
      </c>
      <c r="B4034" s="2" t="s">
        <v>11560</v>
      </c>
      <c r="C4034" s="2" t="s">
        <v>11427</v>
      </c>
      <c r="D4034" s="2" t="s">
        <v>11554</v>
      </c>
      <c r="E4034" s="2" t="s">
        <v>11555</v>
      </c>
      <c r="F4034" s="2" t="s">
        <v>16</v>
      </c>
      <c r="G4034" s="2" t="s">
        <v>61</v>
      </c>
      <c r="H4034" s="2"/>
      <c r="I4034" s="2"/>
      <c r="J4034" s="2" t="s">
        <v>19</v>
      </c>
      <c r="K4034" s="2"/>
      <c r="L4034" s="2" t="s">
        <v>142</v>
      </c>
    </row>
    <row r="4035" customFormat="false" ht="15.65" hidden="false" customHeight="true" outlineLevel="0" collapsed="false">
      <c r="A4035" s="5" t="str">
        <f aca="false">HYPERLINK("https://www.fabsurplus.com/sdi_catalog/salesItemDetails.do?id=91258")</f>
        <v>https://www.fabsurplus.com/sdi_catalog/salesItemDetails.do?id=91258</v>
      </c>
      <c r="B4035" s="5" t="s">
        <v>11561</v>
      </c>
      <c r="C4035" s="5" t="s">
        <v>11427</v>
      </c>
      <c r="D4035" s="5" t="s">
        <v>11554</v>
      </c>
      <c r="E4035" s="5" t="s">
        <v>11562</v>
      </c>
      <c r="F4035" s="5" t="s">
        <v>16</v>
      </c>
      <c r="G4035" s="5" t="s">
        <v>61</v>
      </c>
      <c r="H4035" s="5"/>
      <c r="I4035" s="5"/>
      <c r="J4035" s="5" t="s">
        <v>19</v>
      </c>
      <c r="K4035" s="5"/>
      <c r="L4035" s="5" t="s">
        <v>142</v>
      </c>
    </row>
    <row r="4036" customFormat="false" ht="15.65" hidden="false" customHeight="true" outlineLevel="0" collapsed="false">
      <c r="A4036" s="2" t="str">
        <f aca="false">HYPERLINK("https://www.fabsurplus.com/sdi_catalog/salesItemDetails.do?id=91259")</f>
        <v>https://www.fabsurplus.com/sdi_catalog/salesItemDetails.do?id=91259</v>
      </c>
      <c r="B4036" s="2" t="s">
        <v>11563</v>
      </c>
      <c r="C4036" s="2" t="s">
        <v>11427</v>
      </c>
      <c r="D4036" s="2" t="s">
        <v>11564</v>
      </c>
      <c r="E4036" s="2" t="s">
        <v>11565</v>
      </c>
      <c r="F4036" s="2" t="s">
        <v>16</v>
      </c>
      <c r="G4036" s="2" t="s">
        <v>61</v>
      </c>
      <c r="H4036" s="2"/>
      <c r="I4036" s="2"/>
      <c r="J4036" s="2" t="s">
        <v>19</v>
      </c>
      <c r="K4036" s="2"/>
      <c r="L4036" s="2" t="s">
        <v>142</v>
      </c>
    </row>
    <row r="4037" customFormat="false" ht="15.65" hidden="false" customHeight="true" outlineLevel="0" collapsed="false">
      <c r="A4037" s="5" t="str">
        <f aca="false">HYPERLINK("https://www.fabsurplus.com/sdi_catalog/salesItemDetails.do?id=108929")</f>
        <v>https://www.fabsurplus.com/sdi_catalog/salesItemDetails.do?id=108929</v>
      </c>
      <c r="B4037" s="5" t="s">
        <v>11566</v>
      </c>
      <c r="C4037" s="5" t="s">
        <v>11427</v>
      </c>
      <c r="D4037" s="5" t="s">
        <v>11567</v>
      </c>
      <c r="E4037" s="5" t="s">
        <v>11568</v>
      </c>
      <c r="F4037" s="5" t="s">
        <v>151</v>
      </c>
      <c r="G4037" s="5" t="s">
        <v>38</v>
      </c>
      <c r="H4037" s="5" t="s">
        <v>32</v>
      </c>
      <c r="I4037" s="6" t="n">
        <v>37043</v>
      </c>
      <c r="J4037" s="5" t="s">
        <v>19</v>
      </c>
      <c r="K4037" s="5" t="s">
        <v>20</v>
      </c>
      <c r="L4037" s="7" t="s">
        <v>11569</v>
      </c>
    </row>
    <row r="4038" customFormat="false" ht="15.65" hidden="false" customHeight="true" outlineLevel="0" collapsed="false">
      <c r="A4038" s="2" t="str">
        <f aca="false">HYPERLINK("https://www.fabsurplus.com/sdi_catalog/salesItemDetails.do?id=96386")</f>
        <v>https://www.fabsurplus.com/sdi_catalog/salesItemDetails.do?id=96386</v>
      </c>
      <c r="B4038" s="2" t="s">
        <v>11570</v>
      </c>
      <c r="C4038" s="2" t="s">
        <v>11410</v>
      </c>
      <c r="D4038" s="2" t="s">
        <v>11571</v>
      </c>
      <c r="E4038" s="2" t="s">
        <v>11572</v>
      </c>
      <c r="F4038" s="2" t="s">
        <v>3473</v>
      </c>
      <c r="G4038" s="2"/>
      <c r="H4038" s="2" t="s">
        <v>32</v>
      </c>
      <c r="I4038" s="3" t="n">
        <v>39233.9166666667</v>
      </c>
      <c r="J4038" s="2" t="s">
        <v>19</v>
      </c>
      <c r="K4038" s="2" t="s">
        <v>20</v>
      </c>
      <c r="L4038" s="2" t="s">
        <v>11573</v>
      </c>
    </row>
    <row r="4039" customFormat="false" ht="15.65" hidden="false" customHeight="true" outlineLevel="0" collapsed="false">
      <c r="A4039" s="5" t="str">
        <f aca="false">HYPERLINK("https://www.fabsurplus.com/sdi_catalog/salesItemDetails.do?id=93059")</f>
        <v>https://www.fabsurplus.com/sdi_catalog/salesItemDetails.do?id=93059</v>
      </c>
      <c r="B4039" s="5" t="s">
        <v>11574</v>
      </c>
      <c r="C4039" s="5" t="s">
        <v>11427</v>
      </c>
      <c r="D4039" s="5" t="s">
        <v>11554</v>
      </c>
      <c r="E4039" s="5" t="s">
        <v>11575</v>
      </c>
      <c r="F4039" s="5" t="s">
        <v>16</v>
      </c>
      <c r="G4039" s="5" t="s">
        <v>1287</v>
      </c>
      <c r="H4039" s="5"/>
      <c r="I4039" s="6" t="n">
        <v>38503.9166666667</v>
      </c>
      <c r="J4039" s="5" t="s">
        <v>19</v>
      </c>
      <c r="K4039" s="5"/>
      <c r="L4039" s="5" t="s">
        <v>142</v>
      </c>
    </row>
    <row r="4040" customFormat="false" ht="15.65" hidden="false" customHeight="true" outlineLevel="0" collapsed="false">
      <c r="A4040" s="2" t="str">
        <f aca="false">HYPERLINK("https://www.fabsurplus.com/sdi_catalog/salesItemDetails.do?id=93060")</f>
        <v>https://www.fabsurplus.com/sdi_catalog/salesItemDetails.do?id=93060</v>
      </c>
      <c r="B4040" s="2" t="s">
        <v>11576</v>
      </c>
      <c r="C4040" s="2" t="s">
        <v>11427</v>
      </c>
      <c r="D4040" s="2" t="s">
        <v>11554</v>
      </c>
      <c r="E4040" s="2" t="s">
        <v>11575</v>
      </c>
      <c r="F4040" s="2" t="s">
        <v>16</v>
      </c>
      <c r="G4040" s="2" t="s">
        <v>1287</v>
      </c>
      <c r="H4040" s="2"/>
      <c r="I4040" s="3" t="n">
        <v>38503.9166666667</v>
      </c>
      <c r="J4040" s="2" t="s">
        <v>19</v>
      </c>
      <c r="K4040" s="2"/>
      <c r="L4040" s="2" t="s">
        <v>142</v>
      </c>
    </row>
    <row r="4041" customFormat="false" ht="15.65" hidden="false" customHeight="true" outlineLevel="0" collapsed="false">
      <c r="A4041" s="5" t="str">
        <f aca="false">HYPERLINK("https://www.fabsurplus.com/sdi_catalog/salesItemDetails.do?id=2181")</f>
        <v>https://www.fabsurplus.com/sdi_catalog/salesItemDetails.do?id=2181</v>
      </c>
      <c r="B4041" s="5" t="s">
        <v>11577</v>
      </c>
      <c r="C4041" s="5" t="s">
        <v>11427</v>
      </c>
      <c r="D4041" s="5" t="s">
        <v>11578</v>
      </c>
      <c r="E4041" s="5" t="s">
        <v>11579</v>
      </c>
      <c r="F4041" s="5" t="s">
        <v>16</v>
      </c>
      <c r="G4041" s="5" t="s">
        <v>1293</v>
      </c>
      <c r="H4041" s="5" t="s">
        <v>32</v>
      </c>
      <c r="I4041" s="6" t="n">
        <v>33909</v>
      </c>
      <c r="J4041" s="5" t="s">
        <v>19</v>
      </c>
      <c r="K4041" s="5" t="s">
        <v>20</v>
      </c>
      <c r="L4041" s="7" t="s">
        <v>11580</v>
      </c>
    </row>
    <row r="4042" customFormat="false" ht="15.65" hidden="false" customHeight="true" outlineLevel="0" collapsed="false">
      <c r="A4042" s="2" t="str">
        <f aca="false">HYPERLINK("https://www.fabsurplus.com/sdi_catalog/salesItemDetails.do?id=103557")</f>
        <v>https://www.fabsurplus.com/sdi_catalog/salesItemDetails.do?id=103557</v>
      </c>
      <c r="B4042" s="2" t="s">
        <v>11581</v>
      </c>
      <c r="C4042" s="2" t="s">
        <v>11410</v>
      </c>
      <c r="D4042" s="2" t="s">
        <v>11582</v>
      </c>
      <c r="E4042" s="2" t="s">
        <v>11583</v>
      </c>
      <c r="F4042" s="2" t="s">
        <v>16</v>
      </c>
      <c r="G4042" s="2" t="s">
        <v>61</v>
      </c>
      <c r="H4042" s="2"/>
      <c r="I4042" s="2"/>
      <c r="J4042" s="2" t="s">
        <v>19</v>
      </c>
      <c r="K4042" s="2"/>
      <c r="L4042" s="4" t="s">
        <v>1682</v>
      </c>
    </row>
    <row r="4043" customFormat="false" ht="15.65" hidden="false" customHeight="true" outlineLevel="0" collapsed="false">
      <c r="A4043" s="5" t="str">
        <f aca="false">HYPERLINK("https://www.fabsurplus.com/sdi_catalog/salesItemDetails.do?id=93062")</f>
        <v>https://www.fabsurplus.com/sdi_catalog/salesItemDetails.do?id=93062</v>
      </c>
      <c r="B4043" s="5" t="s">
        <v>11584</v>
      </c>
      <c r="C4043" s="5" t="s">
        <v>11427</v>
      </c>
      <c r="D4043" s="5" t="s">
        <v>11554</v>
      </c>
      <c r="E4043" s="5" t="s">
        <v>11575</v>
      </c>
      <c r="F4043" s="5" t="s">
        <v>16</v>
      </c>
      <c r="G4043" s="5" t="s">
        <v>1287</v>
      </c>
      <c r="H4043" s="5"/>
      <c r="I4043" s="6" t="n">
        <v>38138.9166666667</v>
      </c>
      <c r="J4043" s="5" t="s">
        <v>19</v>
      </c>
      <c r="K4043" s="5"/>
      <c r="L4043" s="5" t="s">
        <v>142</v>
      </c>
    </row>
    <row r="4044" customFormat="false" ht="15.65" hidden="false" customHeight="true" outlineLevel="0" collapsed="false">
      <c r="A4044" s="2" t="str">
        <f aca="false">HYPERLINK("https://www.fabsurplus.com/sdi_catalog/salesItemDetails.do?id=103558")</f>
        <v>https://www.fabsurplus.com/sdi_catalog/salesItemDetails.do?id=103558</v>
      </c>
      <c r="B4044" s="2" t="s">
        <v>11585</v>
      </c>
      <c r="C4044" s="2" t="s">
        <v>11410</v>
      </c>
      <c r="D4044" s="2" t="s">
        <v>11582</v>
      </c>
      <c r="E4044" s="2" t="s">
        <v>11586</v>
      </c>
      <c r="F4044" s="2" t="s">
        <v>16</v>
      </c>
      <c r="G4044" s="2" t="s">
        <v>61</v>
      </c>
      <c r="H4044" s="2"/>
      <c r="I4044" s="2"/>
      <c r="J4044" s="2" t="s">
        <v>19</v>
      </c>
      <c r="K4044" s="2"/>
      <c r="L4044" s="4" t="s">
        <v>1682</v>
      </c>
    </row>
    <row r="4045" customFormat="false" ht="15.65" hidden="false" customHeight="true" outlineLevel="0" collapsed="false">
      <c r="A4045" s="5" t="str">
        <f aca="false">HYPERLINK("https://www.fabsurplus.com/sdi_catalog/salesItemDetails.do?id=93063")</f>
        <v>https://www.fabsurplus.com/sdi_catalog/salesItemDetails.do?id=93063</v>
      </c>
      <c r="B4045" s="5" t="s">
        <v>11587</v>
      </c>
      <c r="C4045" s="5" t="s">
        <v>11427</v>
      </c>
      <c r="D4045" s="5" t="s">
        <v>11554</v>
      </c>
      <c r="E4045" s="5" t="s">
        <v>11575</v>
      </c>
      <c r="F4045" s="5" t="s">
        <v>16</v>
      </c>
      <c r="G4045" s="5" t="s">
        <v>1287</v>
      </c>
      <c r="H4045" s="5"/>
      <c r="I4045" s="6" t="n">
        <v>38503.9166666667</v>
      </c>
      <c r="J4045" s="5" t="s">
        <v>19</v>
      </c>
      <c r="K4045" s="5"/>
      <c r="L4045" s="5" t="s">
        <v>142</v>
      </c>
    </row>
    <row r="4046" customFormat="false" ht="15.65" hidden="false" customHeight="true" outlineLevel="0" collapsed="false">
      <c r="A4046" s="2" t="str">
        <f aca="false">HYPERLINK("https://www.fabsurplus.com/sdi_catalog/salesItemDetails.do?id=93064")</f>
        <v>https://www.fabsurplus.com/sdi_catalog/salesItemDetails.do?id=93064</v>
      </c>
      <c r="B4046" s="2" t="s">
        <v>11588</v>
      </c>
      <c r="C4046" s="2" t="s">
        <v>11427</v>
      </c>
      <c r="D4046" s="2" t="s">
        <v>11554</v>
      </c>
      <c r="E4046" s="2" t="s">
        <v>11575</v>
      </c>
      <c r="F4046" s="2" t="s">
        <v>16</v>
      </c>
      <c r="G4046" s="2" t="s">
        <v>1287</v>
      </c>
      <c r="H4046" s="2"/>
      <c r="I4046" s="3" t="n">
        <v>39233.9166666667</v>
      </c>
      <c r="J4046" s="2" t="s">
        <v>19</v>
      </c>
      <c r="K4046" s="2"/>
      <c r="L4046" s="2" t="s">
        <v>142</v>
      </c>
    </row>
    <row r="4047" customFormat="false" ht="15.65" hidden="false" customHeight="true" outlineLevel="0" collapsed="false">
      <c r="A4047" s="5" t="str">
        <f aca="false">HYPERLINK("https://www.fabsurplus.com/sdi_catalog/salesItemDetails.do?id=103560")</f>
        <v>https://www.fabsurplus.com/sdi_catalog/salesItemDetails.do?id=103560</v>
      </c>
      <c r="B4047" s="5" t="s">
        <v>11589</v>
      </c>
      <c r="C4047" s="5" t="s">
        <v>11410</v>
      </c>
      <c r="D4047" s="5" t="s">
        <v>11582</v>
      </c>
      <c r="E4047" s="5" t="s">
        <v>11586</v>
      </c>
      <c r="F4047" s="5" t="s">
        <v>16</v>
      </c>
      <c r="G4047" s="5" t="s">
        <v>61</v>
      </c>
      <c r="H4047" s="5"/>
      <c r="I4047" s="6" t="n">
        <v>38138.9166666667</v>
      </c>
      <c r="J4047" s="5" t="s">
        <v>19</v>
      </c>
      <c r="K4047" s="5"/>
      <c r="L4047" s="7" t="s">
        <v>1682</v>
      </c>
    </row>
    <row r="4048" customFormat="false" ht="15.65" hidden="false" customHeight="true" outlineLevel="0" collapsed="false">
      <c r="A4048" s="2" t="str">
        <f aca="false">HYPERLINK("https://www.fabsurplus.com/sdi_catalog/salesItemDetails.do?id=108936")</f>
        <v>https://www.fabsurplus.com/sdi_catalog/salesItemDetails.do?id=108936</v>
      </c>
      <c r="B4048" s="2" t="s">
        <v>11590</v>
      </c>
      <c r="C4048" s="2" t="s">
        <v>11427</v>
      </c>
      <c r="D4048" s="2" t="s">
        <v>11571</v>
      </c>
      <c r="E4048" s="2" t="s">
        <v>4449</v>
      </c>
      <c r="F4048" s="2" t="s">
        <v>16</v>
      </c>
      <c r="G4048" s="2" t="s">
        <v>61</v>
      </c>
      <c r="H4048" s="2" t="s">
        <v>18</v>
      </c>
      <c r="I4048" s="3" t="n">
        <v>38078</v>
      </c>
      <c r="J4048" s="2" t="s">
        <v>19</v>
      </c>
      <c r="K4048" s="2"/>
      <c r="L4048" s="4" t="s">
        <v>11591</v>
      </c>
    </row>
    <row r="4049" customFormat="false" ht="15.65" hidden="false" customHeight="true" outlineLevel="0" collapsed="false">
      <c r="A4049" s="5" t="str">
        <f aca="false">HYPERLINK("https://www.fabsurplus.com/sdi_catalog/salesItemDetails.do?id=93065")</f>
        <v>https://www.fabsurplus.com/sdi_catalog/salesItemDetails.do?id=93065</v>
      </c>
      <c r="B4049" s="5" t="s">
        <v>11592</v>
      </c>
      <c r="C4049" s="5" t="s">
        <v>11427</v>
      </c>
      <c r="D4049" s="5" t="s">
        <v>11554</v>
      </c>
      <c r="E4049" s="5" t="s">
        <v>11575</v>
      </c>
      <c r="F4049" s="5" t="s">
        <v>16</v>
      </c>
      <c r="G4049" s="5" t="s">
        <v>1287</v>
      </c>
      <c r="H4049" s="5"/>
      <c r="I4049" s="6" t="n">
        <v>39233.9166666667</v>
      </c>
      <c r="J4049" s="5" t="s">
        <v>19</v>
      </c>
      <c r="K4049" s="5"/>
      <c r="L4049" s="5" t="s">
        <v>142</v>
      </c>
    </row>
    <row r="4050" customFormat="false" ht="15.65" hidden="false" customHeight="true" outlineLevel="0" collapsed="false">
      <c r="A4050" s="2" t="str">
        <f aca="false">HYPERLINK("https://www.fabsurplus.com/sdi_catalog/salesItemDetails.do?id=103561")</f>
        <v>https://www.fabsurplus.com/sdi_catalog/salesItemDetails.do?id=103561</v>
      </c>
      <c r="B4050" s="2" t="s">
        <v>11593</v>
      </c>
      <c r="C4050" s="2" t="s">
        <v>11410</v>
      </c>
      <c r="D4050" s="2" t="s">
        <v>11582</v>
      </c>
      <c r="E4050" s="2" t="s">
        <v>11586</v>
      </c>
      <c r="F4050" s="2" t="s">
        <v>16</v>
      </c>
      <c r="G4050" s="2" t="s">
        <v>61</v>
      </c>
      <c r="H4050" s="2"/>
      <c r="I4050" s="3" t="n">
        <v>38138.9166666667</v>
      </c>
      <c r="J4050" s="2" t="s">
        <v>19</v>
      </c>
      <c r="K4050" s="2"/>
      <c r="L4050" s="4" t="s">
        <v>1682</v>
      </c>
    </row>
    <row r="4051" customFormat="false" ht="15.65" hidden="false" customHeight="true" outlineLevel="0" collapsed="false">
      <c r="A4051" s="5" t="str">
        <f aca="false">HYPERLINK("https://www.fabsurplus.com/sdi_catalog/salesItemDetails.do?id=108937")</f>
        <v>https://www.fabsurplus.com/sdi_catalog/salesItemDetails.do?id=108937</v>
      </c>
      <c r="B4051" s="5" t="s">
        <v>11594</v>
      </c>
      <c r="C4051" s="5" t="s">
        <v>11427</v>
      </c>
      <c r="D4051" s="5" t="s">
        <v>11571</v>
      </c>
      <c r="E4051" s="5" t="s">
        <v>4449</v>
      </c>
      <c r="F4051" s="5" t="s">
        <v>16</v>
      </c>
      <c r="G4051" s="5" t="s">
        <v>61</v>
      </c>
      <c r="H4051" s="5" t="s">
        <v>18</v>
      </c>
      <c r="I4051" s="6" t="n">
        <v>39234</v>
      </c>
      <c r="J4051" s="5" t="s">
        <v>19</v>
      </c>
      <c r="K4051" s="5"/>
      <c r="L4051" s="7" t="s">
        <v>11595</v>
      </c>
    </row>
    <row r="4052" customFormat="false" ht="15.65" hidden="false" customHeight="true" outlineLevel="0" collapsed="false">
      <c r="A4052" s="2" t="str">
        <f aca="false">HYPERLINK("https://www.fabsurplus.com/sdi_catalog/salesItemDetails.do?id=103562")</f>
        <v>https://www.fabsurplus.com/sdi_catalog/salesItemDetails.do?id=103562</v>
      </c>
      <c r="B4052" s="2" t="s">
        <v>11596</v>
      </c>
      <c r="C4052" s="2" t="s">
        <v>11410</v>
      </c>
      <c r="D4052" s="2" t="s">
        <v>11597</v>
      </c>
      <c r="E4052" s="2" t="s">
        <v>11586</v>
      </c>
      <c r="F4052" s="2" t="s">
        <v>16</v>
      </c>
      <c r="G4052" s="2" t="s">
        <v>61</v>
      </c>
      <c r="H4052" s="2"/>
      <c r="I4052" s="2"/>
      <c r="J4052" s="2" t="s">
        <v>19</v>
      </c>
      <c r="K4052" s="2"/>
      <c r="L4052" s="4" t="s">
        <v>1682</v>
      </c>
    </row>
    <row r="4053" customFormat="false" ht="15.65" hidden="false" customHeight="true" outlineLevel="0" collapsed="false">
      <c r="A4053" s="5" t="str">
        <f aca="false">HYPERLINK("https://www.fabsurplus.com/sdi_catalog/salesItemDetails.do?id=103564")</f>
        <v>https://www.fabsurplus.com/sdi_catalog/salesItemDetails.do?id=103564</v>
      </c>
      <c r="B4053" s="5" t="s">
        <v>11598</v>
      </c>
      <c r="C4053" s="5" t="s">
        <v>11410</v>
      </c>
      <c r="D4053" s="5" t="s">
        <v>11597</v>
      </c>
      <c r="E4053" s="5" t="s">
        <v>11586</v>
      </c>
      <c r="F4053" s="5" t="s">
        <v>16</v>
      </c>
      <c r="G4053" s="5" t="s">
        <v>61</v>
      </c>
      <c r="H4053" s="5"/>
      <c r="I4053" s="5"/>
      <c r="J4053" s="5" t="s">
        <v>19</v>
      </c>
      <c r="K4053" s="5"/>
      <c r="L4053" s="7" t="s">
        <v>1682</v>
      </c>
    </row>
    <row r="4054" customFormat="false" ht="15.65" hidden="false" customHeight="true" outlineLevel="0" collapsed="false">
      <c r="A4054" s="2" t="str">
        <f aca="false">HYPERLINK("https://www.fabsurplus.com/sdi_catalog/salesItemDetails.do?id=103565")</f>
        <v>https://www.fabsurplus.com/sdi_catalog/salesItemDetails.do?id=103565</v>
      </c>
      <c r="B4054" s="2" t="s">
        <v>11599</v>
      </c>
      <c r="C4054" s="2" t="s">
        <v>11410</v>
      </c>
      <c r="D4054" s="2" t="s">
        <v>11554</v>
      </c>
      <c r="E4054" s="2" t="s">
        <v>11600</v>
      </c>
      <c r="F4054" s="2" t="s">
        <v>16</v>
      </c>
      <c r="G4054" s="2" t="s">
        <v>61</v>
      </c>
      <c r="H4054" s="2"/>
      <c r="I4054" s="2"/>
      <c r="J4054" s="2" t="s">
        <v>19</v>
      </c>
      <c r="K4054" s="2"/>
      <c r="L4054" s="4" t="s">
        <v>1682</v>
      </c>
    </row>
    <row r="4055" customFormat="false" ht="15.65" hidden="false" customHeight="true" outlineLevel="0" collapsed="false">
      <c r="A4055" s="5" t="str">
        <f aca="false">HYPERLINK("https://www.fabsurplus.com/sdi_catalog/salesItemDetails.do?id=103566")</f>
        <v>https://www.fabsurplus.com/sdi_catalog/salesItemDetails.do?id=103566</v>
      </c>
      <c r="B4055" s="5" t="s">
        <v>11601</v>
      </c>
      <c r="C4055" s="5" t="s">
        <v>11410</v>
      </c>
      <c r="D4055" s="5" t="s">
        <v>11554</v>
      </c>
      <c r="E4055" s="5" t="s">
        <v>11600</v>
      </c>
      <c r="F4055" s="5" t="s">
        <v>16</v>
      </c>
      <c r="G4055" s="5" t="s">
        <v>61</v>
      </c>
      <c r="H4055" s="5"/>
      <c r="I4055" s="5"/>
      <c r="J4055" s="5" t="s">
        <v>19</v>
      </c>
      <c r="K4055" s="5"/>
      <c r="L4055" s="7" t="s">
        <v>1682</v>
      </c>
    </row>
    <row r="4056" customFormat="false" ht="15.65" hidden="false" customHeight="true" outlineLevel="0" collapsed="false">
      <c r="A4056" s="2" t="str">
        <f aca="false">HYPERLINK("https://www.fabsurplus.com/sdi_catalog/salesItemDetails.do?id=21135")</f>
        <v>https://www.fabsurplus.com/sdi_catalog/salesItemDetails.do?id=21135</v>
      </c>
      <c r="B4056" s="2" t="s">
        <v>11602</v>
      </c>
      <c r="C4056" s="2" t="s">
        <v>11427</v>
      </c>
      <c r="D4056" s="2" t="s">
        <v>11603</v>
      </c>
      <c r="E4056" s="2" t="s">
        <v>11604</v>
      </c>
      <c r="F4056" s="2" t="s">
        <v>16</v>
      </c>
      <c r="G4056" s="2" t="s">
        <v>165</v>
      </c>
      <c r="H4056" s="2" t="s">
        <v>18</v>
      </c>
      <c r="I4056" s="2"/>
      <c r="J4056" s="2" t="s">
        <v>19</v>
      </c>
      <c r="K4056" s="2" t="s">
        <v>20</v>
      </c>
      <c r="L4056" s="4" t="s">
        <v>11605</v>
      </c>
    </row>
    <row r="4057" customFormat="false" ht="15.65" hidden="false" customHeight="true" outlineLevel="0" collapsed="false">
      <c r="A4057" s="5" t="str">
        <f aca="false">HYPERLINK("https://www.fabsurplus.com/sdi_catalog/salesItemDetails.do?id=103567")</f>
        <v>https://www.fabsurplus.com/sdi_catalog/salesItemDetails.do?id=103567</v>
      </c>
      <c r="B4057" s="5" t="s">
        <v>11606</v>
      </c>
      <c r="C4057" s="5" t="s">
        <v>11410</v>
      </c>
      <c r="D4057" s="5" t="s">
        <v>11554</v>
      </c>
      <c r="E4057" s="5" t="s">
        <v>11600</v>
      </c>
      <c r="F4057" s="5" t="s">
        <v>16</v>
      </c>
      <c r="G4057" s="5" t="s">
        <v>61</v>
      </c>
      <c r="H4057" s="5"/>
      <c r="I4057" s="5"/>
      <c r="J4057" s="5" t="s">
        <v>19</v>
      </c>
      <c r="K4057" s="5"/>
      <c r="L4057" s="7" t="s">
        <v>1682</v>
      </c>
    </row>
    <row r="4058" customFormat="false" ht="15.65" hidden="false" customHeight="true" outlineLevel="0" collapsed="false">
      <c r="A4058" s="2" t="str">
        <f aca="false">HYPERLINK("https://www.fabsurplus.com/sdi_catalog/salesItemDetails.do?id=103568")</f>
        <v>https://www.fabsurplus.com/sdi_catalog/salesItemDetails.do?id=103568</v>
      </c>
      <c r="B4058" s="2" t="s">
        <v>11607</v>
      </c>
      <c r="C4058" s="2" t="s">
        <v>11410</v>
      </c>
      <c r="D4058" s="2" t="s">
        <v>11608</v>
      </c>
      <c r="E4058" s="2" t="s">
        <v>11609</v>
      </c>
      <c r="F4058" s="2" t="s">
        <v>16</v>
      </c>
      <c r="G4058" s="2" t="s">
        <v>61</v>
      </c>
      <c r="H4058" s="2"/>
      <c r="I4058" s="2"/>
      <c r="J4058" s="2" t="s">
        <v>19</v>
      </c>
      <c r="K4058" s="2"/>
      <c r="L4058" s="4" t="s">
        <v>1682</v>
      </c>
    </row>
    <row r="4059" customFormat="false" ht="15.65" hidden="false" customHeight="true" outlineLevel="0" collapsed="false">
      <c r="A4059" s="5" t="str">
        <f aca="false">HYPERLINK("https://www.fabsurplus.com/sdi_catalog/salesItemDetails.do?id=103569")</f>
        <v>https://www.fabsurplus.com/sdi_catalog/salesItemDetails.do?id=103569</v>
      </c>
      <c r="B4059" s="5" t="s">
        <v>11610</v>
      </c>
      <c r="C4059" s="5" t="s">
        <v>11410</v>
      </c>
      <c r="D4059" s="5" t="s">
        <v>11608</v>
      </c>
      <c r="E4059" s="5" t="s">
        <v>11609</v>
      </c>
      <c r="F4059" s="5" t="s">
        <v>16</v>
      </c>
      <c r="G4059" s="5" t="s">
        <v>61</v>
      </c>
      <c r="H4059" s="5"/>
      <c r="I4059" s="5"/>
      <c r="J4059" s="5" t="s">
        <v>19</v>
      </c>
      <c r="K4059" s="5"/>
      <c r="L4059" s="7" t="s">
        <v>1682</v>
      </c>
    </row>
    <row r="4060" customFormat="false" ht="15.65" hidden="false" customHeight="true" outlineLevel="0" collapsed="false">
      <c r="A4060" s="2" t="str">
        <f aca="false">HYPERLINK("https://www.fabsurplus.com/sdi_catalog/salesItemDetails.do?id=103570")</f>
        <v>https://www.fabsurplus.com/sdi_catalog/salesItemDetails.do?id=103570</v>
      </c>
      <c r="B4060" s="2" t="s">
        <v>11611</v>
      </c>
      <c r="C4060" s="2" t="s">
        <v>11410</v>
      </c>
      <c r="D4060" s="2" t="s">
        <v>11608</v>
      </c>
      <c r="E4060" s="2" t="s">
        <v>11609</v>
      </c>
      <c r="F4060" s="2" t="s">
        <v>16</v>
      </c>
      <c r="G4060" s="2" t="s">
        <v>61</v>
      </c>
      <c r="H4060" s="2"/>
      <c r="I4060" s="2"/>
      <c r="J4060" s="2" t="s">
        <v>19</v>
      </c>
      <c r="K4060" s="2"/>
      <c r="L4060" s="4" t="s">
        <v>1682</v>
      </c>
    </row>
    <row r="4061" customFormat="false" ht="15.65" hidden="false" customHeight="true" outlineLevel="0" collapsed="false">
      <c r="A4061" s="5" t="str">
        <f aca="false">HYPERLINK("https://www.fabsurplus.com/sdi_catalog/salesItemDetails.do?id=103571")</f>
        <v>https://www.fabsurplus.com/sdi_catalog/salesItemDetails.do?id=103571</v>
      </c>
      <c r="B4061" s="5" t="s">
        <v>11612</v>
      </c>
      <c r="C4061" s="5" t="s">
        <v>11410</v>
      </c>
      <c r="D4061" s="5" t="s">
        <v>11608</v>
      </c>
      <c r="E4061" s="5" t="s">
        <v>11609</v>
      </c>
      <c r="F4061" s="5" t="s">
        <v>16</v>
      </c>
      <c r="G4061" s="5" t="s">
        <v>61</v>
      </c>
      <c r="H4061" s="5"/>
      <c r="I4061" s="5"/>
      <c r="J4061" s="5" t="s">
        <v>19</v>
      </c>
      <c r="K4061" s="5"/>
      <c r="L4061" s="7" t="s">
        <v>1682</v>
      </c>
    </row>
    <row r="4062" customFormat="false" ht="15.65" hidden="false" customHeight="true" outlineLevel="0" collapsed="false">
      <c r="A4062" s="2" t="str">
        <f aca="false">HYPERLINK("https://www.fabsurplus.com/sdi_catalog/salesItemDetails.do?id=103572")</f>
        <v>https://www.fabsurplus.com/sdi_catalog/salesItemDetails.do?id=103572</v>
      </c>
      <c r="B4062" s="2" t="s">
        <v>11613</v>
      </c>
      <c r="C4062" s="2" t="s">
        <v>11410</v>
      </c>
      <c r="D4062" s="2" t="s">
        <v>11608</v>
      </c>
      <c r="E4062" s="2" t="s">
        <v>11609</v>
      </c>
      <c r="F4062" s="2" t="s">
        <v>16</v>
      </c>
      <c r="G4062" s="2" t="s">
        <v>61</v>
      </c>
      <c r="H4062" s="2"/>
      <c r="I4062" s="2"/>
      <c r="J4062" s="2" t="s">
        <v>19</v>
      </c>
      <c r="K4062" s="2"/>
      <c r="L4062" s="4" t="s">
        <v>1682</v>
      </c>
    </row>
    <row r="4063" customFormat="false" ht="15.65" hidden="false" customHeight="true" outlineLevel="0" collapsed="false">
      <c r="A4063" s="5" t="str">
        <f aca="false">HYPERLINK("https://www.fabsurplus.com/sdi_catalog/salesItemDetails.do?id=103573")</f>
        <v>https://www.fabsurplus.com/sdi_catalog/salesItemDetails.do?id=103573</v>
      </c>
      <c r="B4063" s="5" t="s">
        <v>11614</v>
      </c>
      <c r="C4063" s="5" t="s">
        <v>11410</v>
      </c>
      <c r="D4063" s="5" t="s">
        <v>11608</v>
      </c>
      <c r="E4063" s="5" t="s">
        <v>11615</v>
      </c>
      <c r="F4063" s="5" t="s">
        <v>16</v>
      </c>
      <c r="G4063" s="5" t="s">
        <v>61</v>
      </c>
      <c r="H4063" s="5"/>
      <c r="I4063" s="5"/>
      <c r="J4063" s="5" t="s">
        <v>19</v>
      </c>
      <c r="K4063" s="5"/>
      <c r="L4063" s="7" t="s">
        <v>1682</v>
      </c>
    </row>
    <row r="4064" customFormat="false" ht="15.65" hidden="false" customHeight="true" outlineLevel="0" collapsed="false">
      <c r="A4064" s="2" t="str">
        <f aca="false">HYPERLINK("https://www.fabsurplus.com/sdi_catalog/salesItemDetails.do?id=103574")</f>
        <v>https://www.fabsurplus.com/sdi_catalog/salesItemDetails.do?id=103574</v>
      </c>
      <c r="B4064" s="2" t="s">
        <v>11616</v>
      </c>
      <c r="C4064" s="2" t="s">
        <v>11410</v>
      </c>
      <c r="D4064" s="2" t="s">
        <v>11608</v>
      </c>
      <c r="E4064" s="2" t="s">
        <v>11615</v>
      </c>
      <c r="F4064" s="2" t="s">
        <v>16</v>
      </c>
      <c r="G4064" s="2" t="s">
        <v>61</v>
      </c>
      <c r="H4064" s="2"/>
      <c r="I4064" s="2"/>
      <c r="J4064" s="2" t="s">
        <v>19</v>
      </c>
      <c r="K4064" s="2"/>
      <c r="L4064" s="4" t="s">
        <v>1682</v>
      </c>
    </row>
    <row r="4065" customFormat="false" ht="15.65" hidden="false" customHeight="true" outlineLevel="0" collapsed="false">
      <c r="A4065" s="5" t="str">
        <f aca="false">HYPERLINK("https://www.fabsurplus.com/sdi_catalog/salesItemDetails.do?id=103575")</f>
        <v>https://www.fabsurplus.com/sdi_catalog/salesItemDetails.do?id=103575</v>
      </c>
      <c r="B4065" s="5" t="s">
        <v>11617</v>
      </c>
      <c r="C4065" s="5" t="s">
        <v>11410</v>
      </c>
      <c r="D4065" s="5" t="s">
        <v>11608</v>
      </c>
      <c r="E4065" s="5" t="s">
        <v>11615</v>
      </c>
      <c r="F4065" s="5" t="s">
        <v>16</v>
      </c>
      <c r="G4065" s="5" t="s">
        <v>61</v>
      </c>
      <c r="H4065" s="5"/>
      <c r="I4065" s="5"/>
      <c r="J4065" s="5" t="s">
        <v>19</v>
      </c>
      <c r="K4065" s="5"/>
      <c r="L4065" s="7" t="s">
        <v>1682</v>
      </c>
    </row>
    <row r="4066" customFormat="false" ht="15.65" hidden="false" customHeight="true" outlineLevel="0" collapsed="false">
      <c r="A4066" s="2" t="str">
        <f aca="false">HYPERLINK("https://www.fabsurplus.com/sdi_catalog/salesItemDetails.do?id=108695")</f>
        <v>https://www.fabsurplus.com/sdi_catalog/salesItemDetails.do?id=108695</v>
      </c>
      <c r="B4066" s="2" t="s">
        <v>11618</v>
      </c>
      <c r="C4066" s="2" t="s">
        <v>11410</v>
      </c>
      <c r="D4066" s="2" t="s">
        <v>11619</v>
      </c>
      <c r="E4066" s="2" t="s">
        <v>11620</v>
      </c>
      <c r="F4066" s="2" t="s">
        <v>16</v>
      </c>
      <c r="G4066" s="2" t="s">
        <v>1287</v>
      </c>
      <c r="H4066" s="2"/>
      <c r="I4066" s="3" t="n">
        <v>41061</v>
      </c>
      <c r="J4066" s="2" t="s">
        <v>42</v>
      </c>
      <c r="K4066" s="2"/>
      <c r="L4066" s="4" t="s">
        <v>11621</v>
      </c>
    </row>
    <row r="4067" customFormat="false" ht="15.65" hidden="false" customHeight="true" outlineLevel="0" collapsed="false">
      <c r="A4067" s="5" t="str">
        <f aca="false">HYPERLINK("https://www.fabsurplus.com/sdi_catalog/salesItemDetails.do?id=103576")</f>
        <v>https://www.fabsurplus.com/sdi_catalog/salesItemDetails.do?id=103576</v>
      </c>
      <c r="B4067" s="5" t="s">
        <v>11622</v>
      </c>
      <c r="C4067" s="5" t="s">
        <v>11410</v>
      </c>
      <c r="D4067" s="5" t="s">
        <v>11608</v>
      </c>
      <c r="E4067" s="5" t="s">
        <v>11615</v>
      </c>
      <c r="F4067" s="5" t="s">
        <v>16</v>
      </c>
      <c r="G4067" s="5" t="s">
        <v>61</v>
      </c>
      <c r="H4067" s="5"/>
      <c r="I4067" s="5"/>
      <c r="J4067" s="5" t="s">
        <v>19</v>
      </c>
      <c r="K4067" s="5"/>
      <c r="L4067" s="7" t="s">
        <v>1682</v>
      </c>
    </row>
    <row r="4068" customFormat="false" ht="15.65" hidden="false" customHeight="true" outlineLevel="0" collapsed="false">
      <c r="A4068" s="2" t="str">
        <f aca="false">HYPERLINK("https://www.fabsurplus.com/sdi_catalog/salesItemDetails.do?id=103577")</f>
        <v>https://www.fabsurplus.com/sdi_catalog/salesItemDetails.do?id=103577</v>
      </c>
      <c r="B4068" s="2" t="s">
        <v>11623</v>
      </c>
      <c r="C4068" s="2" t="s">
        <v>11410</v>
      </c>
      <c r="D4068" s="2" t="s">
        <v>11608</v>
      </c>
      <c r="E4068" s="2" t="s">
        <v>11615</v>
      </c>
      <c r="F4068" s="2" t="s">
        <v>16</v>
      </c>
      <c r="G4068" s="2" t="s">
        <v>61</v>
      </c>
      <c r="H4068" s="2"/>
      <c r="I4068" s="2"/>
      <c r="J4068" s="2" t="s">
        <v>19</v>
      </c>
      <c r="K4068" s="2"/>
      <c r="L4068" s="4" t="s">
        <v>1682</v>
      </c>
    </row>
    <row r="4069" customFormat="false" ht="15.65" hidden="false" customHeight="true" outlineLevel="0" collapsed="false">
      <c r="A4069" s="5" t="str">
        <f aca="false">HYPERLINK("https://www.fabsurplus.com/sdi_catalog/salesItemDetails.do?id=103578")</f>
        <v>https://www.fabsurplus.com/sdi_catalog/salesItemDetails.do?id=103578</v>
      </c>
      <c r="B4069" s="5" t="s">
        <v>11624</v>
      </c>
      <c r="C4069" s="5" t="s">
        <v>11410</v>
      </c>
      <c r="D4069" s="5" t="s">
        <v>11608</v>
      </c>
      <c r="E4069" s="5" t="s">
        <v>11615</v>
      </c>
      <c r="F4069" s="5" t="s">
        <v>16</v>
      </c>
      <c r="G4069" s="5" t="s">
        <v>61</v>
      </c>
      <c r="H4069" s="5"/>
      <c r="I4069" s="5"/>
      <c r="J4069" s="5" t="s">
        <v>19</v>
      </c>
      <c r="K4069" s="5"/>
      <c r="L4069" s="7" t="s">
        <v>1682</v>
      </c>
    </row>
    <row r="4070" customFormat="false" ht="15.65" hidden="false" customHeight="true" outlineLevel="0" collapsed="false">
      <c r="A4070" s="2" t="str">
        <f aca="false">HYPERLINK("https://www.fabsurplus.com/sdi_catalog/salesItemDetails.do?id=103579")</f>
        <v>https://www.fabsurplus.com/sdi_catalog/salesItemDetails.do?id=103579</v>
      </c>
      <c r="B4070" s="2" t="s">
        <v>11625</v>
      </c>
      <c r="C4070" s="2" t="s">
        <v>11410</v>
      </c>
      <c r="D4070" s="2" t="s">
        <v>11608</v>
      </c>
      <c r="E4070" s="2" t="s">
        <v>11615</v>
      </c>
      <c r="F4070" s="2" t="s">
        <v>16</v>
      </c>
      <c r="G4070" s="2" t="s">
        <v>61</v>
      </c>
      <c r="H4070" s="2"/>
      <c r="I4070" s="2"/>
      <c r="J4070" s="2" t="s">
        <v>19</v>
      </c>
      <c r="K4070" s="2"/>
      <c r="L4070" s="4" t="s">
        <v>1682</v>
      </c>
    </row>
    <row r="4071" customFormat="false" ht="15.65" hidden="false" customHeight="true" outlineLevel="0" collapsed="false">
      <c r="A4071" s="5" t="str">
        <f aca="false">HYPERLINK("https://www.fabsurplus.com/sdi_catalog/salesItemDetails.do?id=103580")</f>
        <v>https://www.fabsurplus.com/sdi_catalog/salesItemDetails.do?id=103580</v>
      </c>
      <c r="B4071" s="5" t="s">
        <v>11626</v>
      </c>
      <c r="C4071" s="5" t="s">
        <v>11410</v>
      </c>
      <c r="D4071" s="5" t="s">
        <v>11608</v>
      </c>
      <c r="E4071" s="5" t="s">
        <v>11615</v>
      </c>
      <c r="F4071" s="5" t="s">
        <v>16</v>
      </c>
      <c r="G4071" s="5" t="s">
        <v>61</v>
      </c>
      <c r="H4071" s="5"/>
      <c r="I4071" s="5"/>
      <c r="J4071" s="5" t="s">
        <v>19</v>
      </c>
      <c r="K4071" s="5"/>
      <c r="L4071" s="7" t="s">
        <v>1682</v>
      </c>
    </row>
    <row r="4072" customFormat="false" ht="15.65" hidden="false" customHeight="true" outlineLevel="0" collapsed="false">
      <c r="A4072" s="2" t="str">
        <f aca="false">HYPERLINK("https://www.fabsurplus.com/sdi_catalog/salesItemDetails.do?id=103581")</f>
        <v>https://www.fabsurplus.com/sdi_catalog/salesItemDetails.do?id=103581</v>
      </c>
      <c r="B4072" s="2" t="s">
        <v>11627</v>
      </c>
      <c r="C4072" s="2" t="s">
        <v>11410</v>
      </c>
      <c r="D4072" s="2" t="s">
        <v>11608</v>
      </c>
      <c r="E4072" s="2" t="s">
        <v>11615</v>
      </c>
      <c r="F4072" s="2" t="s">
        <v>16</v>
      </c>
      <c r="G4072" s="2" t="s">
        <v>61</v>
      </c>
      <c r="H4072" s="2"/>
      <c r="I4072" s="3" t="n">
        <v>38868.9166666667</v>
      </c>
      <c r="J4072" s="2" t="s">
        <v>19</v>
      </c>
      <c r="K4072" s="2"/>
      <c r="L4072" s="4" t="s">
        <v>1682</v>
      </c>
    </row>
    <row r="4073" customFormat="false" ht="15.65" hidden="false" customHeight="true" outlineLevel="0" collapsed="false">
      <c r="A4073" s="5" t="str">
        <f aca="false">HYPERLINK("https://www.fabsurplus.com/sdi_catalog/salesItemDetails.do?id=103582")</f>
        <v>https://www.fabsurplus.com/sdi_catalog/salesItemDetails.do?id=103582</v>
      </c>
      <c r="B4073" s="5" t="s">
        <v>11628</v>
      </c>
      <c r="C4073" s="5" t="s">
        <v>11410</v>
      </c>
      <c r="D4073" s="5" t="s">
        <v>11608</v>
      </c>
      <c r="E4073" s="5" t="s">
        <v>11615</v>
      </c>
      <c r="F4073" s="5" t="s">
        <v>16</v>
      </c>
      <c r="G4073" s="5" t="s">
        <v>61</v>
      </c>
      <c r="H4073" s="5"/>
      <c r="I4073" s="6" t="n">
        <v>38868.9166666667</v>
      </c>
      <c r="J4073" s="5" t="s">
        <v>19</v>
      </c>
      <c r="K4073" s="5"/>
      <c r="L4073" s="7" t="s">
        <v>1682</v>
      </c>
    </row>
    <row r="4074" customFormat="false" ht="15.65" hidden="false" customHeight="true" outlineLevel="0" collapsed="false">
      <c r="A4074" s="2" t="str">
        <f aca="false">HYPERLINK("https://www.fabsurplus.com/sdi_catalog/salesItemDetails.do?id=108707")</f>
        <v>https://www.fabsurplus.com/sdi_catalog/salesItemDetails.do?id=108707</v>
      </c>
      <c r="B4074" s="2" t="s">
        <v>11629</v>
      </c>
      <c r="C4074" s="2" t="s">
        <v>11410</v>
      </c>
      <c r="D4074" s="2" t="s">
        <v>11630</v>
      </c>
      <c r="E4074" s="2" t="s">
        <v>11631</v>
      </c>
      <c r="F4074" s="2" t="s">
        <v>16</v>
      </c>
      <c r="G4074" s="2" t="s">
        <v>1287</v>
      </c>
      <c r="H4074" s="2"/>
      <c r="I4074" s="3" t="n">
        <v>41061</v>
      </c>
      <c r="J4074" s="2" t="s">
        <v>42</v>
      </c>
      <c r="K4074" s="2"/>
      <c r="L4074" s="4" t="s">
        <v>11632</v>
      </c>
    </row>
    <row r="4075" customFormat="false" ht="15.65" hidden="false" customHeight="true" outlineLevel="0" collapsed="false">
      <c r="A4075" s="5" t="str">
        <f aca="false">HYPERLINK("https://www.fabsurplus.com/sdi_catalog/salesItemDetails.do?id=108966")</f>
        <v>https://www.fabsurplus.com/sdi_catalog/salesItemDetails.do?id=108966</v>
      </c>
      <c r="B4075" s="5" t="s">
        <v>11633</v>
      </c>
      <c r="C4075" s="5" t="s">
        <v>11410</v>
      </c>
      <c r="D4075" s="5" t="s">
        <v>11418</v>
      </c>
      <c r="E4075" s="5" t="s">
        <v>11634</v>
      </c>
      <c r="F4075" s="5" t="s">
        <v>16</v>
      </c>
      <c r="G4075" s="5" t="s">
        <v>38</v>
      </c>
      <c r="H4075" s="5" t="s">
        <v>275</v>
      </c>
      <c r="I4075" s="6" t="n">
        <v>43252</v>
      </c>
      <c r="J4075" s="5" t="s">
        <v>42</v>
      </c>
      <c r="K4075" s="5" t="s">
        <v>20</v>
      </c>
      <c r="L4075" s="7" t="s">
        <v>11635</v>
      </c>
    </row>
    <row r="4076" customFormat="false" ht="15.65" hidden="false" customHeight="true" outlineLevel="0" collapsed="false">
      <c r="A4076" s="2" t="str">
        <f aca="false">HYPERLINK("https://www.fabsurplus.com/sdi_catalog/salesItemDetails.do?id=103597")</f>
        <v>https://www.fabsurplus.com/sdi_catalog/salesItemDetails.do?id=103597</v>
      </c>
      <c r="B4076" s="2" t="s">
        <v>11636</v>
      </c>
      <c r="C4076" s="2" t="s">
        <v>11410</v>
      </c>
      <c r="D4076" s="2" t="s">
        <v>11608</v>
      </c>
      <c r="E4076" s="2" t="s">
        <v>11615</v>
      </c>
      <c r="F4076" s="2" t="s">
        <v>16</v>
      </c>
      <c r="G4076" s="2" t="s">
        <v>61</v>
      </c>
      <c r="H4076" s="2"/>
      <c r="I4076" s="2"/>
      <c r="J4076" s="2" t="s">
        <v>19</v>
      </c>
      <c r="K4076" s="2"/>
      <c r="L4076" s="4" t="s">
        <v>1682</v>
      </c>
    </row>
    <row r="4077" customFormat="false" ht="15.65" hidden="false" customHeight="true" outlineLevel="0" collapsed="false">
      <c r="A4077" s="5" t="str">
        <f aca="false">HYPERLINK("https://www.fabsurplus.com/sdi_catalog/salesItemDetails.do?id=103598")</f>
        <v>https://www.fabsurplus.com/sdi_catalog/salesItemDetails.do?id=103598</v>
      </c>
      <c r="B4077" s="5" t="s">
        <v>11637</v>
      </c>
      <c r="C4077" s="5" t="s">
        <v>11410</v>
      </c>
      <c r="D4077" s="5" t="s">
        <v>11608</v>
      </c>
      <c r="E4077" s="5" t="s">
        <v>11615</v>
      </c>
      <c r="F4077" s="5" t="s">
        <v>16</v>
      </c>
      <c r="G4077" s="5" t="s">
        <v>61</v>
      </c>
      <c r="H4077" s="5"/>
      <c r="I4077" s="5"/>
      <c r="J4077" s="5" t="s">
        <v>19</v>
      </c>
      <c r="K4077" s="5"/>
      <c r="L4077" s="7" t="s">
        <v>1682</v>
      </c>
    </row>
    <row r="4078" customFormat="false" ht="15.65" hidden="false" customHeight="true" outlineLevel="0" collapsed="false">
      <c r="A4078" s="2" t="str">
        <f aca="false">HYPERLINK("https://www.fabsurplus.com/sdi_catalog/salesItemDetails.do?id=103599")</f>
        <v>https://www.fabsurplus.com/sdi_catalog/salesItemDetails.do?id=103599</v>
      </c>
      <c r="B4078" s="2" t="s">
        <v>11638</v>
      </c>
      <c r="C4078" s="2" t="s">
        <v>11410</v>
      </c>
      <c r="D4078" s="2" t="s">
        <v>11608</v>
      </c>
      <c r="E4078" s="2" t="s">
        <v>11615</v>
      </c>
      <c r="F4078" s="2" t="s">
        <v>16</v>
      </c>
      <c r="G4078" s="2" t="s">
        <v>61</v>
      </c>
      <c r="H4078" s="2"/>
      <c r="I4078" s="2"/>
      <c r="J4078" s="2" t="s">
        <v>19</v>
      </c>
      <c r="K4078" s="2"/>
      <c r="L4078" s="4" t="s">
        <v>1682</v>
      </c>
    </row>
    <row r="4079" customFormat="false" ht="15.65" hidden="false" customHeight="true" outlineLevel="0" collapsed="false">
      <c r="A4079" s="5" t="str">
        <f aca="false">HYPERLINK("https://www.fabsurplus.com/sdi_catalog/salesItemDetails.do?id=108207")</f>
        <v>https://www.fabsurplus.com/sdi_catalog/salesItemDetails.do?id=108207</v>
      </c>
      <c r="B4079" s="5" t="s">
        <v>11639</v>
      </c>
      <c r="C4079" s="5" t="s">
        <v>11410</v>
      </c>
      <c r="D4079" s="5" t="s">
        <v>11640</v>
      </c>
      <c r="E4079" s="5" t="s">
        <v>11641</v>
      </c>
      <c r="F4079" s="5" t="s">
        <v>16</v>
      </c>
      <c r="G4079" s="5" t="s">
        <v>61</v>
      </c>
      <c r="H4079" s="5"/>
      <c r="I4079" s="6" t="n">
        <v>39234</v>
      </c>
      <c r="J4079" s="5" t="s">
        <v>19</v>
      </c>
      <c r="K4079" s="5"/>
      <c r="L4079" s="5" t="s">
        <v>1480</v>
      </c>
    </row>
    <row r="4080" customFormat="false" ht="15.65" hidden="false" customHeight="true" outlineLevel="0" collapsed="false">
      <c r="A4080" s="2" t="str">
        <f aca="false">HYPERLINK("https://www.fabsurplus.com/sdi_catalog/salesItemDetails.do?id=103600")</f>
        <v>https://www.fabsurplus.com/sdi_catalog/salesItemDetails.do?id=103600</v>
      </c>
      <c r="B4080" s="2" t="s">
        <v>11642</v>
      </c>
      <c r="C4080" s="2" t="s">
        <v>11410</v>
      </c>
      <c r="D4080" s="2" t="s">
        <v>11608</v>
      </c>
      <c r="E4080" s="2" t="s">
        <v>11615</v>
      </c>
      <c r="F4080" s="2" t="s">
        <v>16</v>
      </c>
      <c r="G4080" s="2" t="s">
        <v>61</v>
      </c>
      <c r="H4080" s="2"/>
      <c r="I4080" s="2"/>
      <c r="J4080" s="2" t="s">
        <v>19</v>
      </c>
      <c r="K4080" s="2"/>
      <c r="L4080" s="4" t="s">
        <v>1682</v>
      </c>
    </row>
    <row r="4081" customFormat="false" ht="15.65" hidden="false" customHeight="true" outlineLevel="0" collapsed="false">
      <c r="A4081" s="5" t="str">
        <f aca="false">HYPERLINK("https://www.fabsurplus.com/sdi_catalog/salesItemDetails.do?id=106416")</f>
        <v>https://www.fabsurplus.com/sdi_catalog/salesItemDetails.do?id=106416</v>
      </c>
      <c r="B4081" s="5" t="s">
        <v>11643</v>
      </c>
      <c r="C4081" s="5" t="s">
        <v>11427</v>
      </c>
      <c r="D4081" s="5" t="s">
        <v>11644</v>
      </c>
      <c r="E4081" s="5" t="s">
        <v>11645</v>
      </c>
      <c r="F4081" s="5" t="s">
        <v>16</v>
      </c>
      <c r="G4081" s="5" t="s">
        <v>61</v>
      </c>
      <c r="H4081" s="5" t="s">
        <v>32</v>
      </c>
      <c r="I4081" s="6" t="n">
        <v>40360</v>
      </c>
      <c r="J4081" s="5" t="s">
        <v>19</v>
      </c>
      <c r="K4081" s="5" t="s">
        <v>20</v>
      </c>
      <c r="L4081" s="5"/>
    </row>
    <row r="4082" customFormat="false" ht="15.65" hidden="false" customHeight="true" outlineLevel="0" collapsed="false">
      <c r="A4082" s="2" t="str">
        <f aca="false">HYPERLINK("https://www.fabsurplus.com/sdi_catalog/salesItemDetails.do?id=108208")</f>
        <v>https://www.fabsurplus.com/sdi_catalog/salesItemDetails.do?id=108208</v>
      </c>
      <c r="B4082" s="2" t="s">
        <v>11646</v>
      </c>
      <c r="C4082" s="2" t="s">
        <v>11410</v>
      </c>
      <c r="D4082" s="2" t="s">
        <v>11647</v>
      </c>
      <c r="E4082" s="2" t="s">
        <v>9590</v>
      </c>
      <c r="F4082" s="2" t="s">
        <v>16</v>
      </c>
      <c r="G4082" s="2" t="s">
        <v>61</v>
      </c>
      <c r="H4082" s="2"/>
      <c r="I4082" s="3" t="n">
        <v>39234</v>
      </c>
      <c r="J4082" s="2" t="s">
        <v>19</v>
      </c>
      <c r="K4082" s="2"/>
      <c r="L4082" s="2" t="s">
        <v>1480</v>
      </c>
    </row>
    <row r="4083" customFormat="false" ht="15.65" hidden="false" customHeight="true" outlineLevel="0" collapsed="false">
      <c r="A4083" s="5" t="str">
        <f aca="false">HYPERLINK("https://www.fabsurplus.com/sdi_catalog/salesItemDetails.do?id=103601")</f>
        <v>https://www.fabsurplus.com/sdi_catalog/salesItemDetails.do?id=103601</v>
      </c>
      <c r="B4083" s="5" t="s">
        <v>11648</v>
      </c>
      <c r="C4083" s="5" t="s">
        <v>11410</v>
      </c>
      <c r="D4083" s="5" t="s">
        <v>11608</v>
      </c>
      <c r="E4083" s="5" t="s">
        <v>11615</v>
      </c>
      <c r="F4083" s="5" t="s">
        <v>16</v>
      </c>
      <c r="G4083" s="5" t="s">
        <v>61</v>
      </c>
      <c r="H4083" s="5"/>
      <c r="I4083" s="5"/>
      <c r="J4083" s="5" t="s">
        <v>19</v>
      </c>
      <c r="K4083" s="5"/>
      <c r="L4083" s="7" t="s">
        <v>1682</v>
      </c>
    </row>
    <row r="4084" customFormat="false" ht="15.65" hidden="false" customHeight="true" outlineLevel="0" collapsed="false">
      <c r="A4084" s="2" t="str">
        <f aca="false">HYPERLINK("https://www.fabsurplus.com/sdi_catalog/salesItemDetails.do?id=108209")</f>
        <v>https://www.fabsurplus.com/sdi_catalog/salesItemDetails.do?id=108209</v>
      </c>
      <c r="B4084" s="2" t="s">
        <v>11649</v>
      </c>
      <c r="C4084" s="2" t="s">
        <v>11650</v>
      </c>
      <c r="D4084" s="2" t="s">
        <v>11651</v>
      </c>
      <c r="E4084" s="2" t="s">
        <v>11652</v>
      </c>
      <c r="F4084" s="2" t="s">
        <v>16</v>
      </c>
      <c r="G4084" s="2" t="s">
        <v>61</v>
      </c>
      <c r="H4084" s="2"/>
      <c r="I4084" s="3" t="n">
        <v>38869</v>
      </c>
      <c r="J4084" s="2" t="s">
        <v>19</v>
      </c>
      <c r="K4084" s="2"/>
      <c r="L4084" s="2" t="s">
        <v>4346</v>
      </c>
    </row>
    <row r="4085" customFormat="false" ht="15.65" hidden="false" customHeight="true" outlineLevel="0" collapsed="false">
      <c r="A4085" s="5" t="str">
        <f aca="false">HYPERLINK("https://www.fabsurplus.com/sdi_catalog/salesItemDetails.do?id=103602")</f>
        <v>https://www.fabsurplus.com/sdi_catalog/salesItemDetails.do?id=103602</v>
      </c>
      <c r="B4085" s="5" t="s">
        <v>11653</v>
      </c>
      <c r="C4085" s="5" t="s">
        <v>11410</v>
      </c>
      <c r="D4085" s="5" t="s">
        <v>11608</v>
      </c>
      <c r="E4085" s="5" t="s">
        <v>11615</v>
      </c>
      <c r="F4085" s="5" t="s">
        <v>16</v>
      </c>
      <c r="G4085" s="5" t="s">
        <v>61</v>
      </c>
      <c r="H4085" s="5"/>
      <c r="I4085" s="5"/>
      <c r="J4085" s="5" t="s">
        <v>19</v>
      </c>
      <c r="K4085" s="5"/>
      <c r="L4085" s="7" t="s">
        <v>1682</v>
      </c>
    </row>
    <row r="4086" customFormat="false" ht="15.65" hidden="false" customHeight="true" outlineLevel="0" collapsed="false">
      <c r="A4086" s="2" t="str">
        <f aca="false">HYPERLINK("https://www.fabsurplus.com/sdi_catalog/salesItemDetails.do?id=108210")</f>
        <v>https://www.fabsurplus.com/sdi_catalog/salesItemDetails.do?id=108210</v>
      </c>
      <c r="B4086" s="2" t="s">
        <v>11654</v>
      </c>
      <c r="C4086" s="2" t="s">
        <v>11650</v>
      </c>
      <c r="D4086" s="2" t="s">
        <v>11651</v>
      </c>
      <c r="E4086" s="2" t="s">
        <v>11652</v>
      </c>
      <c r="F4086" s="2" t="s">
        <v>16</v>
      </c>
      <c r="G4086" s="2" t="s">
        <v>61</v>
      </c>
      <c r="H4086" s="2"/>
      <c r="I4086" s="3" t="n">
        <v>38869</v>
      </c>
      <c r="J4086" s="2" t="s">
        <v>19</v>
      </c>
      <c r="K4086" s="2"/>
      <c r="L4086" s="2" t="s">
        <v>1480</v>
      </c>
    </row>
    <row r="4087" customFormat="false" ht="15.65" hidden="false" customHeight="true" outlineLevel="0" collapsed="false">
      <c r="A4087" s="5" t="str">
        <f aca="false">HYPERLINK("https://www.fabsurplus.com/sdi_catalog/salesItemDetails.do?id=103603")</f>
        <v>https://www.fabsurplus.com/sdi_catalog/salesItemDetails.do?id=103603</v>
      </c>
      <c r="B4087" s="5" t="s">
        <v>11655</v>
      </c>
      <c r="C4087" s="5" t="s">
        <v>11410</v>
      </c>
      <c r="D4087" s="5" t="s">
        <v>11608</v>
      </c>
      <c r="E4087" s="5" t="s">
        <v>11615</v>
      </c>
      <c r="F4087" s="5" t="s">
        <v>16</v>
      </c>
      <c r="G4087" s="5" t="s">
        <v>61</v>
      </c>
      <c r="H4087" s="5"/>
      <c r="I4087" s="5"/>
      <c r="J4087" s="5" t="s">
        <v>19</v>
      </c>
      <c r="K4087" s="5"/>
      <c r="L4087" s="7" t="s">
        <v>1682</v>
      </c>
    </row>
    <row r="4088" customFormat="false" ht="15.65" hidden="false" customHeight="true" outlineLevel="0" collapsed="false">
      <c r="A4088" s="2" t="str">
        <f aca="false">HYPERLINK("https://www.fabsurplus.com/sdi_catalog/salesItemDetails.do?id=108211")</f>
        <v>https://www.fabsurplus.com/sdi_catalog/salesItemDetails.do?id=108211</v>
      </c>
      <c r="B4088" s="2" t="s">
        <v>11656</v>
      </c>
      <c r="C4088" s="2" t="s">
        <v>11650</v>
      </c>
      <c r="D4088" s="2" t="s">
        <v>11651</v>
      </c>
      <c r="E4088" s="2" t="s">
        <v>11652</v>
      </c>
      <c r="F4088" s="2" t="s">
        <v>16</v>
      </c>
      <c r="G4088" s="2" t="s">
        <v>61</v>
      </c>
      <c r="H4088" s="2"/>
      <c r="I4088" s="3" t="n">
        <v>39234</v>
      </c>
      <c r="J4088" s="2" t="s">
        <v>19</v>
      </c>
      <c r="K4088" s="2"/>
      <c r="L4088" s="2" t="s">
        <v>1480</v>
      </c>
    </row>
    <row r="4089" customFormat="false" ht="15.65" hidden="false" customHeight="true" outlineLevel="0" collapsed="false">
      <c r="A4089" s="5" t="str">
        <f aca="false">HYPERLINK("https://www.fabsurplus.com/sdi_catalog/salesItemDetails.do?id=103604")</f>
        <v>https://www.fabsurplus.com/sdi_catalog/salesItemDetails.do?id=103604</v>
      </c>
      <c r="B4089" s="5" t="s">
        <v>11657</v>
      </c>
      <c r="C4089" s="5" t="s">
        <v>11410</v>
      </c>
      <c r="D4089" s="5" t="s">
        <v>11608</v>
      </c>
      <c r="E4089" s="5" t="s">
        <v>11615</v>
      </c>
      <c r="F4089" s="5" t="s">
        <v>16</v>
      </c>
      <c r="G4089" s="5" t="s">
        <v>61</v>
      </c>
      <c r="H4089" s="5"/>
      <c r="I4089" s="5"/>
      <c r="J4089" s="5" t="s">
        <v>19</v>
      </c>
      <c r="K4089" s="5"/>
      <c r="L4089" s="7" t="s">
        <v>1682</v>
      </c>
    </row>
    <row r="4090" customFormat="false" ht="15.65" hidden="false" customHeight="true" outlineLevel="0" collapsed="false">
      <c r="A4090" s="2" t="str">
        <f aca="false">HYPERLINK("https://www.fabsurplus.com/sdi_catalog/salesItemDetails.do?id=108212")</f>
        <v>https://www.fabsurplus.com/sdi_catalog/salesItemDetails.do?id=108212</v>
      </c>
      <c r="B4090" s="2" t="s">
        <v>11658</v>
      </c>
      <c r="C4090" s="2" t="s">
        <v>11650</v>
      </c>
      <c r="D4090" s="2" t="s">
        <v>11651</v>
      </c>
      <c r="E4090" s="2" t="s">
        <v>11652</v>
      </c>
      <c r="F4090" s="2" t="s">
        <v>16</v>
      </c>
      <c r="G4090" s="2" t="s">
        <v>61</v>
      </c>
      <c r="H4090" s="2"/>
      <c r="I4090" s="3" t="n">
        <v>39234</v>
      </c>
      <c r="J4090" s="2" t="s">
        <v>19</v>
      </c>
      <c r="K4090" s="2"/>
      <c r="L4090" s="2" t="s">
        <v>1480</v>
      </c>
    </row>
    <row r="4091" customFormat="false" ht="15.65" hidden="false" customHeight="true" outlineLevel="0" collapsed="false">
      <c r="A4091" s="5" t="str">
        <f aca="false">HYPERLINK("https://www.fabsurplus.com/sdi_catalog/salesItemDetails.do?id=109236")</f>
        <v>https://www.fabsurplus.com/sdi_catalog/salesItemDetails.do?id=109236</v>
      </c>
      <c r="B4091" s="5" t="s">
        <v>11659</v>
      </c>
      <c r="C4091" s="5" t="s">
        <v>11427</v>
      </c>
      <c r="D4091" s="5" t="s">
        <v>11660</v>
      </c>
      <c r="E4091" s="5" t="s">
        <v>2340</v>
      </c>
      <c r="F4091" s="5" t="s">
        <v>16</v>
      </c>
      <c r="G4091" s="5" t="s">
        <v>84</v>
      </c>
      <c r="H4091" s="5"/>
      <c r="I4091" s="5"/>
      <c r="J4091" s="5" t="s">
        <v>19</v>
      </c>
      <c r="K4091" s="5"/>
      <c r="L4091" s="5"/>
    </row>
    <row r="4092" customFormat="false" ht="15.65" hidden="false" customHeight="true" outlineLevel="0" collapsed="false">
      <c r="A4092" s="2" t="str">
        <f aca="false">HYPERLINK("https://www.fabsurplus.com/sdi_catalog/salesItemDetails.do?id=103605")</f>
        <v>https://www.fabsurplus.com/sdi_catalog/salesItemDetails.do?id=103605</v>
      </c>
      <c r="B4092" s="2" t="s">
        <v>11661</v>
      </c>
      <c r="C4092" s="2" t="s">
        <v>11410</v>
      </c>
      <c r="D4092" s="2" t="s">
        <v>11608</v>
      </c>
      <c r="E4092" s="2" t="s">
        <v>11615</v>
      </c>
      <c r="F4092" s="2" t="s">
        <v>16</v>
      </c>
      <c r="G4092" s="2" t="s">
        <v>61</v>
      </c>
      <c r="H4092" s="2"/>
      <c r="I4092" s="2"/>
      <c r="J4092" s="2" t="s">
        <v>19</v>
      </c>
      <c r="K4092" s="2"/>
      <c r="L4092" s="4" t="s">
        <v>1682</v>
      </c>
    </row>
    <row r="4093" customFormat="false" ht="15.65" hidden="false" customHeight="true" outlineLevel="0" collapsed="false">
      <c r="A4093" s="5" t="str">
        <f aca="false">HYPERLINK("https://www.fabsurplus.com/sdi_catalog/salesItemDetails.do?id=109237")</f>
        <v>https://www.fabsurplus.com/sdi_catalog/salesItemDetails.do?id=109237</v>
      </c>
      <c r="B4093" s="5" t="s">
        <v>11662</v>
      </c>
      <c r="C4093" s="5" t="s">
        <v>11427</v>
      </c>
      <c r="D4093" s="5" t="s">
        <v>11660</v>
      </c>
      <c r="E4093" s="5" t="s">
        <v>2340</v>
      </c>
      <c r="F4093" s="5" t="s">
        <v>16</v>
      </c>
      <c r="G4093" s="5" t="s">
        <v>84</v>
      </c>
      <c r="H4093" s="5"/>
      <c r="I4093" s="5"/>
      <c r="J4093" s="5" t="s">
        <v>19</v>
      </c>
      <c r="K4093" s="5"/>
      <c r="L4093" s="5"/>
    </row>
    <row r="4094" customFormat="false" ht="15.65" hidden="false" customHeight="true" outlineLevel="0" collapsed="false">
      <c r="A4094" s="2" t="str">
        <f aca="false">HYPERLINK("https://www.fabsurplus.com/sdi_catalog/salesItemDetails.do?id=103606")</f>
        <v>https://www.fabsurplus.com/sdi_catalog/salesItemDetails.do?id=103606</v>
      </c>
      <c r="B4094" s="2" t="s">
        <v>11663</v>
      </c>
      <c r="C4094" s="2" t="s">
        <v>11410</v>
      </c>
      <c r="D4094" s="2" t="s">
        <v>11608</v>
      </c>
      <c r="E4094" s="2" t="s">
        <v>11615</v>
      </c>
      <c r="F4094" s="2" t="s">
        <v>16</v>
      </c>
      <c r="G4094" s="2" t="s">
        <v>61</v>
      </c>
      <c r="H4094" s="2"/>
      <c r="I4094" s="2"/>
      <c r="J4094" s="2" t="s">
        <v>19</v>
      </c>
      <c r="K4094" s="2"/>
      <c r="L4094" s="4" t="s">
        <v>1682</v>
      </c>
    </row>
    <row r="4095" customFormat="false" ht="15.65" hidden="false" customHeight="true" outlineLevel="0" collapsed="false">
      <c r="A4095" s="5" t="str">
        <f aca="false">HYPERLINK("https://www.fabsurplus.com/sdi_catalog/salesItemDetails.do?id=109238")</f>
        <v>https://www.fabsurplus.com/sdi_catalog/salesItemDetails.do?id=109238</v>
      </c>
      <c r="B4095" s="5" t="s">
        <v>11664</v>
      </c>
      <c r="C4095" s="5" t="s">
        <v>11427</v>
      </c>
      <c r="D4095" s="5" t="s">
        <v>11660</v>
      </c>
      <c r="E4095" s="5" t="s">
        <v>2340</v>
      </c>
      <c r="F4095" s="5" t="s">
        <v>16</v>
      </c>
      <c r="G4095" s="5" t="s">
        <v>84</v>
      </c>
      <c r="H4095" s="5"/>
      <c r="I4095" s="5"/>
      <c r="J4095" s="5" t="s">
        <v>19</v>
      </c>
      <c r="K4095" s="5"/>
      <c r="L4095" s="5"/>
    </row>
    <row r="4096" customFormat="false" ht="15.65" hidden="false" customHeight="true" outlineLevel="0" collapsed="false">
      <c r="A4096" s="2" t="str">
        <f aca="false">HYPERLINK("https://www.fabsurplus.com/sdi_catalog/salesItemDetails.do?id=109239")</f>
        <v>https://www.fabsurplus.com/sdi_catalog/salesItemDetails.do?id=109239</v>
      </c>
      <c r="B4096" s="2" t="s">
        <v>11665</v>
      </c>
      <c r="C4096" s="2" t="s">
        <v>11427</v>
      </c>
      <c r="D4096" s="2" t="s">
        <v>11660</v>
      </c>
      <c r="E4096" s="2" t="s">
        <v>2340</v>
      </c>
      <c r="F4096" s="2" t="s">
        <v>16</v>
      </c>
      <c r="G4096" s="2" t="s">
        <v>84</v>
      </c>
      <c r="H4096" s="2"/>
      <c r="I4096" s="2"/>
      <c r="J4096" s="2" t="s">
        <v>19</v>
      </c>
      <c r="K4096" s="2"/>
      <c r="L4096" s="2"/>
    </row>
    <row r="4097" customFormat="false" ht="15.65" hidden="false" customHeight="true" outlineLevel="0" collapsed="false">
      <c r="A4097" s="5" t="str">
        <f aca="false">HYPERLINK("https://www.fabsurplus.com/sdi_catalog/salesItemDetails.do?id=109240")</f>
        <v>https://www.fabsurplus.com/sdi_catalog/salesItemDetails.do?id=109240</v>
      </c>
      <c r="B4097" s="5" t="s">
        <v>11666</v>
      </c>
      <c r="C4097" s="5" t="s">
        <v>11427</v>
      </c>
      <c r="D4097" s="5" t="s">
        <v>11660</v>
      </c>
      <c r="E4097" s="5" t="s">
        <v>2340</v>
      </c>
      <c r="F4097" s="5" t="s">
        <v>16</v>
      </c>
      <c r="G4097" s="5" t="s">
        <v>84</v>
      </c>
      <c r="H4097" s="5"/>
      <c r="I4097" s="5"/>
      <c r="J4097" s="5" t="s">
        <v>19</v>
      </c>
      <c r="K4097" s="5"/>
      <c r="L4097" s="5"/>
    </row>
    <row r="4098" customFormat="false" ht="15.65" hidden="false" customHeight="true" outlineLevel="0" collapsed="false">
      <c r="A4098" s="2" t="str">
        <f aca="false">HYPERLINK("https://www.fabsurplus.com/sdi_catalog/salesItemDetails.do?id=109241")</f>
        <v>https://www.fabsurplus.com/sdi_catalog/salesItemDetails.do?id=109241</v>
      </c>
      <c r="B4098" s="2" t="s">
        <v>11667</v>
      </c>
      <c r="C4098" s="2" t="s">
        <v>11427</v>
      </c>
      <c r="D4098" s="2" t="s">
        <v>11660</v>
      </c>
      <c r="E4098" s="2" t="s">
        <v>2340</v>
      </c>
      <c r="F4098" s="2" t="s">
        <v>16</v>
      </c>
      <c r="G4098" s="2" t="s">
        <v>84</v>
      </c>
      <c r="H4098" s="2"/>
      <c r="I4098" s="2"/>
      <c r="J4098" s="2" t="s">
        <v>19</v>
      </c>
      <c r="K4098" s="2"/>
      <c r="L4098" s="2"/>
    </row>
    <row r="4099" customFormat="false" ht="15.65" hidden="false" customHeight="true" outlineLevel="0" collapsed="false">
      <c r="A4099" s="5" t="str">
        <f aca="false">HYPERLINK("https://www.fabsurplus.com/sdi_catalog/salesItemDetails.do?id=109242")</f>
        <v>https://www.fabsurplus.com/sdi_catalog/salesItemDetails.do?id=109242</v>
      </c>
      <c r="B4099" s="5" t="s">
        <v>11668</v>
      </c>
      <c r="C4099" s="5" t="s">
        <v>11427</v>
      </c>
      <c r="D4099" s="5" t="s">
        <v>11669</v>
      </c>
      <c r="E4099" s="5" t="s">
        <v>2340</v>
      </c>
      <c r="F4099" s="5" t="s">
        <v>16</v>
      </c>
      <c r="G4099" s="5" t="s">
        <v>84</v>
      </c>
      <c r="H4099" s="5"/>
      <c r="I4099" s="5"/>
      <c r="J4099" s="5" t="s">
        <v>19</v>
      </c>
      <c r="K4099" s="5"/>
      <c r="L4099" s="5"/>
    </row>
    <row r="4100" customFormat="false" ht="15.65" hidden="false" customHeight="true" outlineLevel="0" collapsed="false">
      <c r="A4100" s="2" t="str">
        <f aca="false">HYPERLINK("https://www.fabsurplus.com/sdi_catalog/salesItemDetails.do?id=103611")</f>
        <v>https://www.fabsurplus.com/sdi_catalog/salesItemDetails.do?id=103611</v>
      </c>
      <c r="B4100" s="2" t="s">
        <v>11670</v>
      </c>
      <c r="C4100" s="2" t="s">
        <v>11410</v>
      </c>
      <c r="D4100" s="2" t="s">
        <v>11411</v>
      </c>
      <c r="E4100" s="2" t="s">
        <v>11671</v>
      </c>
      <c r="F4100" s="2" t="s">
        <v>16</v>
      </c>
      <c r="G4100" s="2" t="s">
        <v>61</v>
      </c>
      <c r="H4100" s="2"/>
      <c r="I4100" s="2"/>
      <c r="J4100" s="2" t="s">
        <v>19</v>
      </c>
      <c r="K4100" s="2"/>
      <c r="L4100" s="4" t="s">
        <v>1682</v>
      </c>
    </row>
    <row r="4101" customFormat="false" ht="15.65" hidden="false" customHeight="true" outlineLevel="0" collapsed="false">
      <c r="A4101" s="5" t="str">
        <f aca="false">HYPERLINK("https://www.fabsurplus.com/sdi_catalog/salesItemDetails.do?id=109243")</f>
        <v>https://www.fabsurplus.com/sdi_catalog/salesItemDetails.do?id=109243</v>
      </c>
      <c r="B4101" s="5" t="s">
        <v>11672</v>
      </c>
      <c r="C4101" s="5" t="s">
        <v>11427</v>
      </c>
      <c r="D4101" s="5" t="s">
        <v>11669</v>
      </c>
      <c r="E4101" s="5" t="s">
        <v>2340</v>
      </c>
      <c r="F4101" s="5" t="s">
        <v>16</v>
      </c>
      <c r="G4101" s="5" t="s">
        <v>84</v>
      </c>
      <c r="H4101" s="5"/>
      <c r="I4101" s="5"/>
      <c r="J4101" s="5" t="s">
        <v>19</v>
      </c>
      <c r="K4101" s="5"/>
      <c r="L4101" s="5"/>
    </row>
    <row r="4102" customFormat="false" ht="15.65" hidden="false" customHeight="true" outlineLevel="0" collapsed="false">
      <c r="A4102" s="2" t="str">
        <f aca="false">HYPERLINK("https://www.fabsurplus.com/sdi_catalog/salesItemDetails.do?id=103612")</f>
        <v>https://www.fabsurplus.com/sdi_catalog/salesItemDetails.do?id=103612</v>
      </c>
      <c r="B4102" s="2" t="s">
        <v>11673</v>
      </c>
      <c r="C4102" s="2" t="s">
        <v>11410</v>
      </c>
      <c r="D4102" s="2" t="s">
        <v>11411</v>
      </c>
      <c r="E4102" s="2" t="s">
        <v>11671</v>
      </c>
      <c r="F4102" s="2" t="s">
        <v>16</v>
      </c>
      <c r="G4102" s="2" t="s">
        <v>61</v>
      </c>
      <c r="H4102" s="2"/>
      <c r="I4102" s="3" t="n">
        <v>40694.9166666667</v>
      </c>
      <c r="J4102" s="2" t="s">
        <v>19</v>
      </c>
      <c r="K4102" s="2"/>
      <c r="L4102" s="4" t="s">
        <v>1682</v>
      </c>
    </row>
    <row r="4103" customFormat="false" ht="15.65" hidden="false" customHeight="true" outlineLevel="0" collapsed="false">
      <c r="A4103" s="5" t="str">
        <f aca="false">HYPERLINK("https://www.fabsurplus.com/sdi_catalog/salesItemDetails.do?id=109244")</f>
        <v>https://www.fabsurplus.com/sdi_catalog/salesItemDetails.do?id=109244</v>
      </c>
      <c r="B4103" s="5" t="s">
        <v>11674</v>
      </c>
      <c r="C4103" s="5" t="s">
        <v>11427</v>
      </c>
      <c r="D4103" s="5" t="s">
        <v>11675</v>
      </c>
      <c r="E4103" s="5" t="s">
        <v>11676</v>
      </c>
      <c r="F4103" s="5" t="s">
        <v>16</v>
      </c>
      <c r="G4103" s="5" t="s">
        <v>84</v>
      </c>
      <c r="H4103" s="5"/>
      <c r="I4103" s="5"/>
      <c r="J4103" s="5" t="s">
        <v>19</v>
      </c>
      <c r="K4103" s="5"/>
      <c r="L4103" s="5"/>
    </row>
    <row r="4104" customFormat="false" ht="15.65" hidden="false" customHeight="true" outlineLevel="0" collapsed="false">
      <c r="A4104" s="2" t="str">
        <f aca="false">HYPERLINK("https://www.fabsurplus.com/sdi_catalog/salesItemDetails.do?id=103613")</f>
        <v>https://www.fabsurplus.com/sdi_catalog/salesItemDetails.do?id=103613</v>
      </c>
      <c r="B4104" s="2" t="s">
        <v>11677</v>
      </c>
      <c r="C4104" s="2" t="s">
        <v>11410</v>
      </c>
      <c r="D4104" s="2" t="s">
        <v>11678</v>
      </c>
      <c r="E4104" s="2" t="s">
        <v>11679</v>
      </c>
      <c r="F4104" s="2" t="s">
        <v>16</v>
      </c>
      <c r="G4104" s="2" t="s">
        <v>61</v>
      </c>
      <c r="H4104" s="2"/>
      <c r="I4104" s="2"/>
      <c r="J4104" s="2" t="s">
        <v>19</v>
      </c>
      <c r="K4104" s="2"/>
      <c r="L4104" s="4" t="s">
        <v>1682</v>
      </c>
    </row>
    <row r="4105" customFormat="false" ht="15.65" hidden="false" customHeight="true" outlineLevel="0" collapsed="false">
      <c r="A4105" s="5" t="str">
        <f aca="false">HYPERLINK("https://www.fabsurplus.com/sdi_catalog/salesItemDetails.do?id=109245")</f>
        <v>https://www.fabsurplus.com/sdi_catalog/salesItemDetails.do?id=109245</v>
      </c>
      <c r="B4105" s="5" t="s">
        <v>11680</v>
      </c>
      <c r="C4105" s="5" t="s">
        <v>11427</v>
      </c>
      <c r="D4105" s="5" t="s">
        <v>11675</v>
      </c>
      <c r="E4105" s="5" t="s">
        <v>11681</v>
      </c>
      <c r="F4105" s="5" t="s">
        <v>16</v>
      </c>
      <c r="G4105" s="5" t="s">
        <v>84</v>
      </c>
      <c r="H4105" s="5"/>
      <c r="I4105" s="5"/>
      <c r="J4105" s="5" t="s">
        <v>19</v>
      </c>
      <c r="K4105" s="5"/>
      <c r="L4105" s="5"/>
    </row>
    <row r="4106" customFormat="false" ht="15.65" hidden="false" customHeight="true" outlineLevel="0" collapsed="false">
      <c r="A4106" s="2" t="str">
        <f aca="false">HYPERLINK("https://www.fabsurplus.com/sdi_catalog/salesItemDetails.do?id=103614")</f>
        <v>https://www.fabsurplus.com/sdi_catalog/salesItemDetails.do?id=103614</v>
      </c>
      <c r="B4106" s="2" t="s">
        <v>11682</v>
      </c>
      <c r="C4106" s="2" t="s">
        <v>11410</v>
      </c>
      <c r="D4106" s="2" t="s">
        <v>11414</v>
      </c>
      <c r="E4106" s="2" t="s">
        <v>11671</v>
      </c>
      <c r="F4106" s="2" t="s">
        <v>16</v>
      </c>
      <c r="G4106" s="2" t="s">
        <v>61</v>
      </c>
      <c r="H4106" s="2"/>
      <c r="I4106" s="3" t="n">
        <v>41790.9166666667</v>
      </c>
      <c r="J4106" s="2" t="s">
        <v>19</v>
      </c>
      <c r="K4106" s="2"/>
      <c r="L4106" s="4" t="s">
        <v>1682</v>
      </c>
    </row>
    <row r="4107" customFormat="false" ht="15.65" hidden="false" customHeight="true" outlineLevel="0" collapsed="false">
      <c r="A4107" s="5" t="str">
        <f aca="false">HYPERLINK("https://www.fabsurplus.com/sdi_catalog/salesItemDetails.do?id=109246")</f>
        <v>https://www.fabsurplus.com/sdi_catalog/salesItemDetails.do?id=109246</v>
      </c>
      <c r="B4107" s="5" t="s">
        <v>11683</v>
      </c>
      <c r="C4107" s="5" t="s">
        <v>11427</v>
      </c>
      <c r="D4107" s="5" t="s">
        <v>11684</v>
      </c>
      <c r="E4107" s="5" t="s">
        <v>11685</v>
      </c>
      <c r="F4107" s="5" t="s">
        <v>16</v>
      </c>
      <c r="G4107" s="5" t="s">
        <v>84</v>
      </c>
      <c r="H4107" s="5"/>
      <c r="I4107" s="5"/>
      <c r="J4107" s="5" t="s">
        <v>19</v>
      </c>
      <c r="K4107" s="5"/>
      <c r="L4107" s="5"/>
    </row>
    <row r="4108" customFormat="false" ht="15.65" hidden="false" customHeight="true" outlineLevel="0" collapsed="false">
      <c r="A4108" s="2" t="str">
        <f aca="false">HYPERLINK("https://www.fabsurplus.com/sdi_catalog/salesItemDetails.do?id=103615")</f>
        <v>https://www.fabsurplus.com/sdi_catalog/salesItemDetails.do?id=103615</v>
      </c>
      <c r="B4108" s="2" t="s">
        <v>11686</v>
      </c>
      <c r="C4108" s="2" t="s">
        <v>11410</v>
      </c>
      <c r="D4108" s="2" t="s">
        <v>11414</v>
      </c>
      <c r="E4108" s="2" t="s">
        <v>11671</v>
      </c>
      <c r="F4108" s="2" t="s">
        <v>16</v>
      </c>
      <c r="G4108" s="2" t="s">
        <v>61</v>
      </c>
      <c r="H4108" s="2"/>
      <c r="I4108" s="2"/>
      <c r="J4108" s="2" t="s">
        <v>19</v>
      </c>
      <c r="K4108" s="2"/>
      <c r="L4108" s="4" t="s">
        <v>1682</v>
      </c>
    </row>
    <row r="4109" customFormat="false" ht="15.65" hidden="false" customHeight="true" outlineLevel="0" collapsed="false">
      <c r="A4109" s="5" t="str">
        <f aca="false">HYPERLINK("https://www.fabsurplus.com/sdi_catalog/salesItemDetails.do?id=109247")</f>
        <v>https://www.fabsurplus.com/sdi_catalog/salesItemDetails.do?id=109247</v>
      </c>
      <c r="B4109" s="5" t="s">
        <v>11687</v>
      </c>
      <c r="C4109" s="5" t="s">
        <v>11427</v>
      </c>
      <c r="D4109" s="5" t="s">
        <v>11684</v>
      </c>
      <c r="E4109" s="5" t="s">
        <v>11676</v>
      </c>
      <c r="F4109" s="5" t="s">
        <v>16</v>
      </c>
      <c r="G4109" s="5" t="s">
        <v>84</v>
      </c>
      <c r="H4109" s="5"/>
      <c r="I4109" s="5"/>
      <c r="J4109" s="5" t="s">
        <v>19</v>
      </c>
      <c r="K4109" s="5"/>
      <c r="L4109" s="5"/>
    </row>
    <row r="4110" customFormat="false" ht="15.65" hidden="false" customHeight="true" outlineLevel="0" collapsed="false">
      <c r="A4110" s="2" t="str">
        <f aca="false">HYPERLINK("https://www.fabsurplus.com/sdi_catalog/salesItemDetails.do?id=103616")</f>
        <v>https://www.fabsurplus.com/sdi_catalog/salesItemDetails.do?id=103616</v>
      </c>
      <c r="B4110" s="2" t="s">
        <v>11688</v>
      </c>
      <c r="C4110" s="2" t="s">
        <v>11410</v>
      </c>
      <c r="D4110" s="2" t="s">
        <v>11414</v>
      </c>
      <c r="E4110" s="2" t="s">
        <v>11671</v>
      </c>
      <c r="F4110" s="2" t="s">
        <v>16</v>
      </c>
      <c r="G4110" s="2" t="s">
        <v>61</v>
      </c>
      <c r="H4110" s="2"/>
      <c r="I4110" s="2"/>
      <c r="J4110" s="2" t="s">
        <v>19</v>
      </c>
      <c r="K4110" s="2"/>
      <c r="L4110" s="4" t="s">
        <v>1682</v>
      </c>
    </row>
    <row r="4111" customFormat="false" ht="15.65" hidden="false" customHeight="true" outlineLevel="0" collapsed="false">
      <c r="A4111" s="5" t="str">
        <f aca="false">HYPERLINK("https://www.fabsurplus.com/sdi_catalog/salesItemDetails.do?id=109248")</f>
        <v>https://www.fabsurplus.com/sdi_catalog/salesItemDetails.do?id=109248</v>
      </c>
      <c r="B4111" s="5" t="s">
        <v>11689</v>
      </c>
      <c r="C4111" s="5" t="s">
        <v>11427</v>
      </c>
      <c r="D4111" s="5" t="s">
        <v>11684</v>
      </c>
      <c r="E4111" s="5" t="s">
        <v>11676</v>
      </c>
      <c r="F4111" s="5" t="s">
        <v>16</v>
      </c>
      <c r="G4111" s="5" t="s">
        <v>84</v>
      </c>
      <c r="H4111" s="5"/>
      <c r="I4111" s="5"/>
      <c r="J4111" s="5" t="s">
        <v>19</v>
      </c>
      <c r="K4111" s="5"/>
      <c r="L4111" s="5"/>
    </row>
    <row r="4112" customFormat="false" ht="15.65" hidden="false" customHeight="true" outlineLevel="0" collapsed="false">
      <c r="A4112" s="2" t="str">
        <f aca="false">HYPERLINK("https://www.fabsurplus.com/sdi_catalog/salesItemDetails.do?id=103617")</f>
        <v>https://www.fabsurplus.com/sdi_catalog/salesItemDetails.do?id=103617</v>
      </c>
      <c r="B4112" s="2" t="s">
        <v>11690</v>
      </c>
      <c r="C4112" s="2" t="s">
        <v>11410</v>
      </c>
      <c r="D4112" s="2" t="s">
        <v>11414</v>
      </c>
      <c r="E4112" s="2" t="s">
        <v>11671</v>
      </c>
      <c r="F4112" s="2" t="s">
        <v>16</v>
      </c>
      <c r="G4112" s="2" t="s">
        <v>61</v>
      </c>
      <c r="H4112" s="2"/>
      <c r="I4112" s="2"/>
      <c r="J4112" s="2" t="s">
        <v>19</v>
      </c>
      <c r="K4112" s="2"/>
      <c r="L4112" s="4" t="s">
        <v>1682</v>
      </c>
    </row>
    <row r="4113" customFormat="false" ht="15.65" hidden="false" customHeight="true" outlineLevel="0" collapsed="false">
      <c r="A4113" s="5" t="str">
        <f aca="false">HYPERLINK("https://www.fabsurplus.com/sdi_catalog/salesItemDetails.do?id=109249")</f>
        <v>https://www.fabsurplus.com/sdi_catalog/salesItemDetails.do?id=109249</v>
      </c>
      <c r="B4113" s="5" t="s">
        <v>11691</v>
      </c>
      <c r="C4113" s="5" t="s">
        <v>11427</v>
      </c>
      <c r="D4113" s="5" t="s">
        <v>11692</v>
      </c>
      <c r="E4113" s="5" t="s">
        <v>11676</v>
      </c>
      <c r="F4113" s="5" t="s">
        <v>16</v>
      </c>
      <c r="G4113" s="5" t="s">
        <v>84</v>
      </c>
      <c r="H4113" s="5"/>
      <c r="I4113" s="5"/>
      <c r="J4113" s="5" t="s">
        <v>19</v>
      </c>
      <c r="K4113" s="5"/>
      <c r="L4113" s="5"/>
    </row>
    <row r="4114" customFormat="false" ht="15.65" hidden="false" customHeight="true" outlineLevel="0" collapsed="false">
      <c r="A4114" s="2" t="str">
        <f aca="false">HYPERLINK("https://www.fabsurplus.com/sdi_catalog/salesItemDetails.do?id=109250")</f>
        <v>https://www.fabsurplus.com/sdi_catalog/salesItemDetails.do?id=109250</v>
      </c>
      <c r="B4114" s="2" t="s">
        <v>11693</v>
      </c>
      <c r="C4114" s="2" t="s">
        <v>11427</v>
      </c>
      <c r="D4114" s="2" t="s">
        <v>11694</v>
      </c>
      <c r="E4114" s="2" t="s">
        <v>11695</v>
      </c>
      <c r="F4114" s="2" t="s">
        <v>16</v>
      </c>
      <c r="G4114" s="2" t="s">
        <v>84</v>
      </c>
      <c r="H4114" s="2"/>
      <c r="I4114" s="2"/>
      <c r="J4114" s="2" t="s">
        <v>19</v>
      </c>
      <c r="K4114" s="2"/>
      <c r="L4114" s="2"/>
    </row>
    <row r="4115" customFormat="false" ht="15.65" hidden="false" customHeight="true" outlineLevel="0" collapsed="false">
      <c r="A4115" s="5" t="str">
        <f aca="false">HYPERLINK("https://www.fabsurplus.com/sdi_catalog/salesItemDetails.do?id=109251")</f>
        <v>https://www.fabsurplus.com/sdi_catalog/salesItemDetails.do?id=109251</v>
      </c>
      <c r="B4115" s="5" t="s">
        <v>11696</v>
      </c>
      <c r="C4115" s="5" t="s">
        <v>11427</v>
      </c>
      <c r="D4115" s="5" t="s">
        <v>11694</v>
      </c>
      <c r="E4115" s="5" t="s">
        <v>11695</v>
      </c>
      <c r="F4115" s="5" t="s">
        <v>16</v>
      </c>
      <c r="G4115" s="5" t="s">
        <v>84</v>
      </c>
      <c r="H4115" s="5"/>
      <c r="I4115" s="5"/>
      <c r="J4115" s="5" t="s">
        <v>19</v>
      </c>
      <c r="K4115" s="5"/>
      <c r="L4115" s="5"/>
    </row>
    <row r="4116" customFormat="false" ht="15.65" hidden="false" customHeight="true" outlineLevel="0" collapsed="false">
      <c r="A4116" s="2" t="str">
        <f aca="false">HYPERLINK("https://www.fabsurplus.com/sdi_catalog/salesItemDetails.do?id=109252")</f>
        <v>https://www.fabsurplus.com/sdi_catalog/salesItemDetails.do?id=109252</v>
      </c>
      <c r="B4116" s="2" t="s">
        <v>11697</v>
      </c>
      <c r="C4116" s="2" t="s">
        <v>11427</v>
      </c>
      <c r="D4116" s="2" t="s">
        <v>11694</v>
      </c>
      <c r="E4116" s="2" t="s">
        <v>11695</v>
      </c>
      <c r="F4116" s="2" t="s">
        <v>16</v>
      </c>
      <c r="G4116" s="2" t="s">
        <v>84</v>
      </c>
      <c r="H4116" s="2"/>
      <c r="I4116" s="2"/>
      <c r="J4116" s="2" t="s">
        <v>19</v>
      </c>
      <c r="K4116" s="2"/>
      <c r="L4116" s="2"/>
    </row>
    <row r="4117" customFormat="false" ht="15.65" hidden="false" customHeight="true" outlineLevel="0" collapsed="false">
      <c r="A4117" s="5" t="str">
        <f aca="false">HYPERLINK("https://www.fabsurplus.com/sdi_catalog/salesItemDetails.do?id=109253")</f>
        <v>https://www.fabsurplus.com/sdi_catalog/salesItemDetails.do?id=109253</v>
      </c>
      <c r="B4117" s="5" t="s">
        <v>11698</v>
      </c>
      <c r="C4117" s="5" t="s">
        <v>11427</v>
      </c>
      <c r="D4117" s="5" t="s">
        <v>11694</v>
      </c>
      <c r="E4117" s="5" t="s">
        <v>11695</v>
      </c>
      <c r="F4117" s="5" t="s">
        <v>16</v>
      </c>
      <c r="G4117" s="5" t="s">
        <v>84</v>
      </c>
      <c r="H4117" s="5"/>
      <c r="I4117" s="5"/>
      <c r="J4117" s="5" t="s">
        <v>19</v>
      </c>
      <c r="K4117" s="5"/>
      <c r="L4117" s="5"/>
    </row>
    <row r="4118" customFormat="false" ht="15.65" hidden="false" customHeight="true" outlineLevel="0" collapsed="false">
      <c r="A4118" s="2" t="str">
        <f aca="false">HYPERLINK("https://www.fabsurplus.com/sdi_catalog/salesItemDetails.do?id=103622")</f>
        <v>https://www.fabsurplus.com/sdi_catalog/salesItemDetails.do?id=103622</v>
      </c>
      <c r="B4118" s="2" t="s">
        <v>11699</v>
      </c>
      <c r="C4118" s="2" t="s">
        <v>11410</v>
      </c>
      <c r="D4118" s="2" t="s">
        <v>11651</v>
      </c>
      <c r="E4118" s="2" t="s">
        <v>11700</v>
      </c>
      <c r="F4118" s="2" t="s">
        <v>16</v>
      </c>
      <c r="G4118" s="2" t="s">
        <v>61</v>
      </c>
      <c r="H4118" s="2"/>
      <c r="I4118" s="3" t="n">
        <v>38868.9166666667</v>
      </c>
      <c r="J4118" s="2" t="s">
        <v>19</v>
      </c>
      <c r="K4118" s="2"/>
      <c r="L4118" s="4" t="s">
        <v>1682</v>
      </c>
    </row>
    <row r="4119" customFormat="false" ht="15.65" hidden="false" customHeight="true" outlineLevel="0" collapsed="false">
      <c r="A4119" s="5" t="str">
        <f aca="false">HYPERLINK("https://www.fabsurplus.com/sdi_catalog/salesItemDetails.do?id=109254")</f>
        <v>https://www.fabsurplus.com/sdi_catalog/salesItemDetails.do?id=109254</v>
      </c>
      <c r="B4119" s="5" t="s">
        <v>11701</v>
      </c>
      <c r="C4119" s="5" t="s">
        <v>11427</v>
      </c>
      <c r="D4119" s="5" t="s">
        <v>11432</v>
      </c>
      <c r="E4119" s="5" t="s">
        <v>1778</v>
      </c>
      <c r="F4119" s="5" t="s">
        <v>16</v>
      </c>
      <c r="G4119" s="5" t="s">
        <v>84</v>
      </c>
      <c r="H4119" s="5"/>
      <c r="I4119" s="5"/>
      <c r="J4119" s="5" t="s">
        <v>19</v>
      </c>
      <c r="K4119" s="5"/>
      <c r="L4119" s="5"/>
    </row>
    <row r="4120" customFormat="false" ht="15.65" hidden="false" customHeight="true" outlineLevel="0" collapsed="false">
      <c r="A4120" s="2" t="str">
        <f aca="false">HYPERLINK("https://www.fabsurplus.com/sdi_catalog/salesItemDetails.do?id=103623")</f>
        <v>https://www.fabsurplus.com/sdi_catalog/salesItemDetails.do?id=103623</v>
      </c>
      <c r="B4120" s="2" t="s">
        <v>11702</v>
      </c>
      <c r="C4120" s="2" t="s">
        <v>11410</v>
      </c>
      <c r="D4120" s="2" t="s">
        <v>11651</v>
      </c>
      <c r="E4120" s="2" t="s">
        <v>11703</v>
      </c>
      <c r="F4120" s="2" t="s">
        <v>16</v>
      </c>
      <c r="G4120" s="2" t="s">
        <v>61</v>
      </c>
      <c r="H4120" s="2"/>
      <c r="I4120" s="3" t="n">
        <v>38868.9166666667</v>
      </c>
      <c r="J4120" s="2" t="s">
        <v>19</v>
      </c>
      <c r="K4120" s="2"/>
      <c r="L4120" s="4" t="s">
        <v>1682</v>
      </c>
    </row>
    <row r="4121" customFormat="false" ht="15.65" hidden="false" customHeight="true" outlineLevel="0" collapsed="false">
      <c r="A4121" s="5" t="str">
        <f aca="false">HYPERLINK("https://www.fabsurplus.com/sdi_catalog/salesItemDetails.do?id=109255")</f>
        <v>https://www.fabsurplus.com/sdi_catalog/salesItemDetails.do?id=109255</v>
      </c>
      <c r="B4121" s="5" t="s">
        <v>11704</v>
      </c>
      <c r="C4121" s="5" t="s">
        <v>11427</v>
      </c>
      <c r="D4121" s="5" t="s">
        <v>11705</v>
      </c>
      <c r="E4121" s="5" t="s">
        <v>1778</v>
      </c>
      <c r="F4121" s="5" t="s">
        <v>16</v>
      </c>
      <c r="G4121" s="5" t="s">
        <v>84</v>
      </c>
      <c r="H4121" s="5"/>
      <c r="I4121" s="5"/>
      <c r="J4121" s="5" t="s">
        <v>19</v>
      </c>
      <c r="K4121" s="5"/>
      <c r="L4121" s="5"/>
    </row>
    <row r="4122" customFormat="false" ht="15.65" hidden="false" customHeight="true" outlineLevel="0" collapsed="false">
      <c r="A4122" s="2" t="str">
        <f aca="false">HYPERLINK("https://www.fabsurplus.com/sdi_catalog/salesItemDetails.do?id=103624")</f>
        <v>https://www.fabsurplus.com/sdi_catalog/salesItemDetails.do?id=103624</v>
      </c>
      <c r="B4122" s="2" t="s">
        <v>11706</v>
      </c>
      <c r="C4122" s="2" t="s">
        <v>11410</v>
      </c>
      <c r="D4122" s="2" t="s">
        <v>11651</v>
      </c>
      <c r="E4122" s="2" t="s">
        <v>11700</v>
      </c>
      <c r="F4122" s="2" t="s">
        <v>16</v>
      </c>
      <c r="G4122" s="2" t="s">
        <v>61</v>
      </c>
      <c r="H4122" s="2"/>
      <c r="I4122" s="3" t="n">
        <v>38138.9166666667</v>
      </c>
      <c r="J4122" s="2" t="s">
        <v>19</v>
      </c>
      <c r="K4122" s="2"/>
      <c r="L4122" s="4" t="s">
        <v>1682</v>
      </c>
    </row>
    <row r="4123" customFormat="false" ht="15.65" hidden="false" customHeight="true" outlineLevel="0" collapsed="false">
      <c r="A4123" s="5" t="str">
        <f aca="false">HYPERLINK("https://www.fabsurplus.com/sdi_catalog/salesItemDetails.do?id=109256")</f>
        <v>https://www.fabsurplus.com/sdi_catalog/salesItemDetails.do?id=109256</v>
      </c>
      <c r="B4123" s="5" t="s">
        <v>11707</v>
      </c>
      <c r="C4123" s="5" t="s">
        <v>11427</v>
      </c>
      <c r="D4123" s="5" t="s">
        <v>11708</v>
      </c>
      <c r="E4123" s="5" t="s">
        <v>1785</v>
      </c>
      <c r="F4123" s="5" t="s">
        <v>16</v>
      </c>
      <c r="G4123" s="5" t="s">
        <v>84</v>
      </c>
      <c r="H4123" s="5"/>
      <c r="I4123" s="5"/>
      <c r="J4123" s="5" t="s">
        <v>19</v>
      </c>
      <c r="K4123" s="5"/>
      <c r="L4123" s="5"/>
    </row>
    <row r="4124" customFormat="false" ht="15.65" hidden="false" customHeight="true" outlineLevel="0" collapsed="false">
      <c r="A4124" s="2" t="str">
        <f aca="false">HYPERLINK("https://www.fabsurplus.com/sdi_catalog/salesItemDetails.do?id=109257")</f>
        <v>https://www.fabsurplus.com/sdi_catalog/salesItemDetails.do?id=109257</v>
      </c>
      <c r="B4124" s="2" t="s">
        <v>11709</v>
      </c>
      <c r="C4124" s="2" t="s">
        <v>11427</v>
      </c>
      <c r="D4124" s="2" t="s">
        <v>11710</v>
      </c>
      <c r="E4124" s="2" t="s">
        <v>1732</v>
      </c>
      <c r="F4124" s="2" t="s">
        <v>16</v>
      </c>
      <c r="G4124" s="2" t="s">
        <v>84</v>
      </c>
      <c r="H4124" s="2"/>
      <c r="I4124" s="2"/>
      <c r="J4124" s="2" t="s">
        <v>19</v>
      </c>
      <c r="K4124" s="2"/>
      <c r="L4124" s="2"/>
    </row>
    <row r="4125" customFormat="false" ht="15.65" hidden="false" customHeight="true" outlineLevel="0" collapsed="false">
      <c r="A4125" s="5" t="str">
        <f aca="false">HYPERLINK("https://www.fabsurplus.com/sdi_catalog/salesItemDetails.do?id=18890")</f>
        <v>https://www.fabsurplus.com/sdi_catalog/salesItemDetails.do?id=18890</v>
      </c>
      <c r="B4125" s="5" t="s">
        <v>11711</v>
      </c>
      <c r="C4125" s="5" t="s">
        <v>11427</v>
      </c>
      <c r="D4125" s="5" t="s">
        <v>11712</v>
      </c>
      <c r="E4125" s="5" t="s">
        <v>11713</v>
      </c>
      <c r="F4125" s="5" t="s">
        <v>16</v>
      </c>
      <c r="G4125" s="5"/>
      <c r="H4125" s="5"/>
      <c r="I4125" s="5"/>
      <c r="J4125" s="5" t="s">
        <v>19</v>
      </c>
      <c r="K4125" s="5"/>
      <c r="L4125" s="5"/>
    </row>
    <row r="4126" customFormat="false" ht="15.65" hidden="false" customHeight="true" outlineLevel="0" collapsed="false">
      <c r="A4126" s="2" t="str">
        <f aca="false">HYPERLINK("https://www.fabsurplus.com/sdi_catalog/salesItemDetails.do?id=103626")</f>
        <v>https://www.fabsurplus.com/sdi_catalog/salesItemDetails.do?id=103626</v>
      </c>
      <c r="B4126" s="2" t="s">
        <v>11714</v>
      </c>
      <c r="C4126" s="2" t="s">
        <v>11410</v>
      </c>
      <c r="D4126" s="2" t="s">
        <v>11651</v>
      </c>
      <c r="E4126" s="2" t="s">
        <v>11715</v>
      </c>
      <c r="F4126" s="2" t="s">
        <v>16</v>
      </c>
      <c r="G4126" s="2" t="s">
        <v>61</v>
      </c>
      <c r="H4126" s="2"/>
      <c r="I4126" s="2"/>
      <c r="J4126" s="2" t="s">
        <v>19</v>
      </c>
      <c r="K4126" s="2"/>
      <c r="L4126" s="4" t="s">
        <v>1682</v>
      </c>
    </row>
    <row r="4127" customFormat="false" ht="15.65" hidden="false" customHeight="true" outlineLevel="0" collapsed="false">
      <c r="A4127" s="5" t="str">
        <f aca="false">HYPERLINK("https://www.fabsurplus.com/sdi_catalog/salesItemDetails.do?id=109258")</f>
        <v>https://www.fabsurplus.com/sdi_catalog/salesItemDetails.do?id=109258</v>
      </c>
      <c r="B4127" s="5" t="s">
        <v>11716</v>
      </c>
      <c r="C4127" s="5" t="s">
        <v>11427</v>
      </c>
      <c r="D4127" s="5" t="s">
        <v>11710</v>
      </c>
      <c r="E4127" s="5" t="s">
        <v>1732</v>
      </c>
      <c r="F4127" s="5" t="s">
        <v>16</v>
      </c>
      <c r="G4127" s="5" t="s">
        <v>84</v>
      </c>
      <c r="H4127" s="5"/>
      <c r="I4127" s="5"/>
      <c r="J4127" s="5" t="s">
        <v>19</v>
      </c>
      <c r="K4127" s="5"/>
      <c r="L4127" s="5"/>
    </row>
    <row r="4128" customFormat="false" ht="15.65" hidden="false" customHeight="true" outlineLevel="0" collapsed="false">
      <c r="A4128" s="2" t="str">
        <f aca="false">HYPERLINK("https://www.fabsurplus.com/sdi_catalog/salesItemDetails.do?id=18891")</f>
        <v>https://www.fabsurplus.com/sdi_catalog/salesItemDetails.do?id=18891</v>
      </c>
      <c r="B4128" s="2" t="s">
        <v>11717</v>
      </c>
      <c r="C4128" s="2" t="s">
        <v>11427</v>
      </c>
      <c r="D4128" s="2" t="s">
        <v>11718</v>
      </c>
      <c r="E4128" s="2" t="s">
        <v>11713</v>
      </c>
      <c r="F4128" s="2" t="s">
        <v>16</v>
      </c>
      <c r="G4128" s="2"/>
      <c r="H4128" s="2"/>
      <c r="I4128" s="2"/>
      <c r="J4128" s="2" t="s">
        <v>19</v>
      </c>
      <c r="K4128" s="2"/>
      <c r="L4128" s="2"/>
    </row>
    <row r="4129" customFormat="false" ht="15.65" hidden="false" customHeight="true" outlineLevel="0" collapsed="false">
      <c r="A4129" s="5" t="str">
        <f aca="false">HYPERLINK("https://www.fabsurplus.com/sdi_catalog/salesItemDetails.do?id=103627")</f>
        <v>https://www.fabsurplus.com/sdi_catalog/salesItemDetails.do?id=103627</v>
      </c>
      <c r="B4129" s="5" t="s">
        <v>11719</v>
      </c>
      <c r="C4129" s="5" t="s">
        <v>11410</v>
      </c>
      <c r="D4129" s="5" t="s">
        <v>11651</v>
      </c>
      <c r="E4129" s="5" t="s">
        <v>11715</v>
      </c>
      <c r="F4129" s="5" t="s">
        <v>16</v>
      </c>
      <c r="G4129" s="5" t="s">
        <v>61</v>
      </c>
      <c r="H4129" s="5"/>
      <c r="I4129" s="5"/>
      <c r="J4129" s="5" t="s">
        <v>19</v>
      </c>
      <c r="K4129" s="5"/>
      <c r="L4129" s="7" t="s">
        <v>1682</v>
      </c>
    </row>
    <row r="4130" customFormat="false" ht="15.65" hidden="false" customHeight="true" outlineLevel="0" collapsed="false">
      <c r="A4130" s="2" t="str">
        <f aca="false">HYPERLINK("https://www.fabsurplus.com/sdi_catalog/salesItemDetails.do?id=109259")</f>
        <v>https://www.fabsurplus.com/sdi_catalog/salesItemDetails.do?id=109259</v>
      </c>
      <c r="B4130" s="2" t="s">
        <v>11720</v>
      </c>
      <c r="C4130" s="2" t="s">
        <v>11427</v>
      </c>
      <c r="D4130" s="2" t="s">
        <v>11721</v>
      </c>
      <c r="E4130" s="2" t="s">
        <v>2340</v>
      </c>
      <c r="F4130" s="2" t="s">
        <v>16</v>
      </c>
      <c r="G4130" s="2" t="s">
        <v>84</v>
      </c>
      <c r="H4130" s="2"/>
      <c r="I4130" s="2"/>
      <c r="J4130" s="2" t="s">
        <v>19</v>
      </c>
      <c r="K4130" s="2"/>
      <c r="L4130" s="2"/>
    </row>
    <row r="4131" customFormat="false" ht="15.65" hidden="false" customHeight="true" outlineLevel="0" collapsed="false">
      <c r="A4131" s="5" t="str">
        <f aca="false">HYPERLINK("https://www.fabsurplus.com/sdi_catalog/salesItemDetails.do?id=18892")</f>
        <v>https://www.fabsurplus.com/sdi_catalog/salesItemDetails.do?id=18892</v>
      </c>
      <c r="B4131" s="5" t="s">
        <v>11722</v>
      </c>
      <c r="C4131" s="5" t="s">
        <v>11427</v>
      </c>
      <c r="D4131" s="5" t="s">
        <v>11723</v>
      </c>
      <c r="E4131" s="5" t="s">
        <v>11713</v>
      </c>
      <c r="F4131" s="5" t="s">
        <v>16</v>
      </c>
      <c r="G4131" s="5"/>
      <c r="H4131" s="5"/>
      <c r="I4131" s="5"/>
      <c r="J4131" s="5" t="s">
        <v>19</v>
      </c>
      <c r="K4131" s="5"/>
      <c r="L4131" s="5"/>
    </row>
    <row r="4132" customFormat="false" ht="15.65" hidden="false" customHeight="true" outlineLevel="0" collapsed="false">
      <c r="A4132" s="2" t="str">
        <f aca="false">HYPERLINK("https://www.fabsurplus.com/sdi_catalog/salesItemDetails.do?id=109260")</f>
        <v>https://www.fabsurplus.com/sdi_catalog/salesItemDetails.do?id=109260</v>
      </c>
      <c r="B4132" s="2" t="s">
        <v>11724</v>
      </c>
      <c r="C4132" s="2" t="s">
        <v>11427</v>
      </c>
      <c r="D4132" s="2" t="s">
        <v>11725</v>
      </c>
      <c r="E4132" s="2" t="s">
        <v>2340</v>
      </c>
      <c r="F4132" s="2" t="s">
        <v>16</v>
      </c>
      <c r="G4132" s="2" t="s">
        <v>84</v>
      </c>
      <c r="H4132" s="2"/>
      <c r="I4132" s="2"/>
      <c r="J4132" s="2" t="s">
        <v>19</v>
      </c>
      <c r="K4132" s="2"/>
      <c r="L4132" s="2"/>
    </row>
    <row r="4133" customFormat="false" ht="15.65" hidden="false" customHeight="true" outlineLevel="0" collapsed="false">
      <c r="A4133" s="5" t="str">
        <f aca="false">HYPERLINK("https://www.fabsurplus.com/sdi_catalog/salesItemDetails.do?id=18893")</f>
        <v>https://www.fabsurplus.com/sdi_catalog/salesItemDetails.do?id=18893</v>
      </c>
      <c r="B4133" s="5" t="s">
        <v>11726</v>
      </c>
      <c r="C4133" s="5" t="s">
        <v>11427</v>
      </c>
      <c r="D4133" s="5" t="s">
        <v>11727</v>
      </c>
      <c r="E4133" s="5" t="s">
        <v>11713</v>
      </c>
      <c r="F4133" s="5" t="s">
        <v>16</v>
      </c>
      <c r="G4133" s="5"/>
      <c r="H4133" s="5"/>
      <c r="I4133" s="5"/>
      <c r="J4133" s="5" t="s">
        <v>19</v>
      </c>
      <c r="K4133" s="5"/>
      <c r="L4133" s="5"/>
    </row>
    <row r="4134" customFormat="false" ht="15.65" hidden="false" customHeight="true" outlineLevel="0" collapsed="false">
      <c r="A4134" s="2" t="str">
        <f aca="false">HYPERLINK("https://www.fabsurplus.com/sdi_catalog/salesItemDetails.do?id=91341")</f>
        <v>https://www.fabsurplus.com/sdi_catalog/salesItemDetails.do?id=91341</v>
      </c>
      <c r="B4134" s="2" t="s">
        <v>11728</v>
      </c>
      <c r="C4134" s="2" t="s">
        <v>11427</v>
      </c>
      <c r="D4134" s="2" t="s">
        <v>11729</v>
      </c>
      <c r="E4134" s="2" t="s">
        <v>11730</v>
      </c>
      <c r="F4134" s="2" t="s">
        <v>16</v>
      </c>
      <c r="G4134" s="2" t="s">
        <v>61</v>
      </c>
      <c r="H4134" s="2"/>
      <c r="I4134" s="3" t="n">
        <v>39233.9166666667</v>
      </c>
      <c r="J4134" s="2" t="s">
        <v>19</v>
      </c>
      <c r="K4134" s="2"/>
      <c r="L4134" s="2" t="s">
        <v>142</v>
      </c>
    </row>
    <row r="4135" customFormat="false" ht="15.65" hidden="false" customHeight="true" outlineLevel="0" collapsed="false">
      <c r="A4135" s="5" t="str">
        <f aca="false">HYPERLINK("https://www.fabsurplus.com/sdi_catalog/salesItemDetails.do?id=103629")</f>
        <v>https://www.fabsurplus.com/sdi_catalog/salesItemDetails.do?id=103629</v>
      </c>
      <c r="B4135" s="5" t="s">
        <v>11731</v>
      </c>
      <c r="C4135" s="5" t="s">
        <v>11410</v>
      </c>
      <c r="D4135" s="5" t="s">
        <v>11651</v>
      </c>
      <c r="E4135" s="5" t="s">
        <v>11715</v>
      </c>
      <c r="F4135" s="5" t="s">
        <v>16</v>
      </c>
      <c r="G4135" s="5" t="s">
        <v>61</v>
      </c>
      <c r="H4135" s="5"/>
      <c r="I4135" s="6" t="n">
        <v>39233.9166666667</v>
      </c>
      <c r="J4135" s="5" t="s">
        <v>19</v>
      </c>
      <c r="K4135" s="5"/>
      <c r="L4135" s="7" t="s">
        <v>1682</v>
      </c>
    </row>
    <row r="4136" customFormat="false" ht="15.65" hidden="false" customHeight="true" outlineLevel="0" collapsed="false">
      <c r="A4136" s="2" t="str">
        <f aca="false">HYPERLINK("https://www.fabsurplus.com/sdi_catalog/salesItemDetails.do?id=109261")</f>
        <v>https://www.fabsurplus.com/sdi_catalog/salesItemDetails.do?id=109261</v>
      </c>
      <c r="B4136" s="2" t="s">
        <v>11732</v>
      </c>
      <c r="C4136" s="2" t="s">
        <v>11427</v>
      </c>
      <c r="D4136" s="2" t="s">
        <v>11725</v>
      </c>
      <c r="E4136" s="2" t="s">
        <v>2340</v>
      </c>
      <c r="F4136" s="2" t="s">
        <v>16</v>
      </c>
      <c r="G4136" s="2" t="s">
        <v>84</v>
      </c>
      <c r="H4136" s="2"/>
      <c r="I4136" s="2"/>
      <c r="J4136" s="2" t="s">
        <v>19</v>
      </c>
      <c r="K4136" s="2"/>
      <c r="L4136" s="2"/>
    </row>
    <row r="4137" customFormat="false" ht="15.65" hidden="false" customHeight="true" outlineLevel="0" collapsed="false">
      <c r="A4137" s="5" t="str">
        <f aca="false">HYPERLINK("https://www.fabsurplus.com/sdi_catalog/salesItemDetails.do?id=18894")</f>
        <v>https://www.fabsurplus.com/sdi_catalog/salesItemDetails.do?id=18894</v>
      </c>
      <c r="B4137" s="5" t="s">
        <v>11733</v>
      </c>
      <c r="C4137" s="5" t="s">
        <v>11427</v>
      </c>
      <c r="D4137" s="5" t="s">
        <v>11734</v>
      </c>
      <c r="E4137" s="5" t="s">
        <v>11713</v>
      </c>
      <c r="F4137" s="5" t="s">
        <v>16</v>
      </c>
      <c r="G4137" s="5"/>
      <c r="H4137" s="5"/>
      <c r="I4137" s="5"/>
      <c r="J4137" s="5" t="s">
        <v>19</v>
      </c>
      <c r="K4137" s="5"/>
      <c r="L4137" s="5"/>
    </row>
    <row r="4138" customFormat="false" ht="15.65" hidden="false" customHeight="true" outlineLevel="0" collapsed="false">
      <c r="A4138" s="2" t="str">
        <f aca="false">HYPERLINK("https://www.fabsurplus.com/sdi_catalog/salesItemDetails.do?id=103630")</f>
        <v>https://www.fabsurplus.com/sdi_catalog/salesItemDetails.do?id=103630</v>
      </c>
      <c r="B4138" s="2" t="s">
        <v>11735</v>
      </c>
      <c r="C4138" s="2" t="s">
        <v>11410</v>
      </c>
      <c r="D4138" s="2" t="s">
        <v>11651</v>
      </c>
      <c r="E4138" s="2" t="s">
        <v>11715</v>
      </c>
      <c r="F4138" s="2" t="s">
        <v>16</v>
      </c>
      <c r="G4138" s="2" t="s">
        <v>61</v>
      </c>
      <c r="H4138" s="2"/>
      <c r="I4138" s="2"/>
      <c r="J4138" s="2" t="s">
        <v>19</v>
      </c>
      <c r="K4138" s="2"/>
      <c r="L4138" s="4" t="s">
        <v>1682</v>
      </c>
    </row>
    <row r="4139" customFormat="false" ht="15.65" hidden="false" customHeight="true" outlineLevel="0" collapsed="false">
      <c r="A4139" s="5" t="str">
        <f aca="false">HYPERLINK("https://www.fabsurplus.com/sdi_catalog/salesItemDetails.do?id=109262")</f>
        <v>https://www.fabsurplus.com/sdi_catalog/salesItemDetails.do?id=109262</v>
      </c>
      <c r="B4139" s="5" t="s">
        <v>11736</v>
      </c>
      <c r="C4139" s="5" t="s">
        <v>11427</v>
      </c>
      <c r="D4139" s="5" t="s">
        <v>11725</v>
      </c>
      <c r="E4139" s="5" t="s">
        <v>2340</v>
      </c>
      <c r="F4139" s="5" t="s">
        <v>16</v>
      </c>
      <c r="G4139" s="5" t="s">
        <v>84</v>
      </c>
      <c r="H4139" s="5"/>
      <c r="I4139" s="5"/>
      <c r="J4139" s="5" t="s">
        <v>19</v>
      </c>
      <c r="K4139" s="5"/>
      <c r="L4139" s="5"/>
    </row>
    <row r="4140" customFormat="false" ht="15.65" hidden="false" customHeight="true" outlineLevel="0" collapsed="false">
      <c r="A4140" s="2" t="str">
        <f aca="false">HYPERLINK("https://www.fabsurplus.com/sdi_catalog/salesItemDetails.do?id=18895")</f>
        <v>https://www.fabsurplus.com/sdi_catalog/salesItemDetails.do?id=18895</v>
      </c>
      <c r="B4140" s="2" t="s">
        <v>11737</v>
      </c>
      <c r="C4140" s="2" t="s">
        <v>11427</v>
      </c>
      <c r="D4140" s="2" t="s">
        <v>11738</v>
      </c>
      <c r="E4140" s="2" t="s">
        <v>11713</v>
      </c>
      <c r="F4140" s="2" t="s">
        <v>16</v>
      </c>
      <c r="G4140" s="2"/>
      <c r="H4140" s="2"/>
      <c r="I4140" s="2"/>
      <c r="J4140" s="2" t="s">
        <v>19</v>
      </c>
      <c r="K4140" s="2"/>
      <c r="L4140" s="2"/>
    </row>
    <row r="4141" customFormat="false" ht="15.65" hidden="false" customHeight="true" outlineLevel="0" collapsed="false">
      <c r="A4141" s="5" t="str">
        <f aca="false">HYPERLINK("https://www.fabsurplus.com/sdi_catalog/salesItemDetails.do?id=103631")</f>
        <v>https://www.fabsurplus.com/sdi_catalog/salesItemDetails.do?id=103631</v>
      </c>
      <c r="B4141" s="5" t="s">
        <v>11739</v>
      </c>
      <c r="C4141" s="5" t="s">
        <v>11410</v>
      </c>
      <c r="D4141" s="5" t="s">
        <v>11651</v>
      </c>
      <c r="E4141" s="5" t="s">
        <v>11715</v>
      </c>
      <c r="F4141" s="5" t="s">
        <v>16</v>
      </c>
      <c r="G4141" s="5" t="s">
        <v>61</v>
      </c>
      <c r="H4141" s="5"/>
      <c r="I4141" s="6" t="n">
        <v>38503.9166666667</v>
      </c>
      <c r="J4141" s="5" t="s">
        <v>19</v>
      </c>
      <c r="K4141" s="5"/>
      <c r="L4141" s="7" t="s">
        <v>1682</v>
      </c>
    </row>
    <row r="4142" customFormat="false" ht="15.65" hidden="false" customHeight="true" outlineLevel="0" collapsed="false">
      <c r="A4142" s="2" t="str">
        <f aca="false">HYPERLINK("https://www.fabsurplus.com/sdi_catalog/salesItemDetails.do?id=109263")</f>
        <v>https://www.fabsurplus.com/sdi_catalog/salesItemDetails.do?id=109263</v>
      </c>
      <c r="B4142" s="2" t="s">
        <v>11740</v>
      </c>
      <c r="C4142" s="2" t="s">
        <v>11427</v>
      </c>
      <c r="D4142" s="2" t="s">
        <v>11741</v>
      </c>
      <c r="E4142" s="2" t="s">
        <v>2340</v>
      </c>
      <c r="F4142" s="2" t="s">
        <v>16</v>
      </c>
      <c r="G4142" s="2" t="s">
        <v>84</v>
      </c>
      <c r="H4142" s="2"/>
      <c r="I4142" s="2"/>
      <c r="J4142" s="2" t="s">
        <v>19</v>
      </c>
      <c r="K4142" s="2"/>
      <c r="L4142" s="2"/>
    </row>
    <row r="4143" customFormat="false" ht="15.65" hidden="false" customHeight="true" outlineLevel="0" collapsed="false">
      <c r="A4143" s="5" t="str">
        <f aca="false">HYPERLINK("https://www.fabsurplus.com/sdi_catalog/salesItemDetails.do?id=18896")</f>
        <v>https://www.fabsurplus.com/sdi_catalog/salesItemDetails.do?id=18896</v>
      </c>
      <c r="B4143" s="5" t="s">
        <v>11742</v>
      </c>
      <c r="C4143" s="5" t="s">
        <v>11427</v>
      </c>
      <c r="D4143" s="5" t="s">
        <v>11727</v>
      </c>
      <c r="E4143" s="5" t="s">
        <v>11713</v>
      </c>
      <c r="F4143" s="5" t="s">
        <v>16</v>
      </c>
      <c r="G4143" s="5"/>
      <c r="H4143" s="5"/>
      <c r="I4143" s="5"/>
      <c r="J4143" s="5" t="s">
        <v>19</v>
      </c>
      <c r="K4143" s="5"/>
      <c r="L4143" s="5"/>
    </row>
    <row r="4144" customFormat="false" ht="15.65" hidden="false" customHeight="true" outlineLevel="0" collapsed="false">
      <c r="A4144" s="2" t="str">
        <f aca="false">HYPERLINK("https://www.fabsurplus.com/sdi_catalog/salesItemDetails.do?id=103632")</f>
        <v>https://www.fabsurplus.com/sdi_catalog/salesItemDetails.do?id=103632</v>
      </c>
      <c r="B4144" s="2" t="s">
        <v>11743</v>
      </c>
      <c r="C4144" s="2" t="s">
        <v>11410</v>
      </c>
      <c r="D4144" s="2" t="s">
        <v>11651</v>
      </c>
      <c r="E4144" s="2" t="s">
        <v>11715</v>
      </c>
      <c r="F4144" s="2" t="s">
        <v>16</v>
      </c>
      <c r="G4144" s="2" t="s">
        <v>61</v>
      </c>
      <c r="H4144" s="2"/>
      <c r="I4144" s="3" t="n">
        <v>39233.9166666667</v>
      </c>
      <c r="J4144" s="2" t="s">
        <v>19</v>
      </c>
      <c r="K4144" s="2"/>
      <c r="L4144" s="4" t="s">
        <v>1682</v>
      </c>
    </row>
    <row r="4145" customFormat="false" ht="15.65" hidden="false" customHeight="true" outlineLevel="0" collapsed="false">
      <c r="A4145" s="5" t="str">
        <f aca="false">HYPERLINK("https://www.fabsurplus.com/sdi_catalog/salesItemDetails.do?id=109264")</f>
        <v>https://www.fabsurplus.com/sdi_catalog/salesItemDetails.do?id=109264</v>
      </c>
      <c r="B4145" s="5" t="s">
        <v>11744</v>
      </c>
      <c r="C4145" s="5" t="s">
        <v>11427</v>
      </c>
      <c r="D4145" s="5" t="s">
        <v>11745</v>
      </c>
      <c r="E4145" s="5" t="s">
        <v>2340</v>
      </c>
      <c r="F4145" s="5" t="s">
        <v>16</v>
      </c>
      <c r="G4145" s="5" t="s">
        <v>84</v>
      </c>
      <c r="H4145" s="5"/>
      <c r="I4145" s="5"/>
      <c r="J4145" s="5" t="s">
        <v>19</v>
      </c>
      <c r="K4145" s="5"/>
      <c r="L4145" s="5"/>
    </row>
    <row r="4146" customFormat="false" ht="15.65" hidden="false" customHeight="true" outlineLevel="0" collapsed="false">
      <c r="A4146" s="2" t="str">
        <f aca="false">HYPERLINK("https://www.fabsurplus.com/sdi_catalog/salesItemDetails.do?id=18897")</f>
        <v>https://www.fabsurplus.com/sdi_catalog/salesItemDetails.do?id=18897</v>
      </c>
      <c r="B4146" s="2" t="s">
        <v>11746</v>
      </c>
      <c r="C4146" s="2" t="s">
        <v>11427</v>
      </c>
      <c r="D4146" s="2" t="s">
        <v>11747</v>
      </c>
      <c r="E4146" s="2" t="s">
        <v>11713</v>
      </c>
      <c r="F4146" s="2" t="s">
        <v>16</v>
      </c>
      <c r="G4146" s="2"/>
      <c r="H4146" s="2"/>
      <c r="I4146" s="2"/>
      <c r="J4146" s="2" t="s">
        <v>19</v>
      </c>
      <c r="K4146" s="2"/>
      <c r="L4146" s="2"/>
    </row>
    <row r="4147" customFormat="false" ht="15.65" hidden="false" customHeight="true" outlineLevel="0" collapsed="false">
      <c r="A4147" s="5" t="str">
        <f aca="false">HYPERLINK("https://www.fabsurplus.com/sdi_catalog/salesItemDetails.do?id=109265")</f>
        <v>https://www.fabsurplus.com/sdi_catalog/salesItemDetails.do?id=109265</v>
      </c>
      <c r="B4147" s="5" t="s">
        <v>11748</v>
      </c>
      <c r="C4147" s="5" t="s">
        <v>11427</v>
      </c>
      <c r="D4147" s="5" t="s">
        <v>11745</v>
      </c>
      <c r="E4147" s="5" t="s">
        <v>2340</v>
      </c>
      <c r="F4147" s="5" t="s">
        <v>16</v>
      </c>
      <c r="G4147" s="5" t="s">
        <v>84</v>
      </c>
      <c r="H4147" s="5"/>
      <c r="I4147" s="5"/>
      <c r="J4147" s="5" t="s">
        <v>19</v>
      </c>
      <c r="K4147" s="5"/>
      <c r="L4147" s="5"/>
    </row>
    <row r="4148" customFormat="false" ht="15.65" hidden="false" customHeight="true" outlineLevel="0" collapsed="false">
      <c r="A4148" s="2" t="str">
        <f aca="false">HYPERLINK("https://www.fabsurplus.com/sdi_catalog/salesItemDetails.do?id=103634")</f>
        <v>https://www.fabsurplus.com/sdi_catalog/salesItemDetails.do?id=103634</v>
      </c>
      <c r="B4148" s="2" t="s">
        <v>11749</v>
      </c>
      <c r="C4148" s="2" t="s">
        <v>11410</v>
      </c>
      <c r="D4148" s="2" t="s">
        <v>11651</v>
      </c>
      <c r="E4148" s="2" t="s">
        <v>11715</v>
      </c>
      <c r="F4148" s="2" t="s">
        <v>16</v>
      </c>
      <c r="G4148" s="2" t="s">
        <v>61</v>
      </c>
      <c r="H4148" s="2"/>
      <c r="I4148" s="2"/>
      <c r="J4148" s="2" t="s">
        <v>19</v>
      </c>
      <c r="K4148" s="2"/>
      <c r="L4148" s="4" t="s">
        <v>1682</v>
      </c>
    </row>
    <row r="4149" customFormat="false" ht="15.65" hidden="false" customHeight="true" outlineLevel="0" collapsed="false">
      <c r="A4149" s="5" t="str">
        <f aca="false">HYPERLINK("https://www.fabsurplus.com/sdi_catalog/salesItemDetails.do?id=109266")</f>
        <v>https://www.fabsurplus.com/sdi_catalog/salesItemDetails.do?id=109266</v>
      </c>
      <c r="B4149" s="5" t="s">
        <v>11750</v>
      </c>
      <c r="C4149" s="5" t="s">
        <v>11427</v>
      </c>
      <c r="D4149" s="5" t="s">
        <v>11745</v>
      </c>
      <c r="E4149" s="5" t="s">
        <v>2340</v>
      </c>
      <c r="F4149" s="5" t="s">
        <v>16</v>
      </c>
      <c r="G4149" s="5" t="s">
        <v>84</v>
      </c>
      <c r="H4149" s="5"/>
      <c r="I4149" s="5"/>
      <c r="J4149" s="5" t="s">
        <v>19</v>
      </c>
      <c r="K4149" s="5"/>
      <c r="L4149" s="5"/>
    </row>
    <row r="4150" customFormat="false" ht="15.65" hidden="false" customHeight="true" outlineLevel="0" collapsed="false">
      <c r="A4150" s="2" t="str">
        <f aca="false">HYPERLINK("https://www.fabsurplus.com/sdi_catalog/salesItemDetails.do?id=109267")</f>
        <v>https://www.fabsurplus.com/sdi_catalog/salesItemDetails.do?id=109267</v>
      </c>
      <c r="B4150" s="2" t="s">
        <v>11751</v>
      </c>
      <c r="C4150" s="2" t="s">
        <v>11427</v>
      </c>
      <c r="D4150" s="2" t="s">
        <v>11752</v>
      </c>
      <c r="E4150" s="2" t="s">
        <v>2340</v>
      </c>
      <c r="F4150" s="2" t="s">
        <v>16</v>
      </c>
      <c r="G4150" s="2" t="s">
        <v>84</v>
      </c>
      <c r="H4150" s="2"/>
      <c r="I4150" s="2"/>
      <c r="J4150" s="2" t="s">
        <v>19</v>
      </c>
      <c r="K4150" s="2"/>
      <c r="L4150" s="2"/>
    </row>
    <row r="4151" customFormat="false" ht="15.65" hidden="false" customHeight="true" outlineLevel="0" collapsed="false">
      <c r="A4151" s="5" t="str">
        <f aca="false">HYPERLINK("https://www.fabsurplus.com/sdi_catalog/salesItemDetails.do?id=108500")</f>
        <v>https://www.fabsurplus.com/sdi_catalog/salesItemDetails.do?id=108500</v>
      </c>
      <c r="B4151" s="5" t="s">
        <v>11753</v>
      </c>
      <c r="C4151" s="5" t="s">
        <v>11410</v>
      </c>
      <c r="D4151" s="5" t="s">
        <v>11432</v>
      </c>
      <c r="E4151" s="5" t="s">
        <v>1778</v>
      </c>
      <c r="F4151" s="5" t="s">
        <v>86</v>
      </c>
      <c r="G4151" s="5" t="s">
        <v>61</v>
      </c>
      <c r="H4151" s="5"/>
      <c r="I4151" s="5"/>
      <c r="J4151" s="5" t="s">
        <v>19</v>
      </c>
      <c r="K4151" s="5"/>
      <c r="L4151" s="5"/>
    </row>
    <row r="4152" customFormat="false" ht="15.65" hidden="false" customHeight="true" outlineLevel="0" collapsed="false">
      <c r="A4152" s="2" t="str">
        <f aca="false">HYPERLINK("https://www.fabsurplus.com/sdi_catalog/salesItemDetails.do?id=109268")</f>
        <v>https://www.fabsurplus.com/sdi_catalog/salesItemDetails.do?id=109268</v>
      </c>
      <c r="B4152" s="2" t="s">
        <v>11754</v>
      </c>
      <c r="C4152" s="2" t="s">
        <v>11427</v>
      </c>
      <c r="D4152" s="2" t="s">
        <v>11752</v>
      </c>
      <c r="E4152" s="2" t="s">
        <v>2340</v>
      </c>
      <c r="F4152" s="2" t="s">
        <v>16</v>
      </c>
      <c r="G4152" s="2" t="s">
        <v>84</v>
      </c>
      <c r="H4152" s="2"/>
      <c r="I4152" s="2"/>
      <c r="J4152" s="2" t="s">
        <v>19</v>
      </c>
      <c r="K4152" s="2"/>
      <c r="L4152" s="2"/>
    </row>
    <row r="4153" customFormat="false" ht="15.65" hidden="false" customHeight="true" outlineLevel="0" collapsed="false">
      <c r="A4153" s="5" t="str">
        <f aca="false">HYPERLINK("https://www.fabsurplus.com/sdi_catalog/salesItemDetails.do?id=109269")</f>
        <v>https://www.fabsurplus.com/sdi_catalog/salesItemDetails.do?id=109269</v>
      </c>
      <c r="B4153" s="5" t="s">
        <v>11755</v>
      </c>
      <c r="C4153" s="5" t="s">
        <v>11427</v>
      </c>
      <c r="D4153" s="5" t="s">
        <v>11756</v>
      </c>
      <c r="E4153" s="5" t="s">
        <v>1785</v>
      </c>
      <c r="F4153" s="5" t="s">
        <v>16</v>
      </c>
      <c r="G4153" s="5" t="s">
        <v>84</v>
      </c>
      <c r="H4153" s="5"/>
      <c r="I4153" s="5"/>
      <c r="J4153" s="5" t="s">
        <v>19</v>
      </c>
      <c r="K4153" s="5"/>
      <c r="L4153" s="5"/>
    </row>
    <row r="4154" customFormat="false" ht="15.65" hidden="false" customHeight="true" outlineLevel="0" collapsed="false">
      <c r="A4154" s="2" t="str">
        <f aca="false">HYPERLINK("https://www.fabsurplus.com/sdi_catalog/salesItemDetails.do?id=109270")</f>
        <v>https://www.fabsurplus.com/sdi_catalog/salesItemDetails.do?id=109270</v>
      </c>
      <c r="B4154" s="2" t="s">
        <v>11757</v>
      </c>
      <c r="C4154" s="2" t="s">
        <v>11427</v>
      </c>
      <c r="D4154" s="2" t="s">
        <v>11756</v>
      </c>
      <c r="E4154" s="2" t="s">
        <v>1785</v>
      </c>
      <c r="F4154" s="2" t="s">
        <v>16</v>
      </c>
      <c r="G4154" s="2" t="s">
        <v>84</v>
      </c>
      <c r="H4154" s="2"/>
      <c r="I4154" s="2"/>
      <c r="J4154" s="2" t="s">
        <v>19</v>
      </c>
      <c r="K4154" s="2"/>
      <c r="L4154" s="2"/>
    </row>
    <row r="4155" customFormat="false" ht="15.65" hidden="false" customHeight="true" outlineLevel="0" collapsed="false">
      <c r="A4155" s="5" t="str">
        <f aca="false">HYPERLINK("https://www.fabsurplus.com/sdi_catalog/salesItemDetails.do?id=109526")</f>
        <v>https://www.fabsurplus.com/sdi_catalog/salesItemDetails.do?id=109526</v>
      </c>
      <c r="B4155" s="5" t="s">
        <v>11758</v>
      </c>
      <c r="C4155" s="5" t="s">
        <v>11427</v>
      </c>
      <c r="D4155" s="5" t="s">
        <v>11759</v>
      </c>
      <c r="E4155" s="5" t="s">
        <v>11760</v>
      </c>
      <c r="F4155" s="5" t="s">
        <v>16</v>
      </c>
      <c r="G4155" s="5" t="s">
        <v>84</v>
      </c>
      <c r="H4155" s="5"/>
      <c r="I4155" s="6" t="n">
        <v>40330</v>
      </c>
      <c r="J4155" s="5" t="s">
        <v>19</v>
      </c>
      <c r="K4155" s="5"/>
      <c r="L4155" s="5" t="s">
        <v>105</v>
      </c>
    </row>
    <row r="4156" customFormat="false" ht="15.65" hidden="false" customHeight="true" outlineLevel="0" collapsed="false">
      <c r="A4156" s="2" t="str">
        <f aca="false">HYPERLINK("https://www.fabsurplus.com/sdi_catalog/salesItemDetails.do?id=109271")</f>
        <v>https://www.fabsurplus.com/sdi_catalog/salesItemDetails.do?id=109271</v>
      </c>
      <c r="B4156" s="2" t="s">
        <v>11761</v>
      </c>
      <c r="C4156" s="2" t="s">
        <v>11427</v>
      </c>
      <c r="D4156" s="2" t="s">
        <v>11756</v>
      </c>
      <c r="E4156" s="2" t="s">
        <v>1785</v>
      </c>
      <c r="F4156" s="2" t="s">
        <v>16</v>
      </c>
      <c r="G4156" s="2" t="s">
        <v>84</v>
      </c>
      <c r="H4156" s="2"/>
      <c r="I4156" s="2"/>
      <c r="J4156" s="2" t="s">
        <v>19</v>
      </c>
      <c r="K4156" s="2"/>
      <c r="L4156" s="2"/>
    </row>
    <row r="4157" customFormat="false" ht="15.65" hidden="false" customHeight="true" outlineLevel="0" collapsed="false">
      <c r="A4157" s="5" t="str">
        <f aca="false">HYPERLINK("https://www.fabsurplus.com/sdi_catalog/salesItemDetails.do?id=109272")</f>
        <v>https://www.fabsurplus.com/sdi_catalog/salesItemDetails.do?id=109272</v>
      </c>
      <c r="B4157" s="5" t="s">
        <v>11762</v>
      </c>
      <c r="C4157" s="5" t="s">
        <v>11427</v>
      </c>
      <c r="D4157" s="5" t="s">
        <v>11763</v>
      </c>
      <c r="E4157" s="5" t="s">
        <v>1785</v>
      </c>
      <c r="F4157" s="5" t="s">
        <v>16</v>
      </c>
      <c r="G4157" s="5" t="s">
        <v>84</v>
      </c>
      <c r="H4157" s="5"/>
      <c r="I4157" s="5"/>
      <c r="J4157" s="5" t="s">
        <v>19</v>
      </c>
      <c r="K4157" s="5"/>
      <c r="L4157" s="5"/>
    </row>
    <row r="4158" customFormat="false" ht="15.65" hidden="false" customHeight="true" outlineLevel="0" collapsed="false">
      <c r="A4158" s="2" t="str">
        <f aca="false">HYPERLINK("https://www.fabsurplus.com/sdi_catalog/salesItemDetails.do?id=108505")</f>
        <v>https://www.fabsurplus.com/sdi_catalog/salesItemDetails.do?id=108505</v>
      </c>
      <c r="B4158" s="2" t="s">
        <v>11764</v>
      </c>
      <c r="C4158" s="2" t="s">
        <v>11410</v>
      </c>
      <c r="D4158" s="2" t="s">
        <v>11765</v>
      </c>
      <c r="E4158" s="2" t="s">
        <v>1732</v>
      </c>
      <c r="F4158" s="2" t="s">
        <v>16</v>
      </c>
      <c r="G4158" s="2" t="s">
        <v>61</v>
      </c>
      <c r="H4158" s="2"/>
      <c r="I4158" s="2"/>
      <c r="J4158" s="2" t="s">
        <v>19</v>
      </c>
      <c r="K4158" s="2"/>
      <c r="L4158" s="2"/>
    </row>
    <row r="4159" customFormat="false" ht="15.65" hidden="false" customHeight="true" outlineLevel="0" collapsed="false">
      <c r="A4159" s="5" t="str">
        <f aca="false">HYPERLINK("https://www.fabsurplus.com/sdi_catalog/salesItemDetails.do?id=109273")</f>
        <v>https://www.fabsurplus.com/sdi_catalog/salesItemDetails.do?id=109273</v>
      </c>
      <c r="B4159" s="5" t="s">
        <v>11766</v>
      </c>
      <c r="C4159" s="5" t="s">
        <v>11427</v>
      </c>
      <c r="D4159" s="5" t="s">
        <v>11763</v>
      </c>
      <c r="E4159" s="5" t="s">
        <v>1785</v>
      </c>
      <c r="F4159" s="5" t="s">
        <v>16</v>
      </c>
      <c r="G4159" s="5" t="s">
        <v>84</v>
      </c>
      <c r="H4159" s="5"/>
      <c r="I4159" s="5"/>
      <c r="J4159" s="5" t="s">
        <v>19</v>
      </c>
      <c r="K4159" s="5"/>
      <c r="L4159" s="5"/>
    </row>
    <row r="4160" customFormat="false" ht="15.65" hidden="false" customHeight="true" outlineLevel="0" collapsed="false">
      <c r="A4160" s="2" t="str">
        <f aca="false">HYPERLINK("https://www.fabsurplus.com/sdi_catalog/salesItemDetails.do?id=108506")</f>
        <v>https://www.fabsurplus.com/sdi_catalog/salesItemDetails.do?id=108506</v>
      </c>
      <c r="B4160" s="2" t="s">
        <v>11767</v>
      </c>
      <c r="C4160" s="2" t="s">
        <v>11410</v>
      </c>
      <c r="D4160" s="2" t="s">
        <v>11710</v>
      </c>
      <c r="E4160" s="2" t="s">
        <v>1732</v>
      </c>
      <c r="F4160" s="2" t="s">
        <v>236</v>
      </c>
      <c r="G4160" s="2" t="s">
        <v>61</v>
      </c>
      <c r="H4160" s="2"/>
      <c r="I4160" s="2"/>
      <c r="J4160" s="2" t="s">
        <v>19</v>
      </c>
      <c r="K4160" s="2"/>
      <c r="L4160" s="2"/>
    </row>
    <row r="4161" customFormat="false" ht="15.65" hidden="false" customHeight="true" outlineLevel="0" collapsed="false">
      <c r="A4161" s="5" t="str">
        <f aca="false">HYPERLINK("https://www.fabsurplus.com/sdi_catalog/salesItemDetails.do?id=109274")</f>
        <v>https://www.fabsurplus.com/sdi_catalog/salesItemDetails.do?id=109274</v>
      </c>
      <c r="B4161" s="5" t="s">
        <v>11768</v>
      </c>
      <c r="C4161" s="5" t="s">
        <v>11427</v>
      </c>
      <c r="D4161" s="5" t="s">
        <v>11769</v>
      </c>
      <c r="E4161" s="5" t="s">
        <v>1785</v>
      </c>
      <c r="F4161" s="5" t="s">
        <v>16</v>
      </c>
      <c r="G4161" s="5" t="s">
        <v>84</v>
      </c>
      <c r="H4161" s="5"/>
      <c r="I4161" s="5"/>
      <c r="J4161" s="5" t="s">
        <v>19</v>
      </c>
      <c r="K4161" s="5"/>
      <c r="L4161" s="5"/>
    </row>
    <row r="4162" customFormat="false" ht="15.65" hidden="false" customHeight="true" outlineLevel="0" collapsed="false">
      <c r="A4162" s="2" t="str">
        <f aca="false">HYPERLINK("https://www.fabsurplus.com/sdi_catalog/salesItemDetails.do?id=108507")</f>
        <v>https://www.fabsurplus.com/sdi_catalog/salesItemDetails.do?id=108507</v>
      </c>
      <c r="B4162" s="2" t="s">
        <v>11770</v>
      </c>
      <c r="C4162" s="2" t="s">
        <v>11410</v>
      </c>
      <c r="D4162" s="2" t="s">
        <v>11771</v>
      </c>
      <c r="E4162" s="2" t="s">
        <v>1732</v>
      </c>
      <c r="F4162" s="2" t="s">
        <v>16</v>
      </c>
      <c r="G4162" s="2" t="s">
        <v>61</v>
      </c>
      <c r="H4162" s="2"/>
      <c r="I4162" s="2"/>
      <c r="J4162" s="2" t="s">
        <v>19</v>
      </c>
      <c r="K4162" s="2"/>
      <c r="L4162" s="2"/>
    </row>
    <row r="4163" customFormat="false" ht="15.65" hidden="false" customHeight="true" outlineLevel="0" collapsed="false">
      <c r="A4163" s="5" t="str">
        <f aca="false">HYPERLINK("https://www.fabsurplus.com/sdi_catalog/salesItemDetails.do?id=109275")</f>
        <v>https://www.fabsurplus.com/sdi_catalog/salesItemDetails.do?id=109275</v>
      </c>
      <c r="B4163" s="5" t="s">
        <v>11772</v>
      </c>
      <c r="C4163" s="5" t="s">
        <v>11427</v>
      </c>
      <c r="D4163" s="5" t="s">
        <v>11447</v>
      </c>
      <c r="E4163" s="5" t="s">
        <v>1802</v>
      </c>
      <c r="F4163" s="5" t="s">
        <v>16</v>
      </c>
      <c r="G4163" s="5" t="s">
        <v>84</v>
      </c>
      <c r="H4163" s="5"/>
      <c r="I4163" s="5"/>
      <c r="J4163" s="5" t="s">
        <v>19</v>
      </c>
      <c r="K4163" s="5"/>
      <c r="L4163" s="5"/>
    </row>
    <row r="4164" customFormat="false" ht="15.65" hidden="false" customHeight="true" outlineLevel="0" collapsed="false">
      <c r="A4164" s="2" t="str">
        <f aca="false">HYPERLINK("https://www.fabsurplus.com/sdi_catalog/salesItemDetails.do?id=108508")</f>
        <v>https://www.fabsurplus.com/sdi_catalog/salesItemDetails.do?id=108508</v>
      </c>
      <c r="B4164" s="2" t="s">
        <v>11773</v>
      </c>
      <c r="C4164" s="2" t="s">
        <v>11410</v>
      </c>
      <c r="D4164" s="2" t="s">
        <v>11771</v>
      </c>
      <c r="E4164" s="2" t="s">
        <v>1732</v>
      </c>
      <c r="F4164" s="2" t="s">
        <v>16</v>
      </c>
      <c r="G4164" s="2" t="s">
        <v>61</v>
      </c>
      <c r="H4164" s="2"/>
      <c r="I4164" s="2"/>
      <c r="J4164" s="2" t="s">
        <v>19</v>
      </c>
      <c r="K4164" s="2"/>
      <c r="L4164" s="2"/>
    </row>
    <row r="4165" customFormat="false" ht="15.65" hidden="false" customHeight="true" outlineLevel="0" collapsed="false">
      <c r="A4165" s="5" t="str">
        <f aca="false">HYPERLINK("https://www.fabsurplus.com/sdi_catalog/salesItemDetails.do?id=108510")</f>
        <v>https://www.fabsurplus.com/sdi_catalog/salesItemDetails.do?id=108510</v>
      </c>
      <c r="B4165" s="5" t="s">
        <v>11774</v>
      </c>
      <c r="C4165" s="5" t="s">
        <v>11410</v>
      </c>
      <c r="D4165" s="5" t="s">
        <v>11775</v>
      </c>
      <c r="E4165" s="5" t="s">
        <v>1785</v>
      </c>
      <c r="F4165" s="5" t="s">
        <v>16</v>
      </c>
      <c r="G4165" s="5" t="s">
        <v>61</v>
      </c>
      <c r="H4165" s="5"/>
      <c r="I4165" s="5"/>
      <c r="J4165" s="5" t="s">
        <v>19</v>
      </c>
      <c r="K4165" s="5"/>
      <c r="L4165" s="5"/>
    </row>
    <row r="4166" customFormat="false" ht="15.65" hidden="false" customHeight="true" outlineLevel="0" collapsed="false">
      <c r="A4166" s="2" t="str">
        <f aca="false">HYPERLINK("https://www.fabsurplus.com/sdi_catalog/salesItemDetails.do?id=108511")</f>
        <v>https://www.fabsurplus.com/sdi_catalog/salesItemDetails.do?id=108511</v>
      </c>
      <c r="B4166" s="2" t="s">
        <v>11776</v>
      </c>
      <c r="C4166" s="2" t="s">
        <v>11410</v>
      </c>
      <c r="D4166" s="2" t="s">
        <v>11777</v>
      </c>
      <c r="E4166" s="2" t="s">
        <v>1785</v>
      </c>
      <c r="F4166" s="2" t="s">
        <v>16</v>
      </c>
      <c r="G4166" s="2" t="s">
        <v>61</v>
      </c>
      <c r="H4166" s="2"/>
      <c r="I4166" s="2"/>
      <c r="J4166" s="2" t="s">
        <v>19</v>
      </c>
      <c r="K4166" s="2"/>
      <c r="L4166" s="2"/>
    </row>
    <row r="4167" customFormat="false" ht="15.65" hidden="false" customHeight="true" outlineLevel="0" collapsed="false">
      <c r="A4167" s="5" t="str">
        <f aca="false">HYPERLINK("https://www.fabsurplus.com/sdi_catalog/salesItemDetails.do?id=108513")</f>
        <v>https://www.fabsurplus.com/sdi_catalog/salesItemDetails.do?id=108513</v>
      </c>
      <c r="B4167" s="5" t="s">
        <v>11778</v>
      </c>
      <c r="C4167" s="5" t="s">
        <v>11410</v>
      </c>
      <c r="D4167" s="5" t="s">
        <v>11779</v>
      </c>
      <c r="E4167" s="5" t="s">
        <v>1785</v>
      </c>
      <c r="F4167" s="5" t="s">
        <v>16</v>
      </c>
      <c r="G4167" s="5" t="s">
        <v>61</v>
      </c>
      <c r="H4167" s="5"/>
      <c r="I4167" s="5"/>
      <c r="J4167" s="5" t="s">
        <v>19</v>
      </c>
      <c r="K4167" s="5"/>
      <c r="L4167" s="5"/>
    </row>
    <row r="4168" customFormat="false" ht="15.65" hidden="false" customHeight="true" outlineLevel="0" collapsed="false">
      <c r="A4168" s="2" t="str">
        <f aca="false">HYPERLINK("https://www.fabsurplus.com/sdi_catalog/salesItemDetails.do?id=108002")</f>
        <v>https://www.fabsurplus.com/sdi_catalog/salesItemDetails.do?id=108002</v>
      </c>
      <c r="B4168" s="2" t="s">
        <v>11780</v>
      </c>
      <c r="C4168" s="2" t="s">
        <v>11410</v>
      </c>
      <c r="D4168" s="2" t="s">
        <v>11781</v>
      </c>
      <c r="E4168" s="2" t="s">
        <v>11782</v>
      </c>
      <c r="F4168" s="2" t="s">
        <v>16</v>
      </c>
      <c r="G4168" s="2" t="s">
        <v>38</v>
      </c>
      <c r="H4168" s="2" t="s">
        <v>32</v>
      </c>
      <c r="I4168" s="2"/>
      <c r="J4168" s="2" t="s">
        <v>19</v>
      </c>
      <c r="K4168" s="2" t="s">
        <v>20</v>
      </c>
      <c r="L4168" s="2"/>
    </row>
    <row r="4169" customFormat="false" ht="15.65" hidden="false" customHeight="true" outlineLevel="0" collapsed="false">
      <c r="A4169" s="5" t="str">
        <f aca="false">HYPERLINK("https://www.fabsurplus.com/sdi_catalog/salesItemDetails.do?id=108003")</f>
        <v>https://www.fabsurplus.com/sdi_catalog/salesItemDetails.do?id=108003</v>
      </c>
      <c r="B4169" s="5" t="s">
        <v>11783</v>
      </c>
      <c r="C4169" s="5" t="s">
        <v>11410</v>
      </c>
      <c r="D4169" s="5" t="s">
        <v>11781</v>
      </c>
      <c r="E4169" s="5" t="s">
        <v>11784</v>
      </c>
      <c r="F4169" s="5" t="s">
        <v>16</v>
      </c>
      <c r="G4169" s="5" t="s">
        <v>38</v>
      </c>
      <c r="H4169" s="5" t="s">
        <v>32</v>
      </c>
      <c r="I4169" s="5"/>
      <c r="J4169" s="5" t="s">
        <v>19</v>
      </c>
      <c r="K4169" s="5" t="s">
        <v>20</v>
      </c>
      <c r="L4169" s="5"/>
    </row>
    <row r="4170" customFormat="false" ht="15.65" hidden="false" customHeight="true" outlineLevel="0" collapsed="false">
      <c r="A4170" s="2" t="str">
        <f aca="false">HYPERLINK("https://www.fabsurplus.com/sdi_catalog/salesItemDetails.do?id=109027")</f>
        <v>https://www.fabsurplus.com/sdi_catalog/salesItemDetails.do?id=109027</v>
      </c>
      <c r="B4170" s="2" t="s">
        <v>11785</v>
      </c>
      <c r="C4170" s="2" t="s">
        <v>11410</v>
      </c>
      <c r="D4170" s="2" t="s">
        <v>11786</v>
      </c>
      <c r="E4170" s="2" t="s">
        <v>11787</v>
      </c>
      <c r="F4170" s="2" t="s">
        <v>16</v>
      </c>
      <c r="G4170" s="2" t="s">
        <v>38</v>
      </c>
      <c r="H4170" s="2" t="s">
        <v>32</v>
      </c>
      <c r="I4170" s="3" t="n">
        <v>36373</v>
      </c>
      <c r="J4170" s="2" t="s">
        <v>19</v>
      </c>
      <c r="K4170" s="2" t="s">
        <v>20</v>
      </c>
      <c r="L4170" s="4" t="s">
        <v>11788</v>
      </c>
    </row>
    <row r="4171" customFormat="false" ht="15.65" hidden="false" customHeight="true" outlineLevel="0" collapsed="false">
      <c r="A4171" s="5" t="str">
        <f aca="false">HYPERLINK("https://www.fabsurplus.com/sdi_catalog/salesItemDetails.do?id=108004")</f>
        <v>https://www.fabsurplus.com/sdi_catalog/salesItemDetails.do?id=108004</v>
      </c>
      <c r="B4171" s="5" t="s">
        <v>11789</v>
      </c>
      <c r="C4171" s="5" t="s">
        <v>11410</v>
      </c>
      <c r="D4171" s="5" t="s">
        <v>11790</v>
      </c>
      <c r="E4171" s="5" t="s">
        <v>11791</v>
      </c>
      <c r="F4171" s="5" t="s">
        <v>16</v>
      </c>
      <c r="G4171" s="5" t="s">
        <v>38</v>
      </c>
      <c r="H4171" s="5" t="s">
        <v>32</v>
      </c>
      <c r="I4171" s="5"/>
      <c r="J4171" s="5" t="s">
        <v>19</v>
      </c>
      <c r="K4171" s="5" t="s">
        <v>20</v>
      </c>
      <c r="L4171" s="5"/>
    </row>
    <row r="4172" customFormat="false" ht="15.65" hidden="false" customHeight="true" outlineLevel="0" collapsed="false">
      <c r="A4172" s="2" t="str">
        <f aca="false">HYPERLINK("https://www.fabsurplus.com/sdi_catalog/salesItemDetails.do?id=108516")</f>
        <v>https://www.fabsurplus.com/sdi_catalog/salesItemDetails.do?id=108516</v>
      </c>
      <c r="B4172" s="2" t="s">
        <v>11792</v>
      </c>
      <c r="C4172" s="2" t="s">
        <v>11410</v>
      </c>
      <c r="D4172" s="2" t="s">
        <v>11793</v>
      </c>
      <c r="E4172" s="2" t="s">
        <v>2340</v>
      </c>
      <c r="F4172" s="2" t="s">
        <v>16</v>
      </c>
      <c r="G4172" s="2" t="s">
        <v>61</v>
      </c>
      <c r="H4172" s="2"/>
      <c r="I4172" s="2"/>
      <c r="J4172" s="2" t="s">
        <v>19</v>
      </c>
      <c r="K4172" s="2"/>
      <c r="L4172" s="2"/>
    </row>
    <row r="4173" customFormat="false" ht="15.65" hidden="false" customHeight="true" outlineLevel="0" collapsed="false">
      <c r="A4173" s="5" t="str">
        <f aca="false">HYPERLINK("https://www.fabsurplus.com/sdi_catalog/salesItemDetails.do?id=108005")</f>
        <v>https://www.fabsurplus.com/sdi_catalog/salesItemDetails.do?id=108005</v>
      </c>
      <c r="B4173" s="5" t="s">
        <v>11794</v>
      </c>
      <c r="C4173" s="5" t="s">
        <v>11410</v>
      </c>
      <c r="D4173" s="5" t="s">
        <v>11790</v>
      </c>
      <c r="E4173" s="5" t="s">
        <v>11795</v>
      </c>
      <c r="F4173" s="5" t="s">
        <v>16</v>
      </c>
      <c r="G4173" s="5" t="s">
        <v>38</v>
      </c>
      <c r="H4173" s="5" t="s">
        <v>32</v>
      </c>
      <c r="I4173" s="5"/>
      <c r="J4173" s="5" t="s">
        <v>19</v>
      </c>
      <c r="K4173" s="5" t="s">
        <v>20</v>
      </c>
      <c r="L4173" s="5"/>
    </row>
    <row r="4174" customFormat="false" ht="15.65" hidden="false" customHeight="true" outlineLevel="0" collapsed="false">
      <c r="A4174" s="2" t="str">
        <f aca="false">HYPERLINK("https://www.fabsurplus.com/sdi_catalog/salesItemDetails.do?id=108517")</f>
        <v>https://www.fabsurplus.com/sdi_catalog/salesItemDetails.do?id=108517</v>
      </c>
      <c r="B4174" s="2" t="s">
        <v>11796</v>
      </c>
      <c r="C4174" s="2" t="s">
        <v>11410</v>
      </c>
      <c r="D4174" s="2" t="s">
        <v>11793</v>
      </c>
      <c r="E4174" s="2" t="s">
        <v>2340</v>
      </c>
      <c r="F4174" s="2" t="s">
        <v>16</v>
      </c>
      <c r="G4174" s="2" t="s">
        <v>61</v>
      </c>
      <c r="H4174" s="2"/>
      <c r="I4174" s="2"/>
      <c r="J4174" s="2" t="s">
        <v>19</v>
      </c>
      <c r="K4174" s="2"/>
      <c r="L4174" s="2"/>
    </row>
    <row r="4175" customFormat="false" ht="15.65" hidden="false" customHeight="true" outlineLevel="0" collapsed="false">
      <c r="A4175" s="5" t="str">
        <f aca="false">HYPERLINK("https://www.fabsurplus.com/sdi_catalog/salesItemDetails.do?id=108523")</f>
        <v>https://www.fabsurplus.com/sdi_catalog/salesItemDetails.do?id=108523</v>
      </c>
      <c r="B4175" s="5" t="s">
        <v>11797</v>
      </c>
      <c r="C4175" s="5" t="s">
        <v>11410</v>
      </c>
      <c r="D4175" s="5" t="s">
        <v>11752</v>
      </c>
      <c r="E4175" s="5" t="s">
        <v>2340</v>
      </c>
      <c r="F4175" s="5" t="s">
        <v>16</v>
      </c>
      <c r="G4175" s="5" t="s">
        <v>61</v>
      </c>
      <c r="H4175" s="5"/>
      <c r="I4175" s="5"/>
      <c r="J4175" s="5" t="s">
        <v>19</v>
      </c>
      <c r="K4175" s="5"/>
      <c r="L4175" s="5"/>
    </row>
    <row r="4176" customFormat="false" ht="15.65" hidden="false" customHeight="true" outlineLevel="0" collapsed="false">
      <c r="A4176" s="2" t="str">
        <f aca="false">HYPERLINK("https://www.fabsurplus.com/sdi_catalog/salesItemDetails.do?id=109548")</f>
        <v>https://www.fabsurplus.com/sdi_catalog/salesItemDetails.do?id=109548</v>
      </c>
      <c r="B4176" s="2" t="s">
        <v>11798</v>
      </c>
      <c r="C4176" s="2" t="s">
        <v>11410</v>
      </c>
      <c r="D4176" s="2" t="s">
        <v>11799</v>
      </c>
      <c r="E4176" s="2" t="s">
        <v>83</v>
      </c>
      <c r="F4176" s="2" t="s">
        <v>11800</v>
      </c>
      <c r="G4176" s="2" t="s">
        <v>61</v>
      </c>
      <c r="H4176" s="2" t="s">
        <v>32</v>
      </c>
      <c r="I4176" s="3" t="n">
        <v>38504</v>
      </c>
      <c r="J4176" s="2" t="s">
        <v>19</v>
      </c>
      <c r="K4176" s="2" t="s">
        <v>20</v>
      </c>
      <c r="L4176" s="4" t="s">
        <v>11801</v>
      </c>
    </row>
    <row r="4177" customFormat="false" ht="15.65" hidden="false" customHeight="true" outlineLevel="0" collapsed="false">
      <c r="A4177" s="5" t="str">
        <f aca="false">HYPERLINK("https://www.fabsurplus.com/sdi_catalog/salesItemDetails.do?id=86253")</f>
        <v>https://www.fabsurplus.com/sdi_catalog/salesItemDetails.do?id=86253</v>
      </c>
      <c r="B4177" s="5" t="s">
        <v>11802</v>
      </c>
      <c r="C4177" s="5" t="s">
        <v>11427</v>
      </c>
      <c r="D4177" s="5" t="s">
        <v>11803</v>
      </c>
      <c r="E4177" s="5" t="s">
        <v>11804</v>
      </c>
      <c r="F4177" s="5" t="s">
        <v>16</v>
      </c>
      <c r="G4177" s="5" t="s">
        <v>61</v>
      </c>
      <c r="H4177" s="5" t="s">
        <v>32</v>
      </c>
      <c r="I4177" s="5"/>
      <c r="J4177" s="5" t="s">
        <v>19</v>
      </c>
      <c r="K4177" s="5" t="s">
        <v>20</v>
      </c>
      <c r="L4177" s="7" t="s">
        <v>11805</v>
      </c>
    </row>
    <row r="4178" customFormat="false" ht="15.65" hidden="false" customHeight="true" outlineLevel="0" collapsed="false">
      <c r="A4178" s="2" t="str">
        <f aca="false">HYPERLINK("https://www.fabsurplus.com/sdi_catalog/salesItemDetails.do?id=108525")</f>
        <v>https://www.fabsurplus.com/sdi_catalog/salesItemDetails.do?id=108525</v>
      </c>
      <c r="B4178" s="2" t="s">
        <v>11806</v>
      </c>
      <c r="C4178" s="2" t="s">
        <v>11410</v>
      </c>
      <c r="D4178" s="2" t="s">
        <v>11807</v>
      </c>
      <c r="E4178" s="2" t="s">
        <v>2340</v>
      </c>
      <c r="F4178" s="2" t="s">
        <v>16</v>
      </c>
      <c r="G4178" s="2" t="s">
        <v>61</v>
      </c>
      <c r="H4178" s="2"/>
      <c r="I4178" s="2"/>
      <c r="J4178" s="2" t="s">
        <v>19</v>
      </c>
      <c r="K4178" s="2"/>
      <c r="L4178" s="2"/>
    </row>
    <row r="4179" customFormat="false" ht="15.65" hidden="false" customHeight="true" outlineLevel="0" collapsed="false">
      <c r="A4179" s="5" t="str">
        <f aca="false">HYPERLINK("https://www.fabsurplus.com/sdi_catalog/salesItemDetails.do?id=108527")</f>
        <v>https://www.fabsurplus.com/sdi_catalog/salesItemDetails.do?id=108527</v>
      </c>
      <c r="B4179" s="5" t="s">
        <v>11808</v>
      </c>
      <c r="C4179" s="5" t="s">
        <v>11410</v>
      </c>
      <c r="D4179" s="5" t="s">
        <v>11763</v>
      </c>
      <c r="E4179" s="5" t="s">
        <v>1785</v>
      </c>
      <c r="F4179" s="5" t="s">
        <v>108</v>
      </c>
      <c r="G4179" s="5" t="s">
        <v>61</v>
      </c>
      <c r="H4179" s="5"/>
      <c r="I4179" s="5"/>
      <c r="J4179" s="5" t="s">
        <v>19</v>
      </c>
      <c r="K4179" s="5"/>
      <c r="L4179" s="5"/>
    </row>
    <row r="4180" customFormat="false" ht="15.65" hidden="false" customHeight="true" outlineLevel="0" collapsed="false">
      <c r="A4180" s="2" t="str">
        <f aca="false">HYPERLINK("https://www.fabsurplus.com/sdi_catalog/salesItemDetails.do?id=87287")</f>
        <v>https://www.fabsurplus.com/sdi_catalog/salesItemDetails.do?id=87287</v>
      </c>
      <c r="B4180" s="2" t="s">
        <v>11809</v>
      </c>
      <c r="C4180" s="2" t="s">
        <v>11410</v>
      </c>
      <c r="D4180" s="2" t="s">
        <v>11725</v>
      </c>
      <c r="E4180" s="2" t="s">
        <v>11810</v>
      </c>
      <c r="F4180" s="2" t="s">
        <v>16</v>
      </c>
      <c r="G4180" s="2" t="s">
        <v>61</v>
      </c>
      <c r="H4180" s="2" t="s">
        <v>32</v>
      </c>
      <c r="I4180" s="3" t="n">
        <v>38138.9166666667</v>
      </c>
      <c r="J4180" s="2" t="s">
        <v>19</v>
      </c>
      <c r="K4180" s="2" t="s">
        <v>20</v>
      </c>
      <c r="L4180" s="4" t="s">
        <v>11811</v>
      </c>
    </row>
    <row r="4181" customFormat="false" ht="15.65" hidden="false" customHeight="true" outlineLevel="0" collapsed="false">
      <c r="A4181" s="5" t="str">
        <f aca="false">HYPERLINK("https://www.fabsurplus.com/sdi_catalog/salesItemDetails.do?id=106744")</f>
        <v>https://www.fabsurplus.com/sdi_catalog/salesItemDetails.do?id=106744</v>
      </c>
      <c r="B4181" s="5" t="s">
        <v>11812</v>
      </c>
      <c r="C4181" s="5" t="s">
        <v>11427</v>
      </c>
      <c r="D4181" s="5" t="s">
        <v>11582</v>
      </c>
      <c r="E4181" s="5" t="s">
        <v>11813</v>
      </c>
      <c r="F4181" s="5" t="s">
        <v>16</v>
      </c>
      <c r="G4181" s="5" t="s">
        <v>61</v>
      </c>
      <c r="H4181" s="5"/>
      <c r="I4181" s="5"/>
      <c r="J4181" s="5" t="s">
        <v>19</v>
      </c>
      <c r="K4181" s="5"/>
      <c r="L4181" s="5" t="s">
        <v>518</v>
      </c>
    </row>
    <row r="4182" customFormat="false" ht="15.65" hidden="false" customHeight="true" outlineLevel="0" collapsed="false">
      <c r="A4182" s="2" t="str">
        <f aca="false">HYPERLINK("https://www.fabsurplus.com/sdi_catalog/salesItemDetails.do?id=108536")</f>
        <v>https://www.fabsurplus.com/sdi_catalog/salesItemDetails.do?id=108536</v>
      </c>
      <c r="B4182" s="2" t="s">
        <v>11814</v>
      </c>
      <c r="C4182" s="2" t="s">
        <v>11410</v>
      </c>
      <c r="D4182" s="2" t="s">
        <v>11815</v>
      </c>
      <c r="E4182" s="2" t="s">
        <v>1802</v>
      </c>
      <c r="F4182" s="2" t="s">
        <v>16</v>
      </c>
      <c r="G4182" s="2" t="s">
        <v>61</v>
      </c>
      <c r="H4182" s="2"/>
      <c r="I4182" s="2"/>
      <c r="J4182" s="2" t="s">
        <v>19</v>
      </c>
      <c r="K4182" s="2"/>
      <c r="L4182" s="2"/>
    </row>
    <row r="4183" customFormat="false" ht="15.65" hidden="false" customHeight="true" outlineLevel="0" collapsed="false">
      <c r="A4183" s="5" t="str">
        <f aca="false">HYPERLINK("https://www.fabsurplus.com/sdi_catalog/salesItemDetails.do?id=106745")</f>
        <v>https://www.fabsurplus.com/sdi_catalog/salesItemDetails.do?id=106745</v>
      </c>
      <c r="B4183" s="5" t="s">
        <v>11816</v>
      </c>
      <c r="C4183" s="5" t="s">
        <v>11427</v>
      </c>
      <c r="D4183" s="5" t="s">
        <v>11582</v>
      </c>
      <c r="E4183" s="5" t="s">
        <v>11813</v>
      </c>
      <c r="F4183" s="5" t="s">
        <v>16</v>
      </c>
      <c r="G4183" s="5" t="s">
        <v>61</v>
      </c>
      <c r="H4183" s="5"/>
      <c r="I4183" s="5"/>
      <c r="J4183" s="5" t="s">
        <v>19</v>
      </c>
      <c r="K4183" s="5"/>
      <c r="L4183" s="5" t="s">
        <v>518</v>
      </c>
    </row>
    <row r="4184" customFormat="false" ht="15.65" hidden="false" customHeight="true" outlineLevel="0" collapsed="false">
      <c r="A4184" s="2" t="str">
        <f aca="false">HYPERLINK("https://www.fabsurplus.com/sdi_catalog/salesItemDetails.do?id=108537")</f>
        <v>https://www.fabsurplus.com/sdi_catalog/salesItemDetails.do?id=108537</v>
      </c>
      <c r="B4184" s="2" t="s">
        <v>11817</v>
      </c>
      <c r="C4184" s="2" t="s">
        <v>11410</v>
      </c>
      <c r="D4184" s="2" t="s">
        <v>11818</v>
      </c>
      <c r="E4184" s="2" t="s">
        <v>1785</v>
      </c>
      <c r="F4184" s="2" t="s">
        <v>16</v>
      </c>
      <c r="G4184" s="2" t="s">
        <v>388</v>
      </c>
      <c r="H4184" s="2" t="s">
        <v>32</v>
      </c>
      <c r="I4184" s="3" t="n">
        <v>41426</v>
      </c>
      <c r="J4184" s="2" t="s">
        <v>19</v>
      </c>
      <c r="K4184" s="2" t="s">
        <v>20</v>
      </c>
      <c r="L4184" s="4" t="s">
        <v>11819</v>
      </c>
    </row>
    <row r="4185" customFormat="false" ht="15.65" hidden="false" customHeight="true" outlineLevel="0" collapsed="false">
      <c r="A4185" s="5" t="str">
        <f aca="false">HYPERLINK("https://www.fabsurplus.com/sdi_catalog/salesItemDetails.do?id=106746")</f>
        <v>https://www.fabsurplus.com/sdi_catalog/salesItemDetails.do?id=106746</v>
      </c>
      <c r="B4185" s="5" t="s">
        <v>11820</v>
      </c>
      <c r="C4185" s="5" t="s">
        <v>11427</v>
      </c>
      <c r="D4185" s="5" t="s">
        <v>11608</v>
      </c>
      <c r="E4185" s="5" t="s">
        <v>11821</v>
      </c>
      <c r="F4185" s="5" t="s">
        <v>16</v>
      </c>
      <c r="G4185" s="5" t="s">
        <v>61</v>
      </c>
      <c r="H4185" s="5"/>
      <c r="I4185" s="5"/>
      <c r="J4185" s="5" t="s">
        <v>19</v>
      </c>
      <c r="K4185" s="5"/>
      <c r="L4185" s="5" t="s">
        <v>518</v>
      </c>
    </row>
    <row r="4186" customFormat="false" ht="15.65" hidden="false" customHeight="true" outlineLevel="0" collapsed="false">
      <c r="A4186" s="2" t="str">
        <f aca="false">HYPERLINK("https://www.fabsurplus.com/sdi_catalog/salesItemDetails.do?id=108538")</f>
        <v>https://www.fabsurplus.com/sdi_catalog/salesItemDetails.do?id=108538</v>
      </c>
      <c r="B4186" s="2" t="s">
        <v>11822</v>
      </c>
      <c r="C4186" s="2" t="s">
        <v>11410</v>
      </c>
      <c r="D4186" s="2" t="s">
        <v>11823</v>
      </c>
      <c r="E4186" s="2" t="s">
        <v>1785</v>
      </c>
      <c r="F4186" s="2" t="s">
        <v>16</v>
      </c>
      <c r="G4186" s="2" t="s">
        <v>388</v>
      </c>
      <c r="H4186" s="2"/>
      <c r="I4186" s="2"/>
      <c r="J4186" s="2" t="s">
        <v>19</v>
      </c>
      <c r="K4186" s="2"/>
      <c r="L4186" s="2"/>
    </row>
    <row r="4187" customFormat="false" ht="15.65" hidden="false" customHeight="true" outlineLevel="0" collapsed="false">
      <c r="A4187" s="5" t="str">
        <f aca="false">HYPERLINK("https://www.fabsurplus.com/sdi_catalog/salesItemDetails.do?id=98299")</f>
        <v>https://www.fabsurplus.com/sdi_catalog/salesItemDetails.do?id=98299</v>
      </c>
      <c r="B4187" s="5" t="s">
        <v>11824</v>
      </c>
      <c r="C4187" s="5" t="s">
        <v>11410</v>
      </c>
      <c r="D4187" s="5" t="s">
        <v>11608</v>
      </c>
      <c r="E4187" s="5" t="s">
        <v>11810</v>
      </c>
      <c r="F4187" s="5" t="s">
        <v>16</v>
      </c>
      <c r="G4187" s="5" t="s">
        <v>61</v>
      </c>
      <c r="H4187" s="5"/>
      <c r="I4187" s="5"/>
      <c r="J4187" s="5" t="s">
        <v>19</v>
      </c>
      <c r="K4187" s="5"/>
      <c r="L4187" s="5"/>
    </row>
    <row r="4188" customFormat="false" ht="15.65" hidden="false" customHeight="true" outlineLevel="0" collapsed="false">
      <c r="A4188" s="2" t="str">
        <f aca="false">HYPERLINK("https://www.fabsurplus.com/sdi_catalog/salesItemDetails.do?id=106747")</f>
        <v>https://www.fabsurplus.com/sdi_catalog/salesItemDetails.do?id=106747</v>
      </c>
      <c r="B4188" s="2" t="s">
        <v>11825</v>
      </c>
      <c r="C4188" s="2" t="s">
        <v>11427</v>
      </c>
      <c r="D4188" s="2" t="s">
        <v>11608</v>
      </c>
      <c r="E4188" s="2" t="s">
        <v>11821</v>
      </c>
      <c r="F4188" s="2" t="s">
        <v>16</v>
      </c>
      <c r="G4188" s="2" t="s">
        <v>61</v>
      </c>
      <c r="H4188" s="2"/>
      <c r="I4188" s="2"/>
      <c r="J4188" s="2" t="s">
        <v>19</v>
      </c>
      <c r="K4188" s="2"/>
      <c r="L4188" s="2" t="s">
        <v>518</v>
      </c>
    </row>
    <row r="4189" customFormat="false" ht="15.65" hidden="false" customHeight="true" outlineLevel="0" collapsed="false">
      <c r="A4189" s="5" t="str">
        <f aca="false">HYPERLINK("https://www.fabsurplus.com/sdi_catalog/salesItemDetails.do?id=106748")</f>
        <v>https://www.fabsurplus.com/sdi_catalog/salesItemDetails.do?id=106748</v>
      </c>
      <c r="B4189" s="5" t="s">
        <v>11826</v>
      </c>
      <c r="C4189" s="5" t="s">
        <v>11427</v>
      </c>
      <c r="D4189" s="5" t="s">
        <v>11651</v>
      </c>
      <c r="E4189" s="5" t="s">
        <v>11652</v>
      </c>
      <c r="F4189" s="5" t="s">
        <v>16</v>
      </c>
      <c r="G4189" s="5" t="s">
        <v>61</v>
      </c>
      <c r="H4189" s="5"/>
      <c r="I4189" s="6" t="n">
        <v>38504</v>
      </c>
      <c r="J4189" s="5" t="s">
        <v>19</v>
      </c>
      <c r="K4189" s="5"/>
      <c r="L4189" s="5" t="s">
        <v>518</v>
      </c>
    </row>
    <row r="4190" customFormat="false" ht="15.65" hidden="false" customHeight="true" outlineLevel="0" collapsed="false">
      <c r="A4190" s="2" t="str">
        <f aca="false">HYPERLINK("https://www.fabsurplus.com/sdi_catalog/salesItemDetails.do?id=106749")</f>
        <v>https://www.fabsurplus.com/sdi_catalog/salesItemDetails.do?id=106749</v>
      </c>
      <c r="B4190" s="2" t="s">
        <v>11827</v>
      </c>
      <c r="C4190" s="2" t="s">
        <v>11427</v>
      </c>
      <c r="D4190" s="2" t="s">
        <v>11828</v>
      </c>
      <c r="E4190" s="2" t="s">
        <v>11652</v>
      </c>
      <c r="F4190" s="2" t="s">
        <v>16</v>
      </c>
      <c r="G4190" s="2" t="s">
        <v>61</v>
      </c>
      <c r="H4190" s="2"/>
      <c r="I4190" s="3" t="n">
        <v>38869</v>
      </c>
      <c r="J4190" s="2" t="s">
        <v>19</v>
      </c>
      <c r="K4190" s="2"/>
      <c r="L4190" s="2" t="s">
        <v>518</v>
      </c>
    </row>
    <row r="4191" customFormat="false" ht="15.65" hidden="false" customHeight="true" outlineLevel="0" collapsed="false">
      <c r="A4191" s="5" t="str">
        <f aca="false">HYPERLINK("https://www.fabsurplus.com/sdi_catalog/salesItemDetails.do?id=109565")</f>
        <v>https://www.fabsurplus.com/sdi_catalog/salesItemDetails.do?id=109565</v>
      </c>
      <c r="B4191" s="5" t="s">
        <v>11829</v>
      </c>
      <c r="C4191" s="5" t="s">
        <v>11410</v>
      </c>
      <c r="D4191" s="5" t="s">
        <v>11830</v>
      </c>
      <c r="E4191" s="5" t="s">
        <v>11831</v>
      </c>
      <c r="F4191" s="5" t="s">
        <v>16</v>
      </c>
      <c r="G4191" s="5" t="s">
        <v>61</v>
      </c>
      <c r="H4191" s="5" t="s">
        <v>18</v>
      </c>
      <c r="I4191" s="6" t="n">
        <v>38473</v>
      </c>
      <c r="J4191" s="5" t="s">
        <v>19</v>
      </c>
      <c r="K4191" s="5" t="s">
        <v>20</v>
      </c>
      <c r="L4191" s="7" t="s">
        <v>11832</v>
      </c>
    </row>
    <row r="4192" customFormat="false" ht="15.65" hidden="false" customHeight="true" outlineLevel="0" collapsed="false">
      <c r="A4192" s="2" t="str">
        <f aca="false">HYPERLINK("https://www.fabsurplus.com/sdi_catalog/salesItemDetails.do?id=98302")</f>
        <v>https://www.fabsurplus.com/sdi_catalog/salesItemDetails.do?id=98302</v>
      </c>
      <c r="B4192" s="2" t="s">
        <v>11833</v>
      </c>
      <c r="C4192" s="2" t="s">
        <v>11410</v>
      </c>
      <c r="D4192" s="2" t="s">
        <v>11411</v>
      </c>
      <c r="E4192" s="2" t="s">
        <v>2340</v>
      </c>
      <c r="F4192" s="2" t="s">
        <v>16</v>
      </c>
      <c r="G4192" s="2" t="s">
        <v>61</v>
      </c>
      <c r="H4192" s="2"/>
      <c r="I4192" s="3" t="n">
        <v>38868.9166666667</v>
      </c>
      <c r="J4192" s="2" t="s">
        <v>19</v>
      </c>
      <c r="K4192" s="2"/>
      <c r="L4192" s="2"/>
    </row>
    <row r="4193" customFormat="false" ht="15.65" hidden="false" customHeight="true" outlineLevel="0" collapsed="false">
      <c r="A4193" s="5" t="str">
        <f aca="false">HYPERLINK("https://www.fabsurplus.com/sdi_catalog/salesItemDetails.do?id=106750")</f>
        <v>https://www.fabsurplus.com/sdi_catalog/salesItemDetails.do?id=106750</v>
      </c>
      <c r="B4193" s="5" t="s">
        <v>11834</v>
      </c>
      <c r="C4193" s="5" t="s">
        <v>11427</v>
      </c>
      <c r="D4193" s="5" t="s">
        <v>11835</v>
      </c>
      <c r="E4193" s="5" t="s">
        <v>11836</v>
      </c>
      <c r="F4193" s="5" t="s">
        <v>16</v>
      </c>
      <c r="G4193" s="5" t="s">
        <v>61</v>
      </c>
      <c r="H4193" s="5"/>
      <c r="I4193" s="5"/>
      <c r="J4193" s="5" t="s">
        <v>19</v>
      </c>
      <c r="K4193" s="5"/>
      <c r="L4193" s="5" t="s">
        <v>518</v>
      </c>
    </row>
    <row r="4194" customFormat="false" ht="15.65" hidden="false" customHeight="true" outlineLevel="0" collapsed="false">
      <c r="A4194" s="2" t="str">
        <f aca="false">HYPERLINK("https://www.fabsurplus.com/sdi_catalog/salesItemDetails.do?id=98303")</f>
        <v>https://www.fabsurplus.com/sdi_catalog/salesItemDetails.do?id=98303</v>
      </c>
      <c r="B4194" s="2" t="s">
        <v>11837</v>
      </c>
      <c r="C4194" s="2" t="s">
        <v>11410</v>
      </c>
      <c r="D4194" s="2" t="s">
        <v>11411</v>
      </c>
      <c r="E4194" s="2" t="s">
        <v>2340</v>
      </c>
      <c r="F4194" s="2" t="s">
        <v>16</v>
      </c>
      <c r="G4194" s="2" t="s">
        <v>61</v>
      </c>
      <c r="H4194" s="2"/>
      <c r="I4194" s="3" t="n">
        <v>38138.9166666667</v>
      </c>
      <c r="J4194" s="2" t="s">
        <v>19</v>
      </c>
      <c r="K4194" s="2"/>
      <c r="L4194" s="2"/>
    </row>
    <row r="4195" customFormat="false" ht="15.65" hidden="false" customHeight="true" outlineLevel="0" collapsed="false">
      <c r="A4195" s="5" t="str">
        <f aca="false">HYPERLINK("https://www.fabsurplus.com/sdi_catalog/salesItemDetails.do?id=106751")</f>
        <v>https://www.fabsurplus.com/sdi_catalog/salesItemDetails.do?id=106751</v>
      </c>
      <c r="B4195" s="5" t="s">
        <v>11838</v>
      </c>
      <c r="C4195" s="5" t="s">
        <v>11427</v>
      </c>
      <c r="D4195" s="5" t="s">
        <v>11839</v>
      </c>
      <c r="E4195" s="5" t="s">
        <v>11836</v>
      </c>
      <c r="F4195" s="5" t="s">
        <v>16</v>
      </c>
      <c r="G4195" s="5" t="s">
        <v>61</v>
      </c>
      <c r="H4195" s="5"/>
      <c r="I4195" s="5"/>
      <c r="J4195" s="5" t="s">
        <v>19</v>
      </c>
      <c r="K4195" s="5"/>
      <c r="L4195" s="5" t="s">
        <v>518</v>
      </c>
    </row>
    <row r="4196" customFormat="false" ht="15.65" hidden="false" customHeight="true" outlineLevel="0" collapsed="false">
      <c r="A4196" s="2" t="str">
        <f aca="false">HYPERLINK("https://www.fabsurplus.com/sdi_catalog/salesItemDetails.do?id=108881")</f>
        <v>https://www.fabsurplus.com/sdi_catalog/salesItemDetails.do?id=108881</v>
      </c>
      <c r="B4196" s="2" t="s">
        <v>11840</v>
      </c>
      <c r="C4196" s="2" t="s">
        <v>11841</v>
      </c>
      <c r="D4196" s="2" t="s">
        <v>7243</v>
      </c>
      <c r="E4196" s="2" t="s">
        <v>11842</v>
      </c>
      <c r="F4196" s="2" t="s">
        <v>16</v>
      </c>
      <c r="G4196" s="2" t="s">
        <v>165</v>
      </c>
      <c r="H4196" s="2"/>
      <c r="I4196" s="2"/>
      <c r="J4196" s="2" t="s">
        <v>42</v>
      </c>
      <c r="K4196" s="2"/>
      <c r="L4196" s="2" t="s">
        <v>131</v>
      </c>
    </row>
    <row r="4197" customFormat="false" ht="15.65" hidden="false" customHeight="true" outlineLevel="0" collapsed="false">
      <c r="A4197" s="5" t="str">
        <f aca="false">HYPERLINK("https://www.fabsurplus.com/sdi_catalog/salesItemDetails.do?id=108882")</f>
        <v>https://www.fabsurplus.com/sdi_catalog/salesItemDetails.do?id=108882</v>
      </c>
      <c r="B4197" s="5" t="s">
        <v>11843</v>
      </c>
      <c r="C4197" s="5" t="s">
        <v>11841</v>
      </c>
      <c r="D4197" s="5" t="s">
        <v>11844</v>
      </c>
      <c r="E4197" s="5" t="s">
        <v>11845</v>
      </c>
      <c r="F4197" s="5" t="s">
        <v>16</v>
      </c>
      <c r="G4197" s="5" t="s">
        <v>165</v>
      </c>
      <c r="H4197" s="5"/>
      <c r="I4197" s="5"/>
      <c r="J4197" s="5" t="s">
        <v>42</v>
      </c>
      <c r="K4197" s="5"/>
      <c r="L4197" s="5" t="s">
        <v>131</v>
      </c>
    </row>
    <row r="4198" customFormat="false" ht="15.65" hidden="false" customHeight="true" outlineLevel="0" collapsed="false">
      <c r="A4198" s="2" t="str">
        <f aca="false">HYPERLINK("https://www.fabsurplus.com/sdi_catalog/salesItemDetails.do?id=108883")</f>
        <v>https://www.fabsurplus.com/sdi_catalog/salesItemDetails.do?id=108883</v>
      </c>
      <c r="B4198" s="2" t="s">
        <v>11846</v>
      </c>
      <c r="C4198" s="2" t="s">
        <v>11847</v>
      </c>
      <c r="D4198" s="2" t="s">
        <v>11848</v>
      </c>
      <c r="E4198" s="2" t="s">
        <v>11849</v>
      </c>
      <c r="F4198" s="2" t="s">
        <v>16</v>
      </c>
      <c r="G4198" s="2"/>
      <c r="H4198" s="2"/>
      <c r="I4198" s="2"/>
      <c r="J4198" s="2" t="s">
        <v>42</v>
      </c>
      <c r="K4198" s="2"/>
      <c r="L4198" s="2" t="s">
        <v>131</v>
      </c>
    </row>
    <row r="4199" customFormat="false" ht="15.65" hidden="false" customHeight="true" outlineLevel="0" collapsed="false">
      <c r="A4199" s="5" t="str">
        <f aca="false">HYPERLINK("https://www.fabsurplus.com/sdi_catalog/salesItemDetails.do?id=108884")</f>
        <v>https://www.fabsurplus.com/sdi_catalog/salesItemDetails.do?id=108884</v>
      </c>
      <c r="B4199" s="5" t="s">
        <v>11850</v>
      </c>
      <c r="C4199" s="5" t="s">
        <v>11847</v>
      </c>
      <c r="D4199" s="5" t="s">
        <v>11851</v>
      </c>
      <c r="E4199" s="5" t="s">
        <v>11852</v>
      </c>
      <c r="F4199" s="5" t="s">
        <v>16</v>
      </c>
      <c r="G4199" s="5"/>
      <c r="H4199" s="5"/>
      <c r="I4199" s="5"/>
      <c r="J4199" s="5" t="s">
        <v>42</v>
      </c>
      <c r="K4199" s="5"/>
      <c r="L4199" s="5" t="s">
        <v>131</v>
      </c>
    </row>
    <row r="4200" customFormat="false" ht="15.65" hidden="false" customHeight="true" outlineLevel="0" collapsed="false">
      <c r="A4200" s="2" t="str">
        <f aca="false">HYPERLINK("https://www.fabsurplus.com/sdi_catalog/salesItemDetails.do?id=108885")</f>
        <v>https://www.fabsurplus.com/sdi_catalog/salesItemDetails.do?id=108885</v>
      </c>
      <c r="B4200" s="2" t="s">
        <v>11853</v>
      </c>
      <c r="C4200" s="2" t="s">
        <v>11847</v>
      </c>
      <c r="D4200" s="2" t="s">
        <v>11854</v>
      </c>
      <c r="E4200" s="2" t="s">
        <v>11849</v>
      </c>
      <c r="F4200" s="2" t="s">
        <v>16</v>
      </c>
      <c r="G4200" s="2"/>
      <c r="H4200" s="2"/>
      <c r="I4200" s="2"/>
      <c r="J4200" s="2" t="s">
        <v>42</v>
      </c>
      <c r="K4200" s="2"/>
      <c r="L4200" s="2" t="s">
        <v>131</v>
      </c>
    </row>
    <row r="4201" customFormat="false" ht="15.65" hidden="false" customHeight="true" outlineLevel="0" collapsed="false">
      <c r="A4201" s="5" t="str">
        <f aca="false">HYPERLINK("https://www.fabsurplus.com/sdi_catalog/salesItemDetails.do?id=83553")</f>
        <v>https://www.fabsurplus.com/sdi_catalog/salesItemDetails.do?id=83553</v>
      </c>
      <c r="B4201" s="5" t="s">
        <v>11855</v>
      </c>
      <c r="C4201" s="5" t="s">
        <v>11856</v>
      </c>
      <c r="D4201" s="5" t="s">
        <v>11857</v>
      </c>
      <c r="E4201" s="5" t="s">
        <v>11858</v>
      </c>
      <c r="F4201" s="5" t="s">
        <v>16</v>
      </c>
      <c r="G4201" s="5" t="s">
        <v>11857</v>
      </c>
      <c r="H4201" s="5" t="s">
        <v>32</v>
      </c>
      <c r="I4201" s="6" t="n">
        <v>31747</v>
      </c>
      <c r="J4201" s="5" t="s">
        <v>19</v>
      </c>
      <c r="K4201" s="5" t="s">
        <v>20</v>
      </c>
      <c r="L4201" s="5"/>
    </row>
    <row r="4202" customFormat="false" ht="15.65" hidden="false" customHeight="true" outlineLevel="0" collapsed="false">
      <c r="A4202" s="2" t="str">
        <f aca="false">HYPERLINK("https://www.fabsurplus.com/sdi_catalog/salesItemDetails.do?id=83829")</f>
        <v>https://www.fabsurplus.com/sdi_catalog/salesItemDetails.do?id=83829</v>
      </c>
      <c r="B4202" s="2" t="s">
        <v>11859</v>
      </c>
      <c r="C4202" s="2" t="s">
        <v>11856</v>
      </c>
      <c r="D4202" s="2" t="s">
        <v>11860</v>
      </c>
      <c r="E4202" s="2" t="s">
        <v>11861</v>
      </c>
      <c r="F4202" s="2" t="s">
        <v>16</v>
      </c>
      <c r="G4202" s="2" t="s">
        <v>165</v>
      </c>
      <c r="H4202" s="2" t="s">
        <v>18</v>
      </c>
      <c r="I4202" s="2"/>
      <c r="J4202" s="2" t="s">
        <v>19</v>
      </c>
      <c r="K4202" s="2" t="s">
        <v>20</v>
      </c>
      <c r="L4202" s="4" t="s">
        <v>11862</v>
      </c>
    </row>
    <row r="4203" customFormat="false" ht="15.65" hidden="false" customHeight="true" outlineLevel="0" collapsed="false">
      <c r="A4203" s="5" t="str">
        <f aca="false">HYPERLINK("https://www.fabsurplus.com/sdi_catalog/salesItemDetails.do?id=83575")</f>
        <v>https://www.fabsurplus.com/sdi_catalog/salesItemDetails.do?id=83575</v>
      </c>
      <c r="B4203" s="5" t="s">
        <v>11863</v>
      </c>
      <c r="C4203" s="5" t="s">
        <v>11864</v>
      </c>
      <c r="D4203" s="5" t="s">
        <v>11865</v>
      </c>
      <c r="E4203" s="5" t="s">
        <v>11866</v>
      </c>
      <c r="F4203" s="5" t="s">
        <v>16</v>
      </c>
      <c r="G4203" s="5" t="s">
        <v>11867</v>
      </c>
      <c r="H4203" s="5" t="s">
        <v>18</v>
      </c>
      <c r="I4203" s="6" t="n">
        <v>35156</v>
      </c>
      <c r="J4203" s="5" t="s">
        <v>19</v>
      </c>
      <c r="K4203" s="5"/>
      <c r="L4203" s="7" t="s">
        <v>11868</v>
      </c>
    </row>
    <row r="4204" customFormat="false" ht="15.65" hidden="false" customHeight="true" outlineLevel="0" collapsed="false">
      <c r="A4204" s="2" t="str">
        <f aca="false">HYPERLINK("https://www.fabsurplus.com/sdi_catalog/salesItemDetails.do?id=83576")</f>
        <v>https://www.fabsurplus.com/sdi_catalog/salesItemDetails.do?id=83576</v>
      </c>
      <c r="B4204" s="2" t="s">
        <v>11869</v>
      </c>
      <c r="C4204" s="2" t="s">
        <v>11864</v>
      </c>
      <c r="D4204" s="2" t="s">
        <v>11870</v>
      </c>
      <c r="E4204" s="2" t="s">
        <v>11866</v>
      </c>
      <c r="F4204" s="2" t="s">
        <v>16</v>
      </c>
      <c r="G4204" s="2" t="s">
        <v>11870</v>
      </c>
      <c r="H4204" s="2" t="s">
        <v>32</v>
      </c>
      <c r="I4204" s="3" t="n">
        <v>35004</v>
      </c>
      <c r="J4204" s="2" t="s">
        <v>19</v>
      </c>
      <c r="K4204" s="2" t="s">
        <v>20</v>
      </c>
      <c r="L4204" s="4" t="s">
        <v>11871</v>
      </c>
    </row>
    <row r="4205" customFormat="false" ht="15.65" hidden="false" customHeight="true" outlineLevel="0" collapsed="false">
      <c r="A4205" s="5" t="str">
        <f aca="false">HYPERLINK("https://www.fabsurplus.com/sdi_catalog/salesItemDetails.do?id=106752")</f>
        <v>https://www.fabsurplus.com/sdi_catalog/salesItemDetails.do?id=106752</v>
      </c>
      <c r="B4205" s="5" t="s">
        <v>11872</v>
      </c>
      <c r="C4205" s="5" t="s">
        <v>11873</v>
      </c>
      <c r="D4205" s="5" t="s">
        <v>11874</v>
      </c>
      <c r="E4205" s="5" t="s">
        <v>607</v>
      </c>
      <c r="F4205" s="5" t="s">
        <v>16</v>
      </c>
      <c r="G4205" s="5" t="s">
        <v>5489</v>
      </c>
      <c r="H4205" s="5"/>
      <c r="I4205" s="6" t="n">
        <v>35947</v>
      </c>
      <c r="J4205" s="5" t="s">
        <v>19</v>
      </c>
      <c r="K4205" s="5"/>
      <c r="L4205" s="5" t="s">
        <v>518</v>
      </c>
    </row>
    <row r="4206" customFormat="false" ht="15.65" hidden="false" customHeight="true" outlineLevel="0" collapsed="false">
      <c r="A4206" s="2" t="str">
        <f aca="false">HYPERLINK("https://www.fabsurplus.com/sdi_catalog/salesItemDetails.do?id=82177")</f>
        <v>https://www.fabsurplus.com/sdi_catalog/salesItemDetails.do?id=82177</v>
      </c>
      <c r="B4206" s="2" t="s">
        <v>11875</v>
      </c>
      <c r="C4206" s="2" t="s">
        <v>11876</v>
      </c>
      <c r="D4206" s="2" t="s">
        <v>11877</v>
      </c>
      <c r="E4206" s="2" t="s">
        <v>11878</v>
      </c>
      <c r="F4206" s="2" t="s">
        <v>108</v>
      </c>
      <c r="G4206" s="2" t="s">
        <v>104</v>
      </c>
      <c r="H4206" s="2" t="s">
        <v>18</v>
      </c>
      <c r="I4206" s="3" t="n">
        <v>35582</v>
      </c>
      <c r="J4206" s="2" t="s">
        <v>19</v>
      </c>
      <c r="K4206" s="2" t="s">
        <v>20</v>
      </c>
      <c r="L4206" s="4" t="s">
        <v>11879</v>
      </c>
    </row>
    <row r="4207" customFormat="false" ht="15.65" hidden="false" customHeight="true" outlineLevel="0" collapsed="false">
      <c r="A4207" s="5" t="str">
        <f aca="false">HYPERLINK("https://www.fabsurplus.com/sdi_catalog/salesItemDetails.do?id=106753")</f>
        <v>https://www.fabsurplus.com/sdi_catalog/salesItemDetails.do?id=106753</v>
      </c>
      <c r="B4207" s="5" t="s">
        <v>11880</v>
      </c>
      <c r="C4207" s="5" t="s">
        <v>11873</v>
      </c>
      <c r="D4207" s="5" t="s">
        <v>11874</v>
      </c>
      <c r="E4207" s="5" t="s">
        <v>607</v>
      </c>
      <c r="F4207" s="5" t="s">
        <v>16</v>
      </c>
      <c r="G4207" s="5" t="s">
        <v>5489</v>
      </c>
      <c r="H4207" s="5"/>
      <c r="I4207" s="6" t="n">
        <v>36678</v>
      </c>
      <c r="J4207" s="5" t="s">
        <v>19</v>
      </c>
      <c r="K4207" s="5"/>
      <c r="L4207" s="5" t="s">
        <v>518</v>
      </c>
    </row>
    <row r="4208" customFormat="false" ht="15.65" hidden="false" customHeight="true" outlineLevel="0" collapsed="false">
      <c r="A4208" s="2" t="str">
        <f aca="false">HYPERLINK("https://www.fabsurplus.com/sdi_catalog/salesItemDetails.do?id=106754")</f>
        <v>https://www.fabsurplus.com/sdi_catalog/salesItemDetails.do?id=106754</v>
      </c>
      <c r="B4208" s="2" t="s">
        <v>11881</v>
      </c>
      <c r="C4208" s="2" t="s">
        <v>11873</v>
      </c>
      <c r="D4208" s="2" t="s">
        <v>11874</v>
      </c>
      <c r="E4208" s="2" t="s">
        <v>607</v>
      </c>
      <c r="F4208" s="2" t="s">
        <v>16</v>
      </c>
      <c r="G4208" s="2" t="s">
        <v>5489</v>
      </c>
      <c r="H4208" s="2"/>
      <c r="I4208" s="2"/>
      <c r="J4208" s="2" t="s">
        <v>19</v>
      </c>
      <c r="K4208" s="2"/>
      <c r="L4208" s="2" t="s">
        <v>518</v>
      </c>
    </row>
    <row r="4209" customFormat="false" ht="15.65" hidden="false" customHeight="true" outlineLevel="0" collapsed="false">
      <c r="A4209" s="5" t="str">
        <f aca="false">HYPERLINK("https://www.fabsurplus.com/sdi_catalog/salesItemDetails.do?id=108301")</f>
        <v>https://www.fabsurplus.com/sdi_catalog/salesItemDetails.do?id=108301</v>
      </c>
      <c r="B4209" s="5" t="s">
        <v>11882</v>
      </c>
      <c r="C4209" s="5" t="s">
        <v>11876</v>
      </c>
      <c r="D4209" s="5" t="s">
        <v>11883</v>
      </c>
      <c r="E4209" s="5" t="s">
        <v>11884</v>
      </c>
      <c r="F4209" s="5" t="s">
        <v>16</v>
      </c>
      <c r="G4209" s="5" t="s">
        <v>392</v>
      </c>
      <c r="H4209" s="5"/>
      <c r="I4209" s="6" t="n">
        <v>36678</v>
      </c>
      <c r="J4209" s="5" t="s">
        <v>19</v>
      </c>
      <c r="K4209" s="5"/>
      <c r="L4209" s="7" t="s">
        <v>11885</v>
      </c>
    </row>
    <row r="4210" customFormat="false" ht="15.65" hidden="false" customHeight="true" outlineLevel="0" collapsed="false">
      <c r="A4210" s="2" t="str">
        <f aca="false">HYPERLINK("https://www.fabsurplus.com/sdi_catalog/salesItemDetails.do?id=78361")</f>
        <v>https://www.fabsurplus.com/sdi_catalog/salesItemDetails.do?id=78361</v>
      </c>
      <c r="B4210" s="2" t="s">
        <v>11886</v>
      </c>
      <c r="C4210" s="2" t="s">
        <v>11876</v>
      </c>
      <c r="D4210" s="2" t="s">
        <v>11887</v>
      </c>
      <c r="E4210" s="2" t="s">
        <v>11888</v>
      </c>
      <c r="F4210" s="2" t="s">
        <v>16</v>
      </c>
      <c r="G4210" s="2" t="s">
        <v>401</v>
      </c>
      <c r="H4210" s="2" t="s">
        <v>453</v>
      </c>
      <c r="I4210" s="3" t="n">
        <v>35431</v>
      </c>
      <c r="J4210" s="2" t="s">
        <v>19</v>
      </c>
      <c r="K4210" s="2" t="s">
        <v>20</v>
      </c>
      <c r="L4210" s="4" t="s">
        <v>11889</v>
      </c>
    </row>
    <row r="4211" customFormat="false" ht="15.65" hidden="false" customHeight="true" outlineLevel="0" collapsed="false">
      <c r="A4211" s="5" t="str">
        <f aca="false">HYPERLINK("https://www.fabsurplus.com/sdi_catalog/salesItemDetails.do?id=83497")</f>
        <v>https://www.fabsurplus.com/sdi_catalog/salesItemDetails.do?id=83497</v>
      </c>
      <c r="B4211" s="5" t="s">
        <v>11890</v>
      </c>
      <c r="C4211" s="5" t="s">
        <v>11876</v>
      </c>
      <c r="D4211" s="5" t="s">
        <v>11891</v>
      </c>
      <c r="E4211" s="5" t="s">
        <v>11892</v>
      </c>
      <c r="F4211" s="5" t="s">
        <v>16</v>
      </c>
      <c r="G4211" s="5" t="s">
        <v>104</v>
      </c>
      <c r="H4211" s="5" t="s">
        <v>18</v>
      </c>
      <c r="I4211" s="6" t="n">
        <v>35582</v>
      </c>
      <c r="J4211" s="5" t="s">
        <v>19</v>
      </c>
      <c r="K4211" s="5" t="s">
        <v>20</v>
      </c>
      <c r="L4211" s="7" t="s">
        <v>11893</v>
      </c>
    </row>
    <row r="4212" customFormat="false" ht="15.65" hidden="false" customHeight="true" outlineLevel="0" collapsed="false">
      <c r="A4212" s="2" t="str">
        <f aca="false">HYPERLINK("https://www.fabsurplus.com/sdi_catalog/salesItemDetails.do?id=82231")</f>
        <v>https://www.fabsurplus.com/sdi_catalog/salesItemDetails.do?id=82231</v>
      </c>
      <c r="B4212" s="2" t="s">
        <v>11894</v>
      </c>
      <c r="C4212" s="2" t="s">
        <v>11876</v>
      </c>
      <c r="D4212" s="2" t="s">
        <v>11895</v>
      </c>
      <c r="E4212" s="2" t="s">
        <v>11896</v>
      </c>
      <c r="F4212" s="2" t="s">
        <v>16</v>
      </c>
      <c r="G4212" s="2"/>
      <c r="H4212" s="2" t="s">
        <v>32</v>
      </c>
      <c r="I4212" s="3" t="n">
        <v>35612</v>
      </c>
      <c r="J4212" s="2" t="s">
        <v>19</v>
      </c>
      <c r="K4212" s="2" t="s">
        <v>20</v>
      </c>
      <c r="L4212" s="4" t="s">
        <v>11897</v>
      </c>
    </row>
    <row r="4213" customFormat="false" ht="15.65" hidden="false" customHeight="true" outlineLevel="0" collapsed="false">
      <c r="A4213" s="5" t="str">
        <f aca="false">HYPERLINK("https://www.fabsurplus.com/sdi_catalog/salesItemDetails.do?id=82232")</f>
        <v>https://www.fabsurplus.com/sdi_catalog/salesItemDetails.do?id=82232</v>
      </c>
      <c r="B4213" s="5" t="s">
        <v>11898</v>
      </c>
      <c r="C4213" s="5" t="s">
        <v>11876</v>
      </c>
      <c r="D4213" s="5" t="s">
        <v>11899</v>
      </c>
      <c r="E4213" s="5" t="s">
        <v>11896</v>
      </c>
      <c r="F4213" s="5" t="s">
        <v>16</v>
      </c>
      <c r="G4213" s="5"/>
      <c r="H4213" s="5" t="s">
        <v>32</v>
      </c>
      <c r="I4213" s="6" t="n">
        <v>35612</v>
      </c>
      <c r="J4213" s="5" t="s">
        <v>19</v>
      </c>
      <c r="K4213" s="5" t="s">
        <v>20</v>
      </c>
      <c r="L4213" s="7" t="s">
        <v>11897</v>
      </c>
    </row>
    <row r="4214" customFormat="false" ht="15.65" hidden="false" customHeight="true" outlineLevel="0" collapsed="false">
      <c r="A4214" s="2" t="str">
        <f aca="false">HYPERLINK("https://www.fabsurplus.com/sdi_catalog/salesItemDetails.do?id=108607")</f>
        <v>https://www.fabsurplus.com/sdi_catalog/salesItemDetails.do?id=108607</v>
      </c>
      <c r="B4214" s="2" t="s">
        <v>11900</v>
      </c>
      <c r="C4214" s="2" t="s">
        <v>11873</v>
      </c>
      <c r="D4214" s="2" t="s">
        <v>11901</v>
      </c>
      <c r="E4214" s="2" t="s">
        <v>11902</v>
      </c>
      <c r="F4214" s="2" t="s">
        <v>16</v>
      </c>
      <c r="G4214" s="2" t="s">
        <v>392</v>
      </c>
      <c r="H4214" s="2" t="s">
        <v>18</v>
      </c>
      <c r="I4214" s="3" t="n">
        <v>41061</v>
      </c>
      <c r="J4214" s="2" t="s">
        <v>19</v>
      </c>
      <c r="K4214" s="2" t="s">
        <v>20</v>
      </c>
      <c r="L4214" s="4" t="s">
        <v>11903</v>
      </c>
    </row>
    <row r="4215" customFormat="false" ht="15.65" hidden="false" customHeight="true" outlineLevel="0" collapsed="false">
      <c r="A4215" s="5" t="str">
        <f aca="false">HYPERLINK("https://www.fabsurplus.com/sdi_catalog/salesItemDetails.do?id=80215")</f>
        <v>https://www.fabsurplus.com/sdi_catalog/salesItemDetails.do?id=80215</v>
      </c>
      <c r="B4215" s="5" t="s">
        <v>11904</v>
      </c>
      <c r="C4215" s="5" t="s">
        <v>11876</v>
      </c>
      <c r="D4215" s="5" t="s">
        <v>11905</v>
      </c>
      <c r="E4215" s="5" t="s">
        <v>11906</v>
      </c>
      <c r="F4215" s="5" t="s">
        <v>151</v>
      </c>
      <c r="G4215" s="5" t="s">
        <v>104</v>
      </c>
      <c r="H4215" s="5" t="s">
        <v>32</v>
      </c>
      <c r="I4215" s="5"/>
      <c r="J4215" s="5" t="s">
        <v>19</v>
      </c>
      <c r="K4215" s="5" t="s">
        <v>20</v>
      </c>
      <c r="L4215" s="7" t="s">
        <v>11907</v>
      </c>
    </row>
    <row r="4216" customFormat="false" ht="15.65" hidden="false" customHeight="true" outlineLevel="0" collapsed="false">
      <c r="A4216" s="2" t="str">
        <f aca="false">HYPERLINK("https://www.fabsurplus.com/sdi_catalog/salesItemDetails.do?id=78168")</f>
        <v>https://www.fabsurplus.com/sdi_catalog/salesItemDetails.do?id=78168</v>
      </c>
      <c r="B4216" s="2" t="s">
        <v>11908</v>
      </c>
      <c r="C4216" s="2" t="s">
        <v>11876</v>
      </c>
      <c r="D4216" s="2" t="s">
        <v>11909</v>
      </c>
      <c r="E4216" s="2" t="s">
        <v>11910</v>
      </c>
      <c r="F4216" s="2" t="s">
        <v>16</v>
      </c>
      <c r="G4216" s="2" t="s">
        <v>104</v>
      </c>
      <c r="H4216" s="2" t="s">
        <v>32</v>
      </c>
      <c r="I4216" s="3" t="n">
        <v>36678</v>
      </c>
      <c r="J4216" s="2" t="s">
        <v>19</v>
      </c>
      <c r="K4216" s="2" t="s">
        <v>20</v>
      </c>
      <c r="L4216" s="4" t="s">
        <v>11911</v>
      </c>
    </row>
    <row r="4217" customFormat="false" ht="15.65" hidden="false" customHeight="true" outlineLevel="0" collapsed="false">
      <c r="A4217" s="5" t="str">
        <f aca="false">HYPERLINK("https://www.fabsurplus.com/sdi_catalog/salesItemDetails.do?id=80216")</f>
        <v>https://www.fabsurplus.com/sdi_catalog/salesItemDetails.do?id=80216</v>
      </c>
      <c r="B4217" s="5" t="s">
        <v>11912</v>
      </c>
      <c r="C4217" s="5" t="s">
        <v>11876</v>
      </c>
      <c r="D4217" s="5" t="s">
        <v>11913</v>
      </c>
      <c r="E4217" s="5" t="s">
        <v>11914</v>
      </c>
      <c r="F4217" s="5" t="s">
        <v>16</v>
      </c>
      <c r="G4217" s="5" t="s">
        <v>104</v>
      </c>
      <c r="H4217" s="5" t="s">
        <v>32</v>
      </c>
      <c r="I4217" s="5"/>
      <c r="J4217" s="5" t="s">
        <v>19</v>
      </c>
      <c r="K4217" s="5" t="s">
        <v>20</v>
      </c>
      <c r="L4217" s="7" t="s">
        <v>11915</v>
      </c>
    </row>
    <row r="4218" customFormat="false" ht="15.65" hidden="false" customHeight="true" outlineLevel="0" collapsed="false">
      <c r="A4218" s="2" t="str">
        <f aca="false">HYPERLINK("https://www.fabsurplus.com/sdi_catalog/salesItemDetails.do?id=80217")</f>
        <v>https://www.fabsurplus.com/sdi_catalog/salesItemDetails.do?id=80217</v>
      </c>
      <c r="B4218" s="2" t="s">
        <v>11916</v>
      </c>
      <c r="C4218" s="2" t="s">
        <v>11876</v>
      </c>
      <c r="D4218" s="2" t="s">
        <v>11917</v>
      </c>
      <c r="E4218" s="2" t="s">
        <v>11918</v>
      </c>
      <c r="F4218" s="2" t="s">
        <v>16</v>
      </c>
      <c r="G4218" s="2" t="s">
        <v>104</v>
      </c>
      <c r="H4218" s="2" t="s">
        <v>32</v>
      </c>
      <c r="I4218" s="2"/>
      <c r="J4218" s="2" t="s">
        <v>19</v>
      </c>
      <c r="K4218" s="2" t="s">
        <v>20</v>
      </c>
      <c r="L4218" s="4" t="s">
        <v>11915</v>
      </c>
    </row>
    <row r="4219" customFormat="false" ht="15.65" hidden="false" customHeight="true" outlineLevel="0" collapsed="false">
      <c r="A4219" s="5" t="str">
        <f aca="false">HYPERLINK("https://www.fabsurplus.com/sdi_catalog/salesItemDetails.do?id=80218")</f>
        <v>https://www.fabsurplus.com/sdi_catalog/salesItemDetails.do?id=80218</v>
      </c>
      <c r="B4219" s="5" t="s">
        <v>11919</v>
      </c>
      <c r="C4219" s="5" t="s">
        <v>11876</v>
      </c>
      <c r="D4219" s="5" t="s">
        <v>11920</v>
      </c>
      <c r="E4219" s="5" t="s">
        <v>11921</v>
      </c>
      <c r="F4219" s="5" t="s">
        <v>16</v>
      </c>
      <c r="G4219" s="5" t="s">
        <v>104</v>
      </c>
      <c r="H4219" s="5" t="s">
        <v>32</v>
      </c>
      <c r="I4219" s="5"/>
      <c r="J4219" s="5" t="s">
        <v>19</v>
      </c>
      <c r="K4219" s="5" t="s">
        <v>20</v>
      </c>
      <c r="L4219" s="7" t="s">
        <v>11915</v>
      </c>
    </row>
    <row r="4220" customFormat="false" ht="15.65" hidden="false" customHeight="true" outlineLevel="0" collapsed="false">
      <c r="A4220" s="2" t="str">
        <f aca="false">HYPERLINK("https://www.fabsurplus.com/sdi_catalog/salesItemDetails.do?id=80219")</f>
        <v>https://www.fabsurplus.com/sdi_catalog/salesItemDetails.do?id=80219</v>
      </c>
      <c r="B4220" s="2" t="s">
        <v>11922</v>
      </c>
      <c r="C4220" s="2" t="s">
        <v>11876</v>
      </c>
      <c r="D4220" s="2" t="s">
        <v>11923</v>
      </c>
      <c r="E4220" s="2" t="s">
        <v>11924</v>
      </c>
      <c r="F4220" s="2" t="s">
        <v>151</v>
      </c>
      <c r="G4220" s="2" t="s">
        <v>104</v>
      </c>
      <c r="H4220" s="2" t="s">
        <v>32</v>
      </c>
      <c r="I4220" s="2"/>
      <c r="J4220" s="2" t="s">
        <v>19</v>
      </c>
      <c r="K4220" s="2" t="s">
        <v>20</v>
      </c>
      <c r="L4220" s="4" t="s">
        <v>11915</v>
      </c>
    </row>
    <row r="4221" customFormat="false" ht="15.65" hidden="false" customHeight="true" outlineLevel="0" collapsed="false">
      <c r="A4221" s="5" t="str">
        <f aca="false">HYPERLINK("https://www.fabsurplus.com/sdi_catalog/salesItemDetails.do?id=80220")</f>
        <v>https://www.fabsurplus.com/sdi_catalog/salesItemDetails.do?id=80220</v>
      </c>
      <c r="B4221" s="5" t="s">
        <v>11925</v>
      </c>
      <c r="C4221" s="5" t="s">
        <v>11876</v>
      </c>
      <c r="D4221" s="5" t="s">
        <v>11926</v>
      </c>
      <c r="E4221" s="5" t="s">
        <v>11927</v>
      </c>
      <c r="F4221" s="5" t="s">
        <v>16</v>
      </c>
      <c r="G4221" s="5" t="s">
        <v>104</v>
      </c>
      <c r="H4221" s="5" t="s">
        <v>18</v>
      </c>
      <c r="I4221" s="5"/>
      <c r="J4221" s="5" t="s">
        <v>19</v>
      </c>
      <c r="K4221" s="5" t="s">
        <v>20</v>
      </c>
      <c r="L4221" s="7" t="s">
        <v>11928</v>
      </c>
    </row>
    <row r="4222" customFormat="false" ht="15.65" hidden="false" customHeight="true" outlineLevel="0" collapsed="false">
      <c r="A4222" s="2" t="str">
        <f aca="false">HYPERLINK("https://www.fabsurplus.com/sdi_catalog/salesItemDetails.do?id=80221")</f>
        <v>https://www.fabsurplus.com/sdi_catalog/salesItemDetails.do?id=80221</v>
      </c>
      <c r="B4222" s="2" t="s">
        <v>11929</v>
      </c>
      <c r="C4222" s="2" t="s">
        <v>11876</v>
      </c>
      <c r="D4222" s="2" t="s">
        <v>11930</v>
      </c>
      <c r="E4222" s="2" t="s">
        <v>11931</v>
      </c>
      <c r="F4222" s="2" t="s">
        <v>16</v>
      </c>
      <c r="G4222" s="2" t="s">
        <v>104</v>
      </c>
      <c r="H4222" s="2" t="s">
        <v>32</v>
      </c>
      <c r="I4222" s="2"/>
      <c r="J4222" s="2" t="s">
        <v>19</v>
      </c>
      <c r="K4222" s="2" t="s">
        <v>20</v>
      </c>
      <c r="L4222" s="4" t="s">
        <v>11915</v>
      </c>
    </row>
    <row r="4223" customFormat="false" ht="15.65" hidden="false" customHeight="true" outlineLevel="0" collapsed="false">
      <c r="A4223" s="5" t="str">
        <f aca="false">HYPERLINK("https://www.fabsurplus.com/sdi_catalog/salesItemDetails.do?id=80222")</f>
        <v>https://www.fabsurplus.com/sdi_catalog/salesItemDetails.do?id=80222</v>
      </c>
      <c r="B4223" s="5" t="s">
        <v>11932</v>
      </c>
      <c r="C4223" s="5" t="s">
        <v>11876</v>
      </c>
      <c r="D4223" s="5" t="s">
        <v>11933</v>
      </c>
      <c r="E4223" s="5" t="s">
        <v>11934</v>
      </c>
      <c r="F4223" s="5" t="s">
        <v>16</v>
      </c>
      <c r="G4223" s="5"/>
      <c r="H4223" s="5" t="s">
        <v>32</v>
      </c>
      <c r="I4223" s="5"/>
      <c r="J4223" s="5" t="s">
        <v>19</v>
      </c>
      <c r="K4223" s="5" t="s">
        <v>20</v>
      </c>
      <c r="L4223" s="7" t="s">
        <v>11915</v>
      </c>
    </row>
    <row r="4224" customFormat="false" ht="15.65" hidden="false" customHeight="true" outlineLevel="0" collapsed="false">
      <c r="A4224" s="2" t="str">
        <f aca="false">HYPERLINK("https://www.fabsurplus.com/sdi_catalog/salesItemDetails.do?id=80223")</f>
        <v>https://www.fabsurplus.com/sdi_catalog/salesItemDetails.do?id=80223</v>
      </c>
      <c r="B4224" s="2" t="s">
        <v>11935</v>
      </c>
      <c r="C4224" s="2" t="s">
        <v>11876</v>
      </c>
      <c r="D4224" s="2" t="s">
        <v>11936</v>
      </c>
      <c r="E4224" s="2" t="s">
        <v>11937</v>
      </c>
      <c r="F4224" s="2" t="s">
        <v>151</v>
      </c>
      <c r="G4224" s="2" t="s">
        <v>104</v>
      </c>
      <c r="H4224" s="2" t="s">
        <v>32</v>
      </c>
      <c r="I4224" s="2"/>
      <c r="J4224" s="2" t="s">
        <v>19</v>
      </c>
      <c r="K4224" s="2" t="s">
        <v>20</v>
      </c>
      <c r="L4224" s="4" t="s">
        <v>11915</v>
      </c>
    </row>
    <row r="4225" customFormat="false" ht="15.65" hidden="false" customHeight="true" outlineLevel="0" collapsed="false">
      <c r="A4225" s="5" t="str">
        <f aca="false">HYPERLINK("https://www.fabsurplus.com/sdi_catalog/salesItemDetails.do?id=80224")</f>
        <v>https://www.fabsurplus.com/sdi_catalog/salesItemDetails.do?id=80224</v>
      </c>
      <c r="B4225" s="5" t="s">
        <v>11938</v>
      </c>
      <c r="C4225" s="5" t="s">
        <v>11876</v>
      </c>
      <c r="D4225" s="5" t="s">
        <v>11939</v>
      </c>
      <c r="E4225" s="5" t="s">
        <v>11940</v>
      </c>
      <c r="F4225" s="5" t="s">
        <v>151</v>
      </c>
      <c r="G4225" s="5" t="s">
        <v>104</v>
      </c>
      <c r="H4225" s="5" t="s">
        <v>32</v>
      </c>
      <c r="I4225" s="5"/>
      <c r="J4225" s="5" t="s">
        <v>19</v>
      </c>
      <c r="K4225" s="5" t="s">
        <v>20</v>
      </c>
      <c r="L4225" s="7" t="s">
        <v>11915</v>
      </c>
    </row>
    <row r="4226" customFormat="false" ht="15.65" hidden="false" customHeight="true" outlineLevel="0" collapsed="false">
      <c r="A4226" s="2" t="str">
        <f aca="false">HYPERLINK("https://www.fabsurplus.com/sdi_catalog/salesItemDetails.do?id=80225")</f>
        <v>https://www.fabsurplus.com/sdi_catalog/salesItemDetails.do?id=80225</v>
      </c>
      <c r="B4226" s="2" t="s">
        <v>11941</v>
      </c>
      <c r="C4226" s="2" t="s">
        <v>11876</v>
      </c>
      <c r="D4226" s="2" t="s">
        <v>11942</v>
      </c>
      <c r="E4226" s="2" t="s">
        <v>11943</v>
      </c>
      <c r="F4226" s="2" t="s">
        <v>16</v>
      </c>
      <c r="G4226" s="2" t="s">
        <v>104</v>
      </c>
      <c r="H4226" s="2" t="s">
        <v>18</v>
      </c>
      <c r="I4226" s="2"/>
      <c r="J4226" s="2" t="s">
        <v>19</v>
      </c>
      <c r="K4226" s="2" t="s">
        <v>20</v>
      </c>
      <c r="L4226" s="4" t="s">
        <v>11915</v>
      </c>
    </row>
    <row r="4227" customFormat="false" ht="15.65" hidden="false" customHeight="true" outlineLevel="0" collapsed="false">
      <c r="A4227" s="5" t="str">
        <f aca="false">HYPERLINK("https://www.fabsurplus.com/sdi_catalog/salesItemDetails.do?id=80226")</f>
        <v>https://www.fabsurplus.com/sdi_catalog/salesItemDetails.do?id=80226</v>
      </c>
      <c r="B4227" s="5" t="s">
        <v>11944</v>
      </c>
      <c r="C4227" s="5" t="s">
        <v>11876</v>
      </c>
      <c r="D4227" s="5" t="s">
        <v>11945</v>
      </c>
      <c r="E4227" s="5" t="s">
        <v>11946</v>
      </c>
      <c r="F4227" s="5" t="s">
        <v>16</v>
      </c>
      <c r="G4227" s="5" t="s">
        <v>104</v>
      </c>
      <c r="H4227" s="5" t="s">
        <v>32</v>
      </c>
      <c r="I4227" s="5"/>
      <c r="J4227" s="5" t="s">
        <v>19</v>
      </c>
      <c r="K4227" s="5" t="s">
        <v>20</v>
      </c>
      <c r="L4227" s="7" t="s">
        <v>11915</v>
      </c>
    </row>
    <row r="4228" customFormat="false" ht="15.65" hidden="false" customHeight="true" outlineLevel="0" collapsed="false">
      <c r="A4228" s="2" t="str">
        <f aca="false">HYPERLINK("https://www.fabsurplus.com/sdi_catalog/salesItemDetails.do?id=80227")</f>
        <v>https://www.fabsurplus.com/sdi_catalog/salesItemDetails.do?id=80227</v>
      </c>
      <c r="B4228" s="2" t="s">
        <v>11947</v>
      </c>
      <c r="C4228" s="2" t="s">
        <v>11876</v>
      </c>
      <c r="D4228" s="2" t="s">
        <v>11948</v>
      </c>
      <c r="E4228" s="2" t="s">
        <v>11949</v>
      </c>
      <c r="F4228" s="2" t="s">
        <v>16</v>
      </c>
      <c r="G4228" s="2"/>
      <c r="H4228" s="2"/>
      <c r="I4228" s="2"/>
      <c r="J4228" s="2" t="s">
        <v>19</v>
      </c>
      <c r="K4228" s="2"/>
      <c r="L4228" s="2"/>
    </row>
    <row r="4229" customFormat="false" ht="15.65" hidden="false" customHeight="true" outlineLevel="0" collapsed="false">
      <c r="A4229" s="5" t="str">
        <f aca="false">HYPERLINK("https://www.fabsurplus.com/sdi_catalog/salesItemDetails.do?id=84840")</f>
        <v>https://www.fabsurplus.com/sdi_catalog/salesItemDetails.do?id=84840</v>
      </c>
      <c r="B4229" s="5" t="s">
        <v>11950</v>
      </c>
      <c r="C4229" s="5" t="s">
        <v>11876</v>
      </c>
      <c r="D4229" s="5" t="s">
        <v>11951</v>
      </c>
      <c r="E4229" s="5" t="s">
        <v>11952</v>
      </c>
      <c r="F4229" s="5" t="s">
        <v>16</v>
      </c>
      <c r="G4229" s="5"/>
      <c r="H4229" s="5" t="s">
        <v>18</v>
      </c>
      <c r="I4229" s="5"/>
      <c r="J4229" s="5" t="s">
        <v>19</v>
      </c>
      <c r="K4229" s="5" t="s">
        <v>20</v>
      </c>
      <c r="L4229" s="7" t="s">
        <v>11953</v>
      </c>
    </row>
    <row r="4230" customFormat="false" ht="15.65" hidden="false" customHeight="true" outlineLevel="0" collapsed="false">
      <c r="A4230" s="2" t="str">
        <f aca="false">HYPERLINK("https://www.fabsurplus.com/sdi_catalog/salesItemDetails.do?id=83561")</f>
        <v>https://www.fabsurplus.com/sdi_catalog/salesItemDetails.do?id=83561</v>
      </c>
      <c r="B4230" s="2" t="s">
        <v>11954</v>
      </c>
      <c r="C4230" s="2" t="s">
        <v>11876</v>
      </c>
      <c r="D4230" s="2" t="s">
        <v>11955</v>
      </c>
      <c r="E4230" s="2" t="s">
        <v>11956</v>
      </c>
      <c r="F4230" s="2" t="s">
        <v>16</v>
      </c>
      <c r="G4230" s="2"/>
      <c r="H4230" s="2" t="s">
        <v>18</v>
      </c>
      <c r="I4230" s="2"/>
      <c r="J4230" s="2" t="s">
        <v>19</v>
      </c>
      <c r="K4230" s="2" t="s">
        <v>20</v>
      </c>
      <c r="L4230" s="4" t="s">
        <v>11957</v>
      </c>
    </row>
    <row r="4231" customFormat="false" ht="15.65" hidden="false" customHeight="true" outlineLevel="0" collapsed="false">
      <c r="A4231" s="5" t="str">
        <f aca="false">HYPERLINK("https://www.fabsurplus.com/sdi_catalog/salesItemDetails.do?id=83566")</f>
        <v>https://www.fabsurplus.com/sdi_catalog/salesItemDetails.do?id=83566</v>
      </c>
      <c r="B4231" s="5" t="s">
        <v>11958</v>
      </c>
      <c r="C4231" s="5" t="s">
        <v>11876</v>
      </c>
      <c r="D4231" s="5" t="s">
        <v>11959</v>
      </c>
      <c r="E4231" s="5" t="s">
        <v>11960</v>
      </c>
      <c r="F4231" s="5" t="s">
        <v>151</v>
      </c>
      <c r="G4231" s="5" t="s">
        <v>104</v>
      </c>
      <c r="H4231" s="5" t="s">
        <v>18</v>
      </c>
      <c r="I4231" s="6" t="n">
        <v>35582</v>
      </c>
      <c r="J4231" s="5" t="s">
        <v>19</v>
      </c>
      <c r="K4231" s="5" t="s">
        <v>20</v>
      </c>
      <c r="L4231" s="7" t="s">
        <v>11961</v>
      </c>
    </row>
    <row r="4232" customFormat="false" ht="15.65" hidden="false" customHeight="true" outlineLevel="0" collapsed="false">
      <c r="A4232" s="2" t="str">
        <f aca="false">HYPERLINK("https://www.fabsurplus.com/sdi_catalog/salesItemDetails.do?id=108912")</f>
        <v>https://www.fabsurplus.com/sdi_catalog/salesItemDetails.do?id=108912</v>
      </c>
      <c r="B4232" s="2" t="s">
        <v>11962</v>
      </c>
      <c r="C4232" s="2" t="s">
        <v>11876</v>
      </c>
      <c r="D4232" s="2" t="s">
        <v>11963</v>
      </c>
      <c r="E4232" s="2" t="s">
        <v>564</v>
      </c>
      <c r="F4232" s="2" t="s">
        <v>16</v>
      </c>
      <c r="G4232" s="2" t="s">
        <v>392</v>
      </c>
      <c r="H4232" s="2" t="s">
        <v>32</v>
      </c>
      <c r="I4232" s="3" t="n">
        <v>40664</v>
      </c>
      <c r="J4232" s="2" t="s">
        <v>19</v>
      </c>
      <c r="K4232" s="2" t="s">
        <v>20</v>
      </c>
      <c r="L4232" s="4" t="s">
        <v>11964</v>
      </c>
    </row>
    <row r="4233" customFormat="false" ht="15.65" hidden="false" customHeight="true" outlineLevel="0" collapsed="false">
      <c r="A4233" s="5" t="str">
        <f aca="false">HYPERLINK("https://www.fabsurplus.com/sdi_catalog/salesItemDetails.do?id=81836")</f>
        <v>https://www.fabsurplus.com/sdi_catalog/salesItemDetails.do?id=81836</v>
      </c>
      <c r="B4233" s="5" t="s">
        <v>11965</v>
      </c>
      <c r="C4233" s="5" t="s">
        <v>11876</v>
      </c>
      <c r="D4233" s="5" t="s">
        <v>11966</v>
      </c>
      <c r="E4233" s="5" t="s">
        <v>11967</v>
      </c>
      <c r="F4233" s="5" t="s">
        <v>16</v>
      </c>
      <c r="G4233" s="5"/>
      <c r="H4233" s="5" t="s">
        <v>32</v>
      </c>
      <c r="I4233" s="6" t="n">
        <v>35521</v>
      </c>
      <c r="J4233" s="5" t="s">
        <v>19</v>
      </c>
      <c r="K4233" s="5" t="s">
        <v>20</v>
      </c>
      <c r="L4233" s="7" t="s">
        <v>11968</v>
      </c>
    </row>
    <row r="4234" customFormat="false" ht="15.65" hidden="false" customHeight="true" outlineLevel="0" collapsed="false">
      <c r="A4234" s="2" t="str">
        <f aca="false">HYPERLINK("https://www.fabsurplus.com/sdi_catalog/salesItemDetails.do?id=108213")</f>
        <v>https://www.fabsurplus.com/sdi_catalog/salesItemDetails.do?id=108213</v>
      </c>
      <c r="B4234" s="2" t="s">
        <v>11969</v>
      </c>
      <c r="C4234" s="2" t="s">
        <v>11873</v>
      </c>
      <c r="D4234" s="2" t="s">
        <v>11874</v>
      </c>
      <c r="E4234" s="2" t="s">
        <v>11970</v>
      </c>
      <c r="F4234" s="2" t="s">
        <v>16</v>
      </c>
      <c r="G4234" s="2" t="s">
        <v>565</v>
      </c>
      <c r="H4234" s="2"/>
      <c r="I4234" s="2"/>
      <c r="J4234" s="2" t="s">
        <v>19</v>
      </c>
      <c r="K4234" s="2"/>
      <c r="L4234" s="2" t="s">
        <v>1480</v>
      </c>
    </row>
    <row r="4235" customFormat="false" ht="15.65" hidden="false" customHeight="true" outlineLevel="0" collapsed="false">
      <c r="A4235" s="5" t="str">
        <f aca="false">HYPERLINK("https://www.fabsurplus.com/sdi_catalog/salesItemDetails.do?id=108987")</f>
        <v>https://www.fabsurplus.com/sdi_catalog/salesItemDetails.do?id=108987</v>
      </c>
      <c r="B4235" s="5" t="s">
        <v>11971</v>
      </c>
      <c r="C4235" s="5" t="s">
        <v>11873</v>
      </c>
      <c r="D4235" s="5" t="s">
        <v>11972</v>
      </c>
      <c r="E4235" s="5" t="s">
        <v>11973</v>
      </c>
      <c r="F4235" s="5" t="s">
        <v>16</v>
      </c>
      <c r="G4235" s="5" t="s">
        <v>104</v>
      </c>
      <c r="H4235" s="5" t="s">
        <v>32</v>
      </c>
      <c r="I4235" s="5"/>
      <c r="J4235" s="5"/>
      <c r="K4235" s="5" t="s">
        <v>20</v>
      </c>
      <c r="L4235" s="7" t="s">
        <v>11974</v>
      </c>
    </row>
    <row r="4236" customFormat="false" ht="15.65" hidden="false" customHeight="true" outlineLevel="0" collapsed="false">
      <c r="A4236" s="2" t="str">
        <f aca="false">HYPERLINK("https://www.fabsurplus.com/sdi_catalog/salesItemDetails.do?id=108988")</f>
        <v>https://www.fabsurplus.com/sdi_catalog/salesItemDetails.do?id=108988</v>
      </c>
      <c r="B4236" s="2" t="s">
        <v>11975</v>
      </c>
      <c r="C4236" s="2" t="s">
        <v>11873</v>
      </c>
      <c r="D4236" s="2" t="s">
        <v>11976</v>
      </c>
      <c r="E4236" s="2" t="s">
        <v>11973</v>
      </c>
      <c r="F4236" s="2" t="s">
        <v>16</v>
      </c>
      <c r="G4236" s="2" t="s">
        <v>104</v>
      </c>
      <c r="H4236" s="2" t="s">
        <v>32</v>
      </c>
      <c r="I4236" s="2"/>
      <c r="J4236" s="2"/>
      <c r="K4236" s="2" t="s">
        <v>20</v>
      </c>
      <c r="L4236" s="4" t="s">
        <v>11977</v>
      </c>
    </row>
    <row r="4237" customFormat="false" ht="15.65" hidden="false" customHeight="true" outlineLevel="0" collapsed="false">
      <c r="A4237" s="5" t="str">
        <f aca="false">HYPERLINK("https://www.fabsurplus.com/sdi_catalog/salesItemDetails.do?id=108990")</f>
        <v>https://www.fabsurplus.com/sdi_catalog/salesItemDetails.do?id=108990</v>
      </c>
      <c r="B4237" s="5" t="s">
        <v>11978</v>
      </c>
      <c r="C4237" s="5" t="s">
        <v>11873</v>
      </c>
      <c r="D4237" s="5" t="s">
        <v>11979</v>
      </c>
      <c r="E4237" s="5" t="s">
        <v>11973</v>
      </c>
      <c r="F4237" s="5" t="s">
        <v>16</v>
      </c>
      <c r="G4237" s="5" t="s">
        <v>104</v>
      </c>
      <c r="H4237" s="5" t="s">
        <v>32</v>
      </c>
      <c r="I4237" s="6" t="n">
        <v>35582</v>
      </c>
      <c r="J4237" s="5"/>
      <c r="K4237" s="5" t="s">
        <v>20</v>
      </c>
      <c r="L4237" s="7" t="s">
        <v>11980</v>
      </c>
    </row>
    <row r="4238" customFormat="false" ht="15.65" hidden="false" customHeight="true" outlineLevel="0" collapsed="false">
      <c r="A4238" s="2" t="str">
        <f aca="false">HYPERLINK("https://www.fabsurplus.com/sdi_catalog/salesItemDetails.do?id=108991")</f>
        <v>https://www.fabsurplus.com/sdi_catalog/salesItemDetails.do?id=108991</v>
      </c>
      <c r="B4238" s="2" t="s">
        <v>11981</v>
      </c>
      <c r="C4238" s="2" t="s">
        <v>11873</v>
      </c>
      <c r="D4238" s="2" t="s">
        <v>11982</v>
      </c>
      <c r="E4238" s="2" t="s">
        <v>11973</v>
      </c>
      <c r="F4238" s="2" t="s">
        <v>16</v>
      </c>
      <c r="G4238" s="2" t="s">
        <v>104</v>
      </c>
      <c r="H4238" s="2" t="s">
        <v>32</v>
      </c>
      <c r="I4238" s="2"/>
      <c r="J4238" s="2"/>
      <c r="K4238" s="2" t="s">
        <v>20</v>
      </c>
      <c r="L4238" s="4" t="s">
        <v>11983</v>
      </c>
    </row>
    <row r="4239" customFormat="false" ht="15.65" hidden="false" customHeight="true" outlineLevel="0" collapsed="false">
      <c r="A4239" s="5" t="str">
        <f aca="false">HYPERLINK("https://www.fabsurplus.com/sdi_catalog/salesItemDetails.do?id=108992")</f>
        <v>https://www.fabsurplus.com/sdi_catalog/salesItemDetails.do?id=108992</v>
      </c>
      <c r="B4239" s="5" t="s">
        <v>11984</v>
      </c>
      <c r="C4239" s="5" t="s">
        <v>11873</v>
      </c>
      <c r="D4239" s="5" t="s">
        <v>11985</v>
      </c>
      <c r="E4239" s="5" t="s">
        <v>11973</v>
      </c>
      <c r="F4239" s="5" t="s">
        <v>16</v>
      </c>
      <c r="G4239" s="5" t="s">
        <v>104</v>
      </c>
      <c r="H4239" s="5" t="s">
        <v>32</v>
      </c>
      <c r="I4239" s="5"/>
      <c r="J4239" s="5"/>
      <c r="K4239" s="5" t="s">
        <v>20</v>
      </c>
      <c r="L4239" s="7" t="s">
        <v>11986</v>
      </c>
    </row>
    <row r="4240" customFormat="false" ht="15.65" hidden="false" customHeight="true" outlineLevel="0" collapsed="false">
      <c r="A4240" s="2" t="str">
        <f aca="false">HYPERLINK("https://www.fabsurplus.com/sdi_catalog/salesItemDetails.do?id=80321")</f>
        <v>https://www.fabsurplus.com/sdi_catalog/salesItemDetails.do?id=80321</v>
      </c>
      <c r="B4240" s="2" t="s">
        <v>11987</v>
      </c>
      <c r="C4240" s="2" t="s">
        <v>11876</v>
      </c>
      <c r="D4240" s="2" t="s">
        <v>11988</v>
      </c>
      <c r="E4240" s="2" t="s">
        <v>11989</v>
      </c>
      <c r="F4240" s="2" t="s">
        <v>16</v>
      </c>
      <c r="G4240" s="2"/>
      <c r="H4240" s="2" t="s">
        <v>18</v>
      </c>
      <c r="I4240" s="2"/>
      <c r="J4240" s="2" t="s">
        <v>19</v>
      </c>
      <c r="K4240" s="2" t="s">
        <v>20</v>
      </c>
      <c r="L4240" s="4" t="s">
        <v>11990</v>
      </c>
    </row>
    <row r="4241" customFormat="false" ht="15.65" hidden="false" customHeight="true" outlineLevel="0" collapsed="false">
      <c r="A4241" s="5" t="str">
        <f aca="false">HYPERLINK("https://www.fabsurplus.com/sdi_catalog/salesItemDetails.do?id=80322")</f>
        <v>https://www.fabsurplus.com/sdi_catalog/salesItemDetails.do?id=80322</v>
      </c>
      <c r="B4241" s="5" t="s">
        <v>11991</v>
      </c>
      <c r="C4241" s="5" t="s">
        <v>11876</v>
      </c>
      <c r="D4241" s="5" t="s">
        <v>11992</v>
      </c>
      <c r="E4241" s="5" t="s">
        <v>11993</v>
      </c>
      <c r="F4241" s="5" t="s">
        <v>16</v>
      </c>
      <c r="G4241" s="5"/>
      <c r="H4241" s="5" t="s">
        <v>18</v>
      </c>
      <c r="I4241" s="5"/>
      <c r="J4241" s="5" t="s">
        <v>19</v>
      </c>
      <c r="K4241" s="5" t="s">
        <v>20</v>
      </c>
      <c r="L4241" s="7" t="s">
        <v>11994</v>
      </c>
    </row>
    <row r="4242" customFormat="false" ht="15.65" hidden="false" customHeight="true" outlineLevel="0" collapsed="false">
      <c r="A4242" s="2" t="str">
        <f aca="false">HYPERLINK("https://www.fabsurplus.com/sdi_catalog/salesItemDetails.do?id=108994")</f>
        <v>https://www.fabsurplus.com/sdi_catalog/salesItemDetails.do?id=108994</v>
      </c>
      <c r="B4242" s="2" t="s">
        <v>11995</v>
      </c>
      <c r="C4242" s="2" t="s">
        <v>11873</v>
      </c>
      <c r="D4242" s="2" t="s">
        <v>11996</v>
      </c>
      <c r="E4242" s="2" t="s">
        <v>11973</v>
      </c>
      <c r="F4242" s="2" t="s">
        <v>16</v>
      </c>
      <c r="G4242" s="2" t="s">
        <v>104</v>
      </c>
      <c r="H4242" s="2" t="s">
        <v>32</v>
      </c>
      <c r="I4242" s="2"/>
      <c r="J4242" s="2"/>
      <c r="K4242" s="2" t="s">
        <v>20</v>
      </c>
      <c r="L4242" s="4" t="s">
        <v>11997</v>
      </c>
    </row>
    <row r="4243" customFormat="false" ht="15.65" hidden="false" customHeight="true" outlineLevel="0" collapsed="false">
      <c r="A4243" s="5" t="str">
        <f aca="false">HYPERLINK("https://www.fabsurplus.com/sdi_catalog/salesItemDetails.do?id=80323")</f>
        <v>https://www.fabsurplus.com/sdi_catalog/salesItemDetails.do?id=80323</v>
      </c>
      <c r="B4243" s="5" t="s">
        <v>11998</v>
      </c>
      <c r="C4243" s="5" t="s">
        <v>11876</v>
      </c>
      <c r="D4243" s="5" t="s">
        <v>11999</v>
      </c>
      <c r="E4243" s="5" t="s">
        <v>12000</v>
      </c>
      <c r="F4243" s="5" t="s">
        <v>16</v>
      </c>
      <c r="G4243" s="5" t="s">
        <v>104</v>
      </c>
      <c r="H4243" s="5" t="s">
        <v>18</v>
      </c>
      <c r="I4243" s="5"/>
      <c r="J4243" s="5" t="s">
        <v>19</v>
      </c>
      <c r="K4243" s="5" t="s">
        <v>20</v>
      </c>
      <c r="L4243" s="7" t="s">
        <v>12001</v>
      </c>
    </row>
    <row r="4244" customFormat="false" ht="15.65" hidden="false" customHeight="true" outlineLevel="0" collapsed="false">
      <c r="A4244" s="2" t="str">
        <f aca="false">HYPERLINK("https://www.fabsurplus.com/sdi_catalog/salesItemDetails.do?id=80324")</f>
        <v>https://www.fabsurplus.com/sdi_catalog/salesItemDetails.do?id=80324</v>
      </c>
      <c r="B4244" s="2" t="s">
        <v>12002</v>
      </c>
      <c r="C4244" s="2" t="s">
        <v>11876</v>
      </c>
      <c r="D4244" s="2" t="s">
        <v>12003</v>
      </c>
      <c r="E4244" s="2" t="s">
        <v>12004</v>
      </c>
      <c r="F4244" s="2" t="s">
        <v>16</v>
      </c>
      <c r="G4244" s="2" t="s">
        <v>104</v>
      </c>
      <c r="H4244" s="2" t="s">
        <v>18</v>
      </c>
      <c r="I4244" s="2"/>
      <c r="J4244" s="2" t="s">
        <v>19</v>
      </c>
      <c r="K4244" s="2" t="s">
        <v>20</v>
      </c>
      <c r="L4244" s="4" t="s">
        <v>12001</v>
      </c>
    </row>
    <row r="4245" customFormat="false" ht="15.65" hidden="false" customHeight="true" outlineLevel="0" collapsed="false">
      <c r="A4245" s="5" t="str">
        <f aca="false">HYPERLINK("https://www.fabsurplus.com/sdi_catalog/salesItemDetails.do?id=80325")</f>
        <v>https://www.fabsurplus.com/sdi_catalog/salesItemDetails.do?id=80325</v>
      </c>
      <c r="B4245" s="5" t="s">
        <v>12005</v>
      </c>
      <c r="C4245" s="5" t="s">
        <v>11876</v>
      </c>
      <c r="D4245" s="5" t="s">
        <v>12006</v>
      </c>
      <c r="E4245" s="5" t="s">
        <v>12007</v>
      </c>
      <c r="F4245" s="5" t="s">
        <v>151</v>
      </c>
      <c r="G4245" s="5"/>
      <c r="H4245" s="5" t="s">
        <v>18</v>
      </c>
      <c r="I4245" s="5"/>
      <c r="J4245" s="5" t="s">
        <v>19</v>
      </c>
      <c r="K4245" s="5" t="s">
        <v>20</v>
      </c>
      <c r="L4245" s="7" t="s">
        <v>11915</v>
      </c>
    </row>
    <row r="4246" customFormat="false" ht="15.65" hidden="false" customHeight="true" outlineLevel="0" collapsed="false">
      <c r="A4246" s="2" t="str">
        <f aca="false">HYPERLINK("https://www.fabsurplus.com/sdi_catalog/salesItemDetails.do?id=80326")</f>
        <v>https://www.fabsurplus.com/sdi_catalog/salesItemDetails.do?id=80326</v>
      </c>
      <c r="B4246" s="2" t="s">
        <v>12008</v>
      </c>
      <c r="C4246" s="2" t="s">
        <v>11876</v>
      </c>
      <c r="D4246" s="2" t="s">
        <v>12009</v>
      </c>
      <c r="E4246" s="2" t="s">
        <v>11940</v>
      </c>
      <c r="F4246" s="2" t="s">
        <v>151</v>
      </c>
      <c r="G4246" s="2"/>
      <c r="H4246" s="2"/>
      <c r="I4246" s="2"/>
      <c r="J4246" s="2" t="s">
        <v>19</v>
      </c>
      <c r="K4246" s="2"/>
      <c r="L4246" s="2"/>
    </row>
    <row r="4247" customFormat="false" ht="15.65" hidden="false" customHeight="true" outlineLevel="0" collapsed="false">
      <c r="A4247" s="5" t="str">
        <f aca="false">HYPERLINK("https://www.fabsurplus.com/sdi_catalog/salesItemDetails.do?id=80327")</f>
        <v>https://www.fabsurplus.com/sdi_catalog/salesItemDetails.do?id=80327</v>
      </c>
      <c r="B4247" s="5" t="s">
        <v>12010</v>
      </c>
      <c r="C4247" s="5" t="s">
        <v>11876</v>
      </c>
      <c r="D4247" s="5" t="s">
        <v>12011</v>
      </c>
      <c r="E4247" s="5" t="s">
        <v>12012</v>
      </c>
      <c r="F4247" s="5" t="s">
        <v>16</v>
      </c>
      <c r="G4247" s="5" t="s">
        <v>104</v>
      </c>
      <c r="H4247" s="5" t="s">
        <v>18</v>
      </c>
      <c r="I4247" s="5"/>
      <c r="J4247" s="5" t="s">
        <v>19</v>
      </c>
      <c r="K4247" s="5" t="s">
        <v>20</v>
      </c>
      <c r="L4247" s="7" t="s">
        <v>12013</v>
      </c>
    </row>
    <row r="4248" customFormat="false" ht="15.65" hidden="false" customHeight="true" outlineLevel="0" collapsed="false">
      <c r="A4248" s="2" t="str">
        <f aca="false">HYPERLINK("https://www.fabsurplus.com/sdi_catalog/salesItemDetails.do?id=80328")</f>
        <v>https://www.fabsurplus.com/sdi_catalog/salesItemDetails.do?id=80328</v>
      </c>
      <c r="B4248" s="2" t="s">
        <v>12014</v>
      </c>
      <c r="C4248" s="2" t="s">
        <v>11876</v>
      </c>
      <c r="D4248" s="2" t="s">
        <v>12015</v>
      </c>
      <c r="E4248" s="2" t="s">
        <v>12016</v>
      </c>
      <c r="F4248" s="2" t="s">
        <v>16</v>
      </c>
      <c r="G4248" s="2"/>
      <c r="H4248" s="2" t="s">
        <v>18</v>
      </c>
      <c r="I4248" s="2"/>
      <c r="J4248" s="2" t="s">
        <v>19</v>
      </c>
      <c r="K4248" s="2" t="s">
        <v>20</v>
      </c>
      <c r="L4248" s="4" t="s">
        <v>12017</v>
      </c>
    </row>
    <row r="4249" customFormat="false" ht="15.65" hidden="false" customHeight="true" outlineLevel="0" collapsed="false">
      <c r="A4249" s="5" t="str">
        <f aca="false">HYPERLINK("https://www.fabsurplus.com/sdi_catalog/salesItemDetails.do?id=80329")</f>
        <v>https://www.fabsurplus.com/sdi_catalog/salesItemDetails.do?id=80329</v>
      </c>
      <c r="B4249" s="5" t="s">
        <v>12018</v>
      </c>
      <c r="C4249" s="5" t="s">
        <v>11876</v>
      </c>
      <c r="D4249" s="5" t="s">
        <v>12019</v>
      </c>
      <c r="E4249" s="5" t="s">
        <v>12020</v>
      </c>
      <c r="F4249" s="5" t="s">
        <v>16</v>
      </c>
      <c r="G4249" s="5" t="s">
        <v>104</v>
      </c>
      <c r="H4249" s="5" t="s">
        <v>18</v>
      </c>
      <c r="I4249" s="5"/>
      <c r="J4249" s="5" t="s">
        <v>19</v>
      </c>
      <c r="K4249" s="5" t="s">
        <v>20</v>
      </c>
      <c r="L4249" s="7" t="s">
        <v>11915</v>
      </c>
    </row>
    <row r="4250" customFormat="false" ht="15.65" hidden="false" customHeight="true" outlineLevel="0" collapsed="false">
      <c r="A4250" s="2" t="str">
        <f aca="false">HYPERLINK("https://www.fabsurplus.com/sdi_catalog/salesItemDetails.do?id=80330")</f>
        <v>https://www.fabsurplus.com/sdi_catalog/salesItemDetails.do?id=80330</v>
      </c>
      <c r="B4250" s="2" t="s">
        <v>12021</v>
      </c>
      <c r="C4250" s="2" t="s">
        <v>11876</v>
      </c>
      <c r="D4250" s="2" t="s">
        <v>12022</v>
      </c>
      <c r="E4250" s="2" t="s">
        <v>12023</v>
      </c>
      <c r="F4250" s="2" t="s">
        <v>16</v>
      </c>
      <c r="G4250" s="2"/>
      <c r="H4250" s="2" t="s">
        <v>18</v>
      </c>
      <c r="I4250" s="2"/>
      <c r="J4250" s="2" t="s">
        <v>19</v>
      </c>
      <c r="K4250" s="2" t="s">
        <v>20</v>
      </c>
      <c r="L4250" s="4" t="s">
        <v>12024</v>
      </c>
    </row>
    <row r="4251" customFormat="false" ht="15.65" hidden="false" customHeight="true" outlineLevel="0" collapsed="false">
      <c r="A4251" s="5" t="str">
        <f aca="false">HYPERLINK("https://www.fabsurplus.com/sdi_catalog/salesItemDetails.do?id=80331")</f>
        <v>https://www.fabsurplus.com/sdi_catalog/salesItemDetails.do?id=80331</v>
      </c>
      <c r="B4251" s="5" t="s">
        <v>12025</v>
      </c>
      <c r="C4251" s="5" t="s">
        <v>11876</v>
      </c>
      <c r="D4251" s="5" t="s">
        <v>12026</v>
      </c>
      <c r="E4251" s="5" t="s">
        <v>12027</v>
      </c>
      <c r="F4251" s="5" t="s">
        <v>16</v>
      </c>
      <c r="G4251" s="5" t="s">
        <v>104</v>
      </c>
      <c r="H4251" s="5" t="s">
        <v>18</v>
      </c>
      <c r="I4251" s="5"/>
      <c r="J4251" s="5" t="s">
        <v>19</v>
      </c>
      <c r="K4251" s="5" t="s">
        <v>20</v>
      </c>
      <c r="L4251" s="7" t="s">
        <v>11915</v>
      </c>
    </row>
    <row r="4252" customFormat="false" ht="15.65" hidden="false" customHeight="true" outlineLevel="0" collapsed="false">
      <c r="A4252" s="2" t="str">
        <f aca="false">HYPERLINK("https://www.fabsurplus.com/sdi_catalog/salesItemDetails.do?id=80332")</f>
        <v>https://www.fabsurplus.com/sdi_catalog/salesItemDetails.do?id=80332</v>
      </c>
      <c r="B4252" s="2" t="s">
        <v>12028</v>
      </c>
      <c r="C4252" s="2" t="s">
        <v>11876</v>
      </c>
      <c r="D4252" s="2" t="s">
        <v>12029</v>
      </c>
      <c r="E4252" s="2" t="s">
        <v>12030</v>
      </c>
      <c r="F4252" s="2" t="s">
        <v>16</v>
      </c>
      <c r="G4252" s="2"/>
      <c r="H4252" s="2" t="s">
        <v>18</v>
      </c>
      <c r="I4252" s="2"/>
      <c r="J4252" s="2" t="s">
        <v>19</v>
      </c>
      <c r="K4252" s="2" t="s">
        <v>20</v>
      </c>
      <c r="L4252" s="4" t="s">
        <v>12031</v>
      </c>
    </row>
    <row r="4253" customFormat="false" ht="15.65" hidden="false" customHeight="true" outlineLevel="0" collapsed="false">
      <c r="A4253" s="5" t="str">
        <f aca="false">HYPERLINK("https://www.fabsurplus.com/sdi_catalog/salesItemDetails.do?id=109006")</f>
        <v>https://www.fabsurplus.com/sdi_catalog/salesItemDetails.do?id=109006</v>
      </c>
      <c r="B4253" s="5" t="s">
        <v>12032</v>
      </c>
      <c r="C4253" s="5" t="s">
        <v>11873</v>
      </c>
      <c r="D4253" s="5" t="s">
        <v>12033</v>
      </c>
      <c r="E4253" s="5" t="s">
        <v>12034</v>
      </c>
      <c r="F4253" s="5" t="s">
        <v>16</v>
      </c>
      <c r="G4253" s="5" t="s">
        <v>165</v>
      </c>
      <c r="H4253" s="5" t="s">
        <v>18</v>
      </c>
      <c r="I4253" s="5"/>
      <c r="J4253" s="5" t="s">
        <v>42</v>
      </c>
      <c r="K4253" s="5" t="s">
        <v>20</v>
      </c>
      <c r="L4253" s="7" t="s">
        <v>12035</v>
      </c>
    </row>
    <row r="4254" customFormat="false" ht="15.65" hidden="false" customHeight="true" outlineLevel="0" collapsed="false">
      <c r="A4254" s="2" t="str">
        <f aca="false">HYPERLINK("https://www.fabsurplus.com/sdi_catalog/salesItemDetails.do?id=54232")</f>
        <v>https://www.fabsurplus.com/sdi_catalog/salesItemDetails.do?id=54232</v>
      </c>
      <c r="B4254" s="2" t="s">
        <v>12036</v>
      </c>
      <c r="C4254" s="2" t="s">
        <v>11876</v>
      </c>
      <c r="D4254" s="2" t="s">
        <v>12037</v>
      </c>
      <c r="E4254" s="2" t="s">
        <v>482</v>
      </c>
      <c r="F4254" s="2" t="s">
        <v>16</v>
      </c>
      <c r="G4254" s="2" t="s">
        <v>565</v>
      </c>
      <c r="H4254" s="2" t="s">
        <v>18</v>
      </c>
      <c r="I4254" s="3" t="n">
        <v>36647</v>
      </c>
      <c r="J4254" s="2" t="s">
        <v>19</v>
      </c>
      <c r="K4254" s="2" t="s">
        <v>20</v>
      </c>
      <c r="L4254" s="4" t="s">
        <v>12038</v>
      </c>
    </row>
    <row r="4255" customFormat="false" ht="15.65" hidden="false" customHeight="true" outlineLevel="0" collapsed="false">
      <c r="A4255" s="5" t="str">
        <f aca="false">HYPERLINK("https://www.fabsurplus.com/sdi_catalog/salesItemDetails.do?id=82925")</f>
        <v>https://www.fabsurplus.com/sdi_catalog/salesItemDetails.do?id=82925</v>
      </c>
      <c r="B4255" s="5" t="s">
        <v>12039</v>
      </c>
      <c r="C4255" s="5" t="s">
        <v>11876</v>
      </c>
      <c r="D4255" s="5" t="s">
        <v>12040</v>
      </c>
      <c r="E4255" s="5" t="s">
        <v>11892</v>
      </c>
      <c r="F4255" s="5" t="s">
        <v>16</v>
      </c>
      <c r="G4255" s="5"/>
      <c r="H4255" s="5" t="s">
        <v>18</v>
      </c>
      <c r="I4255" s="6" t="n">
        <v>35582</v>
      </c>
      <c r="J4255" s="5" t="s">
        <v>19</v>
      </c>
      <c r="K4255" s="5" t="s">
        <v>20</v>
      </c>
      <c r="L4255" s="7" t="s">
        <v>12041</v>
      </c>
    </row>
    <row r="4256" customFormat="false" ht="15.65" hidden="false" customHeight="true" outlineLevel="0" collapsed="false">
      <c r="A4256" s="2" t="str">
        <f aca="false">HYPERLINK("https://www.fabsurplus.com/sdi_catalog/salesItemDetails.do?id=108886")</f>
        <v>https://www.fabsurplus.com/sdi_catalog/salesItemDetails.do?id=108886</v>
      </c>
      <c r="B4256" s="2" t="s">
        <v>12042</v>
      </c>
      <c r="C4256" s="2" t="s">
        <v>12043</v>
      </c>
      <c r="D4256" s="2" t="s">
        <v>12044</v>
      </c>
      <c r="E4256" s="2" t="s">
        <v>12045</v>
      </c>
      <c r="F4256" s="2" t="s">
        <v>16</v>
      </c>
      <c r="G4256" s="2"/>
      <c r="H4256" s="2"/>
      <c r="I4256" s="2"/>
      <c r="J4256" s="2" t="s">
        <v>42</v>
      </c>
      <c r="K4256" s="2"/>
      <c r="L4256" s="2" t="s">
        <v>131</v>
      </c>
    </row>
    <row r="4257" customFormat="false" ht="15.65" hidden="false" customHeight="true" outlineLevel="0" collapsed="false">
      <c r="A4257" s="5" t="str">
        <f aca="false">HYPERLINK("https://www.fabsurplus.com/sdi_catalog/salesItemDetails.do?id=108887")</f>
        <v>https://www.fabsurplus.com/sdi_catalog/salesItemDetails.do?id=108887</v>
      </c>
      <c r="B4257" s="5" t="s">
        <v>12046</v>
      </c>
      <c r="C4257" s="5" t="s">
        <v>12043</v>
      </c>
      <c r="D4257" s="5" t="s">
        <v>12047</v>
      </c>
      <c r="E4257" s="5" t="s">
        <v>12048</v>
      </c>
      <c r="F4257" s="5" t="s">
        <v>16</v>
      </c>
      <c r="G4257" s="5" t="s">
        <v>165</v>
      </c>
      <c r="H4257" s="5"/>
      <c r="I4257" s="5"/>
      <c r="J4257" s="5" t="s">
        <v>42</v>
      </c>
      <c r="K4257" s="5"/>
      <c r="L4257" s="5" t="s">
        <v>131</v>
      </c>
    </row>
    <row r="4258" customFormat="false" ht="15.65" hidden="false" customHeight="true" outlineLevel="0" collapsed="false">
      <c r="A4258" s="2" t="str">
        <f aca="false">HYPERLINK("https://www.fabsurplus.com/sdi_catalog/salesItemDetails.do?id=108888")</f>
        <v>https://www.fabsurplus.com/sdi_catalog/salesItemDetails.do?id=108888</v>
      </c>
      <c r="B4258" s="2" t="s">
        <v>12049</v>
      </c>
      <c r="C4258" s="2" t="s">
        <v>12043</v>
      </c>
      <c r="D4258" s="2"/>
      <c r="E4258" s="2" t="s">
        <v>12050</v>
      </c>
      <c r="F4258" s="2" t="s">
        <v>16</v>
      </c>
      <c r="G4258" s="2" t="s">
        <v>165</v>
      </c>
      <c r="H4258" s="2"/>
      <c r="I4258" s="2"/>
      <c r="J4258" s="2" t="s">
        <v>42</v>
      </c>
      <c r="K4258" s="2"/>
      <c r="L4258" s="2" t="s">
        <v>131</v>
      </c>
    </row>
    <row r="4259" customFormat="false" ht="15.65" hidden="false" customHeight="true" outlineLevel="0" collapsed="false">
      <c r="A4259" s="5" t="str">
        <f aca="false">HYPERLINK("https://www.fabsurplus.com/sdi_catalog/salesItemDetails.do?id=108776")</f>
        <v>https://www.fabsurplus.com/sdi_catalog/salesItemDetails.do?id=108776</v>
      </c>
      <c r="B4259" s="5" t="s">
        <v>12051</v>
      </c>
      <c r="C4259" s="5" t="s">
        <v>12043</v>
      </c>
      <c r="D4259" s="5"/>
      <c r="E4259" s="5" t="s">
        <v>12052</v>
      </c>
      <c r="F4259" s="5" t="s">
        <v>16</v>
      </c>
      <c r="G4259" s="5"/>
      <c r="H4259" s="5"/>
      <c r="I4259" s="5"/>
      <c r="J4259" s="5" t="s">
        <v>19</v>
      </c>
      <c r="K4259" s="5"/>
      <c r="L4259" s="5" t="s">
        <v>12053</v>
      </c>
    </row>
    <row r="4260" customFormat="false" ht="15.65" hidden="false" customHeight="true" outlineLevel="0" collapsed="false">
      <c r="A4260" s="2" t="str">
        <f aca="false">HYPERLINK("https://www.fabsurplus.com/sdi_catalog/salesItemDetails.do?id=108608")</f>
        <v>https://www.fabsurplus.com/sdi_catalog/salesItemDetails.do?id=108608</v>
      </c>
      <c r="B4260" s="2" t="s">
        <v>12054</v>
      </c>
      <c r="C4260" s="2" t="s">
        <v>12055</v>
      </c>
      <c r="D4260" s="2" t="s">
        <v>12056</v>
      </c>
      <c r="E4260" s="2" t="s">
        <v>12057</v>
      </c>
      <c r="F4260" s="2" t="s">
        <v>16</v>
      </c>
      <c r="G4260" s="2" t="s">
        <v>61</v>
      </c>
      <c r="H4260" s="2" t="s">
        <v>18</v>
      </c>
      <c r="I4260" s="3" t="n">
        <v>40299</v>
      </c>
      <c r="J4260" s="2" t="s">
        <v>19</v>
      </c>
      <c r="K4260" s="2" t="s">
        <v>20</v>
      </c>
      <c r="L4260" s="2" t="s">
        <v>10701</v>
      </c>
    </row>
    <row r="4261" customFormat="false" ht="15.65" hidden="false" customHeight="true" outlineLevel="0" collapsed="false">
      <c r="A4261" s="5" t="str">
        <f aca="false">HYPERLINK("https://www.fabsurplus.com/sdi_catalog/salesItemDetails.do?id=80266")</f>
        <v>https://www.fabsurplus.com/sdi_catalog/salesItemDetails.do?id=80266</v>
      </c>
      <c r="B4261" s="5" t="s">
        <v>12058</v>
      </c>
      <c r="C4261" s="5" t="s">
        <v>12059</v>
      </c>
      <c r="D4261" s="5" t="s">
        <v>12060</v>
      </c>
      <c r="E4261" s="5" t="s">
        <v>12061</v>
      </c>
      <c r="F4261" s="5" t="s">
        <v>86</v>
      </c>
      <c r="G4261" s="5"/>
      <c r="H4261" s="5" t="s">
        <v>98</v>
      </c>
      <c r="I4261" s="5"/>
      <c r="J4261" s="5" t="s">
        <v>19</v>
      </c>
      <c r="K4261" s="5" t="s">
        <v>20</v>
      </c>
      <c r="L4261" s="5" t="s">
        <v>12062</v>
      </c>
    </row>
    <row r="4262" customFormat="false" ht="15.65" hidden="false" customHeight="true" outlineLevel="0" collapsed="false">
      <c r="A4262" s="2" t="str">
        <f aca="false">HYPERLINK("https://www.fabsurplus.com/sdi_catalog/salesItemDetails.do?id=70299")</f>
        <v>https://www.fabsurplus.com/sdi_catalog/salesItemDetails.do?id=70299</v>
      </c>
      <c r="B4262" s="2" t="s">
        <v>12063</v>
      </c>
      <c r="C4262" s="2" t="s">
        <v>12064</v>
      </c>
      <c r="D4262" s="2" t="s">
        <v>12065</v>
      </c>
      <c r="E4262" s="2" t="s">
        <v>12066</v>
      </c>
      <c r="F4262" s="2" t="s">
        <v>86</v>
      </c>
      <c r="G4262" s="2" t="s">
        <v>165</v>
      </c>
      <c r="H4262" s="2" t="s">
        <v>98</v>
      </c>
      <c r="I4262" s="2"/>
      <c r="J4262" s="2" t="s">
        <v>19</v>
      </c>
      <c r="K4262" s="2" t="s">
        <v>20</v>
      </c>
      <c r="L4262" s="4" t="s">
        <v>12067</v>
      </c>
    </row>
    <row r="4263" customFormat="false" ht="15.65" hidden="false" customHeight="true" outlineLevel="0" collapsed="false">
      <c r="A4263" s="5" t="str">
        <f aca="false">HYPERLINK("https://www.fabsurplus.com/sdi_catalog/salesItemDetails.do?id=110548")</f>
        <v>https://www.fabsurplus.com/sdi_catalog/salesItemDetails.do?id=110548</v>
      </c>
      <c r="B4263" s="5" t="s">
        <v>12068</v>
      </c>
      <c r="C4263" s="5" t="s">
        <v>12069</v>
      </c>
      <c r="D4263" s="5" t="s">
        <v>6499</v>
      </c>
      <c r="E4263" s="5" t="s">
        <v>170</v>
      </c>
      <c r="F4263" s="5" t="s">
        <v>16</v>
      </c>
      <c r="G4263" s="5" t="s">
        <v>165</v>
      </c>
      <c r="H4263" s="5"/>
      <c r="I4263" s="5"/>
      <c r="J4263" s="5" t="s">
        <v>42</v>
      </c>
      <c r="K4263" s="5"/>
      <c r="L4263" s="5" t="s">
        <v>12070</v>
      </c>
    </row>
    <row r="4264" customFormat="false" ht="15.65" hidden="false" customHeight="true" outlineLevel="0" collapsed="false">
      <c r="A4264" s="2" t="str">
        <f aca="false">HYPERLINK("https://www.fabsurplus.com/sdi_catalog/salesItemDetails.do?id=110549")</f>
        <v>https://www.fabsurplus.com/sdi_catalog/salesItemDetails.do?id=110549</v>
      </c>
      <c r="B4264" s="2" t="s">
        <v>12071</v>
      </c>
      <c r="C4264" s="2" t="s">
        <v>12069</v>
      </c>
      <c r="D4264" s="2" t="s">
        <v>6499</v>
      </c>
      <c r="E4264" s="2" t="s">
        <v>170</v>
      </c>
      <c r="F4264" s="2" t="s">
        <v>16</v>
      </c>
      <c r="G4264" s="2" t="s">
        <v>165</v>
      </c>
      <c r="H4264" s="2"/>
      <c r="I4264" s="2"/>
      <c r="J4264" s="2" t="s">
        <v>42</v>
      </c>
      <c r="K4264" s="2"/>
      <c r="L4264" s="2" t="s">
        <v>12070</v>
      </c>
    </row>
    <row r="4265" customFormat="false" ht="15.65" hidden="false" customHeight="true" outlineLevel="0" collapsed="false">
      <c r="A4265" s="5" t="str">
        <f aca="false">HYPERLINK("https://www.fabsurplus.com/sdi_catalog/salesItemDetails.do?id=108214")</f>
        <v>https://www.fabsurplus.com/sdi_catalog/salesItemDetails.do?id=108214</v>
      </c>
      <c r="B4265" s="5" t="s">
        <v>12072</v>
      </c>
      <c r="C4265" s="5" t="s">
        <v>12073</v>
      </c>
      <c r="D4265" s="5" t="s">
        <v>12074</v>
      </c>
      <c r="E4265" s="5" t="s">
        <v>12075</v>
      </c>
      <c r="F4265" s="5" t="s">
        <v>16</v>
      </c>
      <c r="G4265" s="5" t="s">
        <v>38</v>
      </c>
      <c r="H4265" s="5"/>
      <c r="I4265" s="5"/>
      <c r="J4265" s="5" t="s">
        <v>19</v>
      </c>
      <c r="K4265" s="5"/>
      <c r="L4265" s="5" t="s">
        <v>1480</v>
      </c>
    </row>
    <row r="4266" customFormat="false" ht="15.65" hidden="false" customHeight="true" outlineLevel="0" collapsed="false">
      <c r="A4266" s="2" t="str">
        <f aca="false">HYPERLINK("https://www.fabsurplus.com/sdi_catalog/salesItemDetails.do?id=91569")</f>
        <v>https://www.fabsurplus.com/sdi_catalog/salesItemDetails.do?id=91569</v>
      </c>
      <c r="B4266" s="2" t="s">
        <v>12076</v>
      </c>
      <c r="C4266" s="2" t="s">
        <v>12077</v>
      </c>
      <c r="D4266" s="2" t="s">
        <v>12078</v>
      </c>
      <c r="E4266" s="2" t="s">
        <v>12079</v>
      </c>
      <c r="F4266" s="2" t="s">
        <v>16</v>
      </c>
      <c r="G4266" s="2" t="s">
        <v>38</v>
      </c>
      <c r="H4266" s="2" t="s">
        <v>32</v>
      </c>
      <c r="I4266" s="3" t="n">
        <v>36647</v>
      </c>
      <c r="J4266" s="2" t="s">
        <v>19</v>
      </c>
      <c r="K4266" s="2" t="s">
        <v>20</v>
      </c>
      <c r="L4266" s="4" t="s">
        <v>12080</v>
      </c>
    </row>
    <row r="4267" customFormat="false" ht="15.65" hidden="false" customHeight="true" outlineLevel="0" collapsed="false">
      <c r="A4267" s="5" t="str">
        <f aca="false">HYPERLINK("https://www.fabsurplus.com/sdi_catalog/salesItemDetails.do?id=108609")</f>
        <v>https://www.fabsurplus.com/sdi_catalog/salesItemDetails.do?id=108609</v>
      </c>
      <c r="B4267" s="5" t="s">
        <v>12081</v>
      </c>
      <c r="C4267" s="5" t="s">
        <v>12082</v>
      </c>
      <c r="D4267" s="5" t="s">
        <v>12083</v>
      </c>
      <c r="E4267" s="5" t="s">
        <v>12084</v>
      </c>
      <c r="F4267" s="5" t="s">
        <v>16</v>
      </c>
      <c r="G4267" s="5" t="s">
        <v>61</v>
      </c>
      <c r="H4267" s="5" t="s">
        <v>32</v>
      </c>
      <c r="I4267" s="6" t="n">
        <v>40664</v>
      </c>
      <c r="J4267" s="5" t="s">
        <v>19</v>
      </c>
      <c r="K4267" s="5" t="s">
        <v>20</v>
      </c>
      <c r="L4267" s="5"/>
    </row>
    <row r="4268" customFormat="false" ht="15.65" hidden="false" customHeight="true" outlineLevel="0" collapsed="false">
      <c r="A4268" s="2" t="str">
        <f aca="false">HYPERLINK("https://www.fabsurplus.com/sdi_catalog/salesItemDetails.do?id=108889")</f>
        <v>https://www.fabsurplus.com/sdi_catalog/salesItemDetails.do?id=108889</v>
      </c>
      <c r="B4268" s="2" t="s">
        <v>12085</v>
      </c>
      <c r="C4268" s="2" t="s">
        <v>12082</v>
      </c>
      <c r="D4268" s="2" t="s">
        <v>12086</v>
      </c>
      <c r="E4268" s="2" t="s">
        <v>12087</v>
      </c>
      <c r="F4268" s="2" t="s">
        <v>16</v>
      </c>
      <c r="G4268" s="2" t="s">
        <v>2327</v>
      </c>
      <c r="H4268" s="2"/>
      <c r="I4268" s="2"/>
      <c r="J4268" s="2" t="s">
        <v>42</v>
      </c>
      <c r="K4268" s="2"/>
      <c r="L4268" s="2" t="s">
        <v>131</v>
      </c>
    </row>
    <row r="4269" customFormat="false" ht="15.65" hidden="false" customHeight="true" outlineLevel="0" collapsed="false">
      <c r="A4269" s="5" t="str">
        <f aca="false">HYPERLINK("https://www.fabsurplus.com/sdi_catalog/salesItemDetails.do?id=84243")</f>
        <v>https://www.fabsurplus.com/sdi_catalog/salesItemDetails.do?id=84243</v>
      </c>
      <c r="B4269" s="5" t="s">
        <v>12088</v>
      </c>
      <c r="C4269" s="5" t="s">
        <v>12089</v>
      </c>
      <c r="D4269" s="5" t="s">
        <v>12090</v>
      </c>
      <c r="E4269" s="5" t="s">
        <v>12091</v>
      </c>
      <c r="F4269" s="5" t="s">
        <v>16</v>
      </c>
      <c r="G4269" s="5"/>
      <c r="H4269" s="5" t="s">
        <v>18</v>
      </c>
      <c r="I4269" s="5"/>
      <c r="J4269" s="5" t="s">
        <v>19</v>
      </c>
      <c r="K4269" s="5" t="s">
        <v>20</v>
      </c>
      <c r="L4269" s="7" t="s">
        <v>12092</v>
      </c>
    </row>
    <row r="4270" customFormat="false" ht="15.65" hidden="false" customHeight="true" outlineLevel="0" collapsed="false">
      <c r="A4270" s="2" t="str">
        <f aca="false">HYPERLINK("https://www.fabsurplus.com/sdi_catalog/salesItemDetails.do?id=84245")</f>
        <v>https://www.fabsurplus.com/sdi_catalog/salesItemDetails.do?id=84245</v>
      </c>
      <c r="B4270" s="2" t="s">
        <v>12093</v>
      </c>
      <c r="C4270" s="2" t="s">
        <v>12089</v>
      </c>
      <c r="D4270" s="2" t="s">
        <v>12094</v>
      </c>
      <c r="E4270" s="2" t="s">
        <v>12095</v>
      </c>
      <c r="F4270" s="2" t="s">
        <v>86</v>
      </c>
      <c r="G4270" s="2" t="s">
        <v>104</v>
      </c>
      <c r="H4270" s="2" t="s">
        <v>1969</v>
      </c>
      <c r="I4270" s="2"/>
      <c r="J4270" s="2" t="s">
        <v>19</v>
      </c>
      <c r="K4270" s="2" t="s">
        <v>20</v>
      </c>
      <c r="L4270" s="4" t="s">
        <v>12096</v>
      </c>
    </row>
    <row r="4271" customFormat="false" ht="15.65" hidden="false" customHeight="true" outlineLevel="0" collapsed="false">
      <c r="A4271" s="5" t="str">
        <f aca="false">HYPERLINK("https://www.fabsurplus.com/sdi_catalog/salesItemDetails.do?id=84246")</f>
        <v>https://www.fabsurplus.com/sdi_catalog/salesItemDetails.do?id=84246</v>
      </c>
      <c r="B4271" s="5" t="s">
        <v>12097</v>
      </c>
      <c r="C4271" s="5" t="s">
        <v>12089</v>
      </c>
      <c r="D4271" s="5" t="s">
        <v>12098</v>
      </c>
      <c r="E4271" s="5" t="s">
        <v>12099</v>
      </c>
      <c r="F4271" s="5" t="s">
        <v>16</v>
      </c>
      <c r="G4271" s="5" t="s">
        <v>104</v>
      </c>
      <c r="H4271" s="5" t="s">
        <v>1969</v>
      </c>
      <c r="I4271" s="5"/>
      <c r="J4271" s="5" t="s">
        <v>19</v>
      </c>
      <c r="K4271" s="5" t="s">
        <v>20</v>
      </c>
      <c r="L4271" s="7" t="s">
        <v>12100</v>
      </c>
    </row>
    <row r="4272" customFormat="false" ht="15.65" hidden="false" customHeight="true" outlineLevel="0" collapsed="false">
      <c r="A4272" s="2" t="str">
        <f aca="false">HYPERLINK("https://www.fabsurplus.com/sdi_catalog/salesItemDetails.do?id=84247")</f>
        <v>https://www.fabsurplus.com/sdi_catalog/salesItemDetails.do?id=84247</v>
      </c>
      <c r="B4272" s="2" t="s">
        <v>12101</v>
      </c>
      <c r="C4272" s="2" t="s">
        <v>12089</v>
      </c>
      <c r="D4272" s="2" t="s">
        <v>12102</v>
      </c>
      <c r="E4272" s="2" t="s">
        <v>12095</v>
      </c>
      <c r="F4272" s="2" t="s">
        <v>151</v>
      </c>
      <c r="G4272" s="2" t="s">
        <v>104</v>
      </c>
      <c r="H4272" s="2" t="s">
        <v>1969</v>
      </c>
      <c r="I4272" s="2"/>
      <c r="J4272" s="2" t="s">
        <v>19</v>
      </c>
      <c r="K4272" s="2" t="s">
        <v>20</v>
      </c>
      <c r="L4272" s="4" t="s">
        <v>12103</v>
      </c>
    </row>
    <row r="4273" customFormat="false" ht="15.65" hidden="false" customHeight="true" outlineLevel="0" collapsed="false">
      <c r="A4273" s="5" t="str">
        <f aca="false">HYPERLINK("https://www.fabsurplus.com/sdi_catalog/salesItemDetails.do?id=84248")</f>
        <v>https://www.fabsurplus.com/sdi_catalog/salesItemDetails.do?id=84248</v>
      </c>
      <c r="B4273" s="5" t="s">
        <v>12104</v>
      </c>
      <c r="C4273" s="5" t="s">
        <v>12089</v>
      </c>
      <c r="D4273" s="5" t="s">
        <v>12105</v>
      </c>
      <c r="E4273" s="5" t="s">
        <v>12095</v>
      </c>
      <c r="F4273" s="5" t="s">
        <v>16</v>
      </c>
      <c r="G4273" s="5" t="s">
        <v>104</v>
      </c>
      <c r="H4273" s="5" t="s">
        <v>18</v>
      </c>
      <c r="I4273" s="5"/>
      <c r="J4273" s="5" t="s">
        <v>19</v>
      </c>
      <c r="K4273" s="5" t="s">
        <v>20</v>
      </c>
      <c r="L4273" s="7" t="s">
        <v>12106</v>
      </c>
    </row>
    <row r="4274" customFormat="false" ht="15.65" hidden="false" customHeight="true" outlineLevel="0" collapsed="false">
      <c r="A4274" s="2" t="str">
        <f aca="false">HYPERLINK("https://www.fabsurplus.com/sdi_catalog/salesItemDetails.do?id=84249")</f>
        <v>https://www.fabsurplus.com/sdi_catalog/salesItemDetails.do?id=84249</v>
      </c>
      <c r="B4274" s="2" t="s">
        <v>12107</v>
      </c>
      <c r="C4274" s="2" t="s">
        <v>12089</v>
      </c>
      <c r="D4274" s="2" t="s">
        <v>12108</v>
      </c>
      <c r="E4274" s="2" t="s">
        <v>12095</v>
      </c>
      <c r="F4274" s="2" t="s">
        <v>16</v>
      </c>
      <c r="G4274" s="2" t="s">
        <v>104</v>
      </c>
      <c r="H4274" s="2" t="s">
        <v>1969</v>
      </c>
      <c r="I4274" s="2"/>
      <c r="J4274" s="2" t="s">
        <v>19</v>
      </c>
      <c r="K4274" s="2" t="s">
        <v>20</v>
      </c>
      <c r="L4274" s="4" t="s">
        <v>12109</v>
      </c>
    </row>
    <row r="4275" customFormat="false" ht="15.65" hidden="false" customHeight="true" outlineLevel="0" collapsed="false">
      <c r="A4275" s="5" t="str">
        <f aca="false">HYPERLINK("https://www.fabsurplus.com/sdi_catalog/salesItemDetails.do?id=84250")</f>
        <v>https://www.fabsurplus.com/sdi_catalog/salesItemDetails.do?id=84250</v>
      </c>
      <c r="B4275" s="5" t="s">
        <v>12110</v>
      </c>
      <c r="C4275" s="5" t="s">
        <v>12089</v>
      </c>
      <c r="D4275" s="5" t="s">
        <v>12111</v>
      </c>
      <c r="E4275" s="5" t="s">
        <v>12095</v>
      </c>
      <c r="F4275" s="5" t="s">
        <v>16</v>
      </c>
      <c r="G4275" s="5" t="s">
        <v>104</v>
      </c>
      <c r="H4275" s="5" t="s">
        <v>1969</v>
      </c>
      <c r="I4275" s="5"/>
      <c r="J4275" s="5" t="s">
        <v>19</v>
      </c>
      <c r="K4275" s="5" t="s">
        <v>20</v>
      </c>
      <c r="L4275" s="7" t="s">
        <v>12112</v>
      </c>
    </row>
    <row r="4276" customFormat="false" ht="15.65" hidden="false" customHeight="true" outlineLevel="0" collapsed="false">
      <c r="A4276" s="2" t="str">
        <f aca="false">HYPERLINK("https://www.fabsurplus.com/sdi_catalog/salesItemDetails.do?id=84251")</f>
        <v>https://www.fabsurplus.com/sdi_catalog/salesItemDetails.do?id=84251</v>
      </c>
      <c r="B4276" s="2" t="s">
        <v>12113</v>
      </c>
      <c r="C4276" s="2" t="s">
        <v>12089</v>
      </c>
      <c r="D4276" s="2" t="s">
        <v>12114</v>
      </c>
      <c r="E4276" s="2" t="s">
        <v>12095</v>
      </c>
      <c r="F4276" s="2" t="s">
        <v>16</v>
      </c>
      <c r="G4276" s="2" t="s">
        <v>104</v>
      </c>
      <c r="H4276" s="2" t="s">
        <v>1969</v>
      </c>
      <c r="I4276" s="2"/>
      <c r="J4276" s="2" t="s">
        <v>19</v>
      </c>
      <c r="K4276" s="2" t="s">
        <v>20</v>
      </c>
      <c r="L4276" s="4" t="s">
        <v>12115</v>
      </c>
    </row>
    <row r="4277" customFormat="false" ht="15.65" hidden="false" customHeight="true" outlineLevel="0" collapsed="false">
      <c r="A4277" s="5" t="str">
        <f aca="false">HYPERLINK("https://www.fabsurplus.com/sdi_catalog/salesItemDetails.do?id=84252")</f>
        <v>https://www.fabsurplus.com/sdi_catalog/salesItemDetails.do?id=84252</v>
      </c>
      <c r="B4277" s="5" t="s">
        <v>12116</v>
      </c>
      <c r="C4277" s="5" t="s">
        <v>12089</v>
      </c>
      <c r="D4277" s="5" t="s">
        <v>12117</v>
      </c>
      <c r="E4277" s="5" t="s">
        <v>12118</v>
      </c>
      <c r="F4277" s="5" t="s">
        <v>16</v>
      </c>
      <c r="G4277" s="5" t="s">
        <v>104</v>
      </c>
      <c r="H4277" s="5" t="s">
        <v>1969</v>
      </c>
      <c r="I4277" s="5"/>
      <c r="J4277" s="5" t="s">
        <v>19</v>
      </c>
      <c r="K4277" s="5" t="s">
        <v>20</v>
      </c>
      <c r="L4277" s="7" t="s">
        <v>12119</v>
      </c>
    </row>
    <row r="4278" customFormat="false" ht="15.65" hidden="false" customHeight="true" outlineLevel="0" collapsed="false">
      <c r="A4278" s="2" t="str">
        <f aca="false">HYPERLINK("https://www.fabsurplus.com/sdi_catalog/salesItemDetails.do?id=84253")</f>
        <v>https://www.fabsurplus.com/sdi_catalog/salesItemDetails.do?id=84253</v>
      </c>
      <c r="B4278" s="2" t="s">
        <v>12120</v>
      </c>
      <c r="C4278" s="2" t="s">
        <v>12089</v>
      </c>
      <c r="D4278" s="2" t="s">
        <v>12121</v>
      </c>
      <c r="E4278" s="2" t="s">
        <v>12122</v>
      </c>
      <c r="F4278" s="2" t="s">
        <v>16</v>
      </c>
      <c r="G4278" s="2" t="s">
        <v>104</v>
      </c>
      <c r="H4278" s="2" t="s">
        <v>1969</v>
      </c>
      <c r="I4278" s="2"/>
      <c r="J4278" s="2" t="s">
        <v>19</v>
      </c>
      <c r="K4278" s="2" t="s">
        <v>20</v>
      </c>
      <c r="L4278" s="4" t="s">
        <v>12123</v>
      </c>
    </row>
    <row r="4279" customFormat="false" ht="15.65" hidden="false" customHeight="true" outlineLevel="0" collapsed="false">
      <c r="A4279" s="5" t="str">
        <f aca="false">HYPERLINK("https://www.fabsurplus.com/sdi_catalog/salesItemDetails.do?id=84257")</f>
        <v>https://www.fabsurplus.com/sdi_catalog/salesItemDetails.do?id=84257</v>
      </c>
      <c r="B4279" s="5" t="s">
        <v>12124</v>
      </c>
      <c r="C4279" s="5" t="s">
        <v>12089</v>
      </c>
      <c r="D4279" s="5" t="s">
        <v>12125</v>
      </c>
      <c r="E4279" s="5" t="s">
        <v>12126</v>
      </c>
      <c r="F4279" s="5" t="s">
        <v>16</v>
      </c>
      <c r="G4279" s="5"/>
      <c r="H4279" s="5" t="s">
        <v>18</v>
      </c>
      <c r="I4279" s="5"/>
      <c r="J4279" s="5" t="s">
        <v>19</v>
      </c>
      <c r="K4279" s="5" t="s">
        <v>20</v>
      </c>
      <c r="L4279" s="7" t="s">
        <v>12127</v>
      </c>
    </row>
    <row r="4280" customFormat="false" ht="15.65" hidden="false" customHeight="true" outlineLevel="0" collapsed="false">
      <c r="A4280" s="2" t="str">
        <f aca="false">HYPERLINK("https://www.fabsurplus.com/sdi_catalog/salesItemDetails.do?id=70303")</f>
        <v>https://www.fabsurplus.com/sdi_catalog/salesItemDetails.do?id=70303</v>
      </c>
      <c r="B4280" s="2" t="s">
        <v>12128</v>
      </c>
      <c r="C4280" s="2" t="s">
        <v>12089</v>
      </c>
      <c r="D4280" s="2" t="s">
        <v>12129</v>
      </c>
      <c r="E4280" s="2" t="s">
        <v>12130</v>
      </c>
      <c r="F4280" s="2" t="s">
        <v>151</v>
      </c>
      <c r="G4280" s="2" t="s">
        <v>165</v>
      </c>
      <c r="H4280" s="2" t="s">
        <v>98</v>
      </c>
      <c r="I4280" s="2"/>
      <c r="J4280" s="2" t="s">
        <v>19</v>
      </c>
      <c r="K4280" s="2" t="s">
        <v>20</v>
      </c>
      <c r="L4280" s="4" t="s">
        <v>12131</v>
      </c>
    </row>
    <row r="4281" customFormat="false" ht="15.65" hidden="false" customHeight="true" outlineLevel="0" collapsed="false">
      <c r="A4281" s="5" t="str">
        <f aca="false">HYPERLINK("https://www.fabsurplus.com/sdi_catalog/salesItemDetails.do?id=83877")</f>
        <v>https://www.fabsurplus.com/sdi_catalog/salesItemDetails.do?id=83877</v>
      </c>
      <c r="B4281" s="5" t="s">
        <v>12132</v>
      </c>
      <c r="C4281" s="5" t="s">
        <v>12133</v>
      </c>
      <c r="D4281" s="5" t="s">
        <v>12134</v>
      </c>
      <c r="E4281" s="5" t="s">
        <v>12135</v>
      </c>
      <c r="F4281" s="5" t="s">
        <v>145</v>
      </c>
      <c r="G4281" s="5"/>
      <c r="H4281" s="5" t="s">
        <v>98</v>
      </c>
      <c r="I4281" s="5"/>
      <c r="J4281" s="5" t="s">
        <v>19</v>
      </c>
      <c r="K4281" s="5" t="s">
        <v>20</v>
      </c>
      <c r="L4281" s="7" t="s">
        <v>12136</v>
      </c>
    </row>
    <row r="4282" customFormat="false" ht="15.65" hidden="false" customHeight="true" outlineLevel="0" collapsed="false">
      <c r="A4282" s="2" t="str">
        <f aca="false">HYPERLINK("https://www.fabsurplus.com/sdi_catalog/salesItemDetails.do?id=83878")</f>
        <v>https://www.fabsurplus.com/sdi_catalog/salesItemDetails.do?id=83878</v>
      </c>
      <c r="B4282" s="2" t="s">
        <v>12137</v>
      </c>
      <c r="C4282" s="2" t="s">
        <v>12133</v>
      </c>
      <c r="D4282" s="2" t="s">
        <v>12138</v>
      </c>
      <c r="E4282" s="2" t="s">
        <v>12139</v>
      </c>
      <c r="F4282" s="2" t="s">
        <v>151</v>
      </c>
      <c r="G4282" s="2"/>
      <c r="H4282" s="2" t="s">
        <v>98</v>
      </c>
      <c r="I4282" s="2"/>
      <c r="J4282" s="2" t="s">
        <v>19</v>
      </c>
      <c r="K4282" s="2" t="s">
        <v>20</v>
      </c>
      <c r="L4282" s="4" t="s">
        <v>12140</v>
      </c>
    </row>
    <row r="4283" customFormat="false" ht="15.65" hidden="false" customHeight="true" outlineLevel="0" collapsed="false">
      <c r="A4283" s="5" t="str">
        <f aca="false">HYPERLINK("https://www.fabsurplus.com/sdi_catalog/salesItemDetails.do?id=83879")</f>
        <v>https://www.fabsurplus.com/sdi_catalog/salesItemDetails.do?id=83879</v>
      </c>
      <c r="B4283" s="5" t="s">
        <v>12141</v>
      </c>
      <c r="C4283" s="5" t="s">
        <v>12133</v>
      </c>
      <c r="D4283" s="5" t="s">
        <v>12142</v>
      </c>
      <c r="E4283" s="5" t="s">
        <v>12143</v>
      </c>
      <c r="F4283" s="5" t="s">
        <v>151</v>
      </c>
      <c r="G4283" s="5"/>
      <c r="H4283" s="5" t="s">
        <v>98</v>
      </c>
      <c r="I4283" s="5"/>
      <c r="J4283" s="5" t="s">
        <v>19</v>
      </c>
      <c r="K4283" s="5" t="s">
        <v>20</v>
      </c>
      <c r="L4283" s="7" t="s">
        <v>12144</v>
      </c>
    </row>
    <row r="4284" customFormat="false" ht="15.65" hidden="false" customHeight="true" outlineLevel="0" collapsed="false">
      <c r="A4284" s="2" t="str">
        <f aca="false">HYPERLINK("https://www.fabsurplus.com/sdi_catalog/salesItemDetails.do?id=108128")</f>
        <v>https://www.fabsurplus.com/sdi_catalog/salesItemDetails.do?id=108128</v>
      </c>
      <c r="B4284" s="2" t="s">
        <v>12145</v>
      </c>
      <c r="C4284" s="2" t="s">
        <v>12146</v>
      </c>
      <c r="D4284" s="2" t="s">
        <v>12147</v>
      </c>
      <c r="E4284" s="2" t="s">
        <v>12148</v>
      </c>
      <c r="F4284" s="2" t="s">
        <v>16</v>
      </c>
      <c r="G4284" s="2"/>
      <c r="H4284" s="2"/>
      <c r="I4284" s="2"/>
      <c r="J4284" s="2" t="s">
        <v>19</v>
      </c>
      <c r="K4284" s="2"/>
      <c r="L4284" s="2"/>
    </row>
    <row r="4285" customFormat="false" ht="15.65" hidden="false" customHeight="true" outlineLevel="0" collapsed="false">
      <c r="A4285" s="5" t="str">
        <f aca="false">HYPERLINK("https://www.fabsurplus.com/sdi_catalog/salesItemDetails.do?id=108129")</f>
        <v>https://www.fabsurplus.com/sdi_catalog/salesItemDetails.do?id=108129</v>
      </c>
      <c r="B4285" s="5" t="s">
        <v>12149</v>
      </c>
      <c r="C4285" s="5" t="s">
        <v>12146</v>
      </c>
      <c r="D4285" s="5" t="s">
        <v>12150</v>
      </c>
      <c r="E4285" s="5" t="s">
        <v>12151</v>
      </c>
      <c r="F4285" s="5" t="s">
        <v>16</v>
      </c>
      <c r="G4285" s="5"/>
      <c r="H4285" s="5"/>
      <c r="I4285" s="5"/>
      <c r="J4285" s="5" t="s">
        <v>19</v>
      </c>
      <c r="K4285" s="5"/>
      <c r="L4285" s="5"/>
    </row>
    <row r="4286" customFormat="false" ht="15.65" hidden="false" customHeight="true" outlineLevel="0" collapsed="false">
      <c r="A4286" s="2" t="str">
        <f aca="false">HYPERLINK("https://www.fabsurplus.com/sdi_catalog/salesItemDetails.do?id=83827")</f>
        <v>https://www.fabsurplus.com/sdi_catalog/salesItemDetails.do?id=83827</v>
      </c>
      <c r="B4286" s="2" t="s">
        <v>12152</v>
      </c>
      <c r="C4286" s="2" t="s">
        <v>12153</v>
      </c>
      <c r="D4286" s="2" t="s">
        <v>12154</v>
      </c>
      <c r="E4286" s="2" t="s">
        <v>12155</v>
      </c>
      <c r="F4286" s="2" t="s">
        <v>16</v>
      </c>
      <c r="G4286" s="2"/>
      <c r="H4286" s="2" t="s">
        <v>18</v>
      </c>
      <c r="I4286" s="2"/>
      <c r="J4286" s="2" t="s">
        <v>19</v>
      </c>
      <c r="K4286" s="2" t="s">
        <v>20</v>
      </c>
      <c r="L4286" s="4" t="s">
        <v>12156</v>
      </c>
    </row>
    <row r="4287" customFormat="false" ht="15.65" hidden="false" customHeight="true" outlineLevel="0" collapsed="false">
      <c r="A4287" s="5" t="str">
        <f aca="false">HYPERLINK("https://www.fabsurplus.com/sdi_catalog/salesItemDetails.do?id=83828")</f>
        <v>https://www.fabsurplus.com/sdi_catalog/salesItemDetails.do?id=83828</v>
      </c>
      <c r="B4287" s="5" t="s">
        <v>12157</v>
      </c>
      <c r="C4287" s="5" t="s">
        <v>12153</v>
      </c>
      <c r="D4287" s="5" t="s">
        <v>12158</v>
      </c>
      <c r="E4287" s="5" t="s">
        <v>12155</v>
      </c>
      <c r="F4287" s="5" t="s">
        <v>151</v>
      </c>
      <c r="G4287" s="5"/>
      <c r="H4287" s="5" t="s">
        <v>18</v>
      </c>
      <c r="I4287" s="5"/>
      <c r="J4287" s="5" t="s">
        <v>19</v>
      </c>
      <c r="K4287" s="5" t="s">
        <v>20</v>
      </c>
      <c r="L4287" s="7" t="s">
        <v>12159</v>
      </c>
    </row>
    <row r="4288" customFormat="false" ht="15.65" hidden="false" customHeight="true" outlineLevel="0" collapsed="false">
      <c r="A4288" s="2" t="str">
        <f aca="false">HYPERLINK("https://www.fabsurplus.com/sdi_catalog/salesItemDetails.do?id=83831")</f>
        <v>https://www.fabsurplus.com/sdi_catalog/salesItemDetails.do?id=83831</v>
      </c>
      <c r="B4288" s="2" t="s">
        <v>12160</v>
      </c>
      <c r="C4288" s="2" t="s">
        <v>12161</v>
      </c>
      <c r="D4288" s="2" t="s">
        <v>12162</v>
      </c>
      <c r="E4288" s="2" t="s">
        <v>12163</v>
      </c>
      <c r="F4288" s="2" t="s">
        <v>16</v>
      </c>
      <c r="G4288" s="2" t="s">
        <v>165</v>
      </c>
      <c r="H4288" s="2" t="s">
        <v>98</v>
      </c>
      <c r="I4288" s="2"/>
      <c r="J4288" s="2" t="s">
        <v>19</v>
      </c>
      <c r="K4288" s="2" t="s">
        <v>20</v>
      </c>
      <c r="L4288" s="4" t="s">
        <v>12164</v>
      </c>
    </row>
    <row r="4289" customFormat="false" ht="15.65" hidden="false" customHeight="true" outlineLevel="0" collapsed="false">
      <c r="A4289" s="5" t="str">
        <f aca="false">HYPERLINK("https://www.fabsurplus.com/sdi_catalog/salesItemDetails.do?id=83833")</f>
        <v>https://www.fabsurplus.com/sdi_catalog/salesItemDetails.do?id=83833</v>
      </c>
      <c r="B4289" s="5" t="s">
        <v>12165</v>
      </c>
      <c r="C4289" s="5" t="s">
        <v>12161</v>
      </c>
      <c r="D4289" s="5" t="s">
        <v>12166</v>
      </c>
      <c r="E4289" s="5" t="s">
        <v>12167</v>
      </c>
      <c r="F4289" s="5" t="s">
        <v>16</v>
      </c>
      <c r="G4289" s="5" t="s">
        <v>165</v>
      </c>
      <c r="H4289" s="5" t="s">
        <v>98</v>
      </c>
      <c r="I4289" s="5"/>
      <c r="J4289" s="5" t="s">
        <v>19</v>
      </c>
      <c r="K4289" s="5" t="s">
        <v>20</v>
      </c>
      <c r="L4289" s="5" t="s">
        <v>12168</v>
      </c>
    </row>
    <row r="4290" customFormat="false" ht="15.65" hidden="false" customHeight="true" outlineLevel="0" collapsed="false">
      <c r="A4290" s="2" t="str">
        <f aca="false">HYPERLINK("https://www.fabsurplus.com/sdi_catalog/salesItemDetails.do?id=108039")</f>
        <v>https://www.fabsurplus.com/sdi_catalog/salesItemDetails.do?id=108039</v>
      </c>
      <c r="B4290" s="2" t="s">
        <v>12169</v>
      </c>
      <c r="C4290" s="2" t="s">
        <v>12170</v>
      </c>
      <c r="D4290" s="2" t="s">
        <v>3002</v>
      </c>
      <c r="E4290" s="2" t="s">
        <v>6164</v>
      </c>
      <c r="F4290" s="2" t="s">
        <v>16</v>
      </c>
      <c r="G4290" s="2" t="s">
        <v>104</v>
      </c>
      <c r="H4290" s="2" t="s">
        <v>32</v>
      </c>
      <c r="I4290" s="2"/>
      <c r="J4290" s="2" t="s">
        <v>19</v>
      </c>
      <c r="K4290" s="2" t="s">
        <v>20</v>
      </c>
      <c r="L4290" s="4" t="s">
        <v>12171</v>
      </c>
    </row>
    <row r="4291" customFormat="false" ht="15.65" hidden="false" customHeight="true" outlineLevel="0" collapsed="false">
      <c r="A4291" s="5" t="str">
        <f aca="false">HYPERLINK("https://www.fabsurplus.com/sdi_catalog/salesItemDetails.do?id=83641")</f>
        <v>https://www.fabsurplus.com/sdi_catalog/salesItemDetails.do?id=83641</v>
      </c>
      <c r="B4291" s="5" t="s">
        <v>12172</v>
      </c>
      <c r="C4291" s="5" t="s">
        <v>12173</v>
      </c>
      <c r="D4291" s="5" t="s">
        <v>12174</v>
      </c>
      <c r="E4291" s="5" t="s">
        <v>12175</v>
      </c>
      <c r="F4291" s="5" t="s">
        <v>16</v>
      </c>
      <c r="G4291" s="5" t="s">
        <v>165</v>
      </c>
      <c r="H4291" s="5" t="s">
        <v>98</v>
      </c>
      <c r="I4291" s="5"/>
      <c r="J4291" s="5" t="s">
        <v>19</v>
      </c>
      <c r="K4291" s="5" t="s">
        <v>20</v>
      </c>
      <c r="L4291" s="7" t="s">
        <v>12176</v>
      </c>
    </row>
    <row r="4292" customFormat="false" ht="15.65" hidden="false" customHeight="true" outlineLevel="0" collapsed="false">
      <c r="A4292" s="2" t="str">
        <f aca="false">HYPERLINK("https://www.fabsurplus.com/sdi_catalog/salesItemDetails.do?id=83640")</f>
        <v>https://www.fabsurplus.com/sdi_catalog/salesItemDetails.do?id=83640</v>
      </c>
      <c r="B4292" s="2" t="s">
        <v>12177</v>
      </c>
      <c r="C4292" s="2" t="s">
        <v>12178</v>
      </c>
      <c r="D4292" s="2" t="s">
        <v>12179</v>
      </c>
      <c r="E4292" s="2" t="s">
        <v>12180</v>
      </c>
      <c r="F4292" s="2" t="s">
        <v>16</v>
      </c>
      <c r="G4292" s="2" t="s">
        <v>12181</v>
      </c>
      <c r="H4292" s="2" t="s">
        <v>98</v>
      </c>
      <c r="I4292" s="2"/>
      <c r="J4292" s="2" t="s">
        <v>19</v>
      </c>
      <c r="K4292" s="2" t="s">
        <v>20</v>
      </c>
      <c r="L4292" s="4" t="s">
        <v>12182</v>
      </c>
    </row>
    <row r="4293" customFormat="false" ht="15.65" hidden="false" customHeight="true" outlineLevel="0" collapsed="false">
      <c r="A4293" s="5" t="str">
        <f aca="false">HYPERLINK("https://www.fabsurplus.com/sdi_catalog/salesItemDetails.do?id=77088")</f>
        <v>https://www.fabsurplus.com/sdi_catalog/salesItemDetails.do?id=77088</v>
      </c>
      <c r="B4293" s="5" t="s">
        <v>12183</v>
      </c>
      <c r="C4293" s="5" t="s">
        <v>12184</v>
      </c>
      <c r="D4293" s="5" t="s">
        <v>12185</v>
      </c>
      <c r="E4293" s="5" t="s">
        <v>12186</v>
      </c>
      <c r="F4293" s="5" t="s">
        <v>16</v>
      </c>
      <c r="G4293" s="5"/>
      <c r="H4293" s="5"/>
      <c r="I4293" s="5"/>
      <c r="J4293" s="5" t="s">
        <v>19</v>
      </c>
      <c r="K4293" s="5"/>
      <c r="L4293" s="5" t="s">
        <v>12187</v>
      </c>
    </row>
    <row r="4294" customFormat="false" ht="15.65" hidden="false" customHeight="true" outlineLevel="0" collapsed="false">
      <c r="A4294" s="2" t="str">
        <f aca="false">HYPERLINK("https://www.fabsurplus.com/sdi_catalog/salesItemDetails.do?id=108130")</f>
        <v>https://www.fabsurplus.com/sdi_catalog/salesItemDetails.do?id=108130</v>
      </c>
      <c r="B4294" s="2" t="s">
        <v>12188</v>
      </c>
      <c r="C4294" s="2" t="s">
        <v>12189</v>
      </c>
      <c r="D4294" s="2" t="s">
        <v>12190</v>
      </c>
      <c r="E4294" s="2" t="s">
        <v>12191</v>
      </c>
      <c r="F4294" s="2" t="s">
        <v>3473</v>
      </c>
      <c r="G4294" s="2"/>
      <c r="H4294" s="2"/>
      <c r="I4294" s="2"/>
      <c r="J4294" s="2" t="s">
        <v>19</v>
      </c>
      <c r="K4294" s="2"/>
      <c r="L4294" s="4" t="s">
        <v>12192</v>
      </c>
    </row>
    <row r="4295" customFormat="false" ht="15.65" hidden="false" customHeight="true" outlineLevel="0" collapsed="false">
      <c r="A4295" s="5" t="str">
        <f aca="false">HYPERLINK("https://www.fabsurplus.com/sdi_catalog/salesItemDetails.do?id=103635")</f>
        <v>https://www.fabsurplus.com/sdi_catalog/salesItemDetails.do?id=103635</v>
      </c>
      <c r="B4295" s="5" t="s">
        <v>12193</v>
      </c>
      <c r="C4295" s="5" t="s">
        <v>12194</v>
      </c>
      <c r="D4295" s="5" t="s">
        <v>12195</v>
      </c>
      <c r="E4295" s="5" t="s">
        <v>12196</v>
      </c>
      <c r="F4295" s="5" t="s">
        <v>16</v>
      </c>
      <c r="G4295" s="5" t="s">
        <v>61</v>
      </c>
      <c r="H4295" s="5"/>
      <c r="I4295" s="5"/>
      <c r="J4295" s="5" t="s">
        <v>19</v>
      </c>
      <c r="K4295" s="5"/>
      <c r="L4295" s="7" t="s">
        <v>1682</v>
      </c>
    </row>
    <row r="4296" customFormat="false" ht="15.65" hidden="false" customHeight="true" outlineLevel="0" collapsed="false">
      <c r="A4296" s="2" t="str">
        <f aca="false">HYPERLINK("https://www.fabsurplus.com/sdi_catalog/salesItemDetails.do?id=108304")</f>
        <v>https://www.fabsurplus.com/sdi_catalog/salesItemDetails.do?id=108304</v>
      </c>
      <c r="B4296" s="2" t="s">
        <v>12197</v>
      </c>
      <c r="C4296" s="2" t="s">
        <v>12198</v>
      </c>
      <c r="D4296" s="2" t="s">
        <v>12199</v>
      </c>
      <c r="E4296" s="2" t="s">
        <v>12200</v>
      </c>
      <c r="F4296" s="2" t="s">
        <v>16</v>
      </c>
      <c r="G4296" s="2" t="s">
        <v>2327</v>
      </c>
      <c r="H4296" s="2"/>
      <c r="I4296" s="3" t="n">
        <v>38504</v>
      </c>
      <c r="J4296" s="2" t="s">
        <v>19</v>
      </c>
      <c r="K4296" s="2"/>
      <c r="L4296" s="2"/>
    </row>
    <row r="4297" customFormat="false" ht="15.65" hidden="false" customHeight="true" outlineLevel="0" collapsed="false">
      <c r="A4297" s="5" t="str">
        <f aca="false">HYPERLINK("https://www.fabsurplus.com/sdi_catalog/salesItemDetails.do?id=108777")</f>
        <v>https://www.fabsurplus.com/sdi_catalog/salesItemDetails.do?id=108777</v>
      </c>
      <c r="B4297" s="5" t="s">
        <v>12201</v>
      </c>
      <c r="C4297" s="5" t="s">
        <v>12202</v>
      </c>
      <c r="D4297" s="5" t="s">
        <v>12203</v>
      </c>
      <c r="E4297" s="5" t="s">
        <v>12204</v>
      </c>
      <c r="F4297" s="5" t="s">
        <v>16</v>
      </c>
      <c r="G4297" s="5"/>
      <c r="H4297" s="5" t="s">
        <v>18</v>
      </c>
      <c r="I4297" s="6" t="n">
        <v>36526</v>
      </c>
      <c r="J4297" s="5" t="s">
        <v>19</v>
      </c>
      <c r="K4297" s="5" t="s">
        <v>20</v>
      </c>
      <c r="L4297" s="7" t="s">
        <v>12205</v>
      </c>
    </row>
    <row r="4298" customFormat="false" ht="15.65" hidden="false" customHeight="true" outlineLevel="0" collapsed="false">
      <c r="A4298" s="2" t="str">
        <f aca="false">HYPERLINK("https://www.fabsurplus.com/sdi_catalog/salesItemDetails.do?id=108778")</f>
        <v>https://www.fabsurplus.com/sdi_catalog/salesItemDetails.do?id=108778</v>
      </c>
      <c r="B4298" s="2" t="s">
        <v>12206</v>
      </c>
      <c r="C4298" s="2" t="s">
        <v>12207</v>
      </c>
      <c r="D4298" s="2" t="s">
        <v>12203</v>
      </c>
      <c r="E4298" s="2" t="s">
        <v>12208</v>
      </c>
      <c r="F4298" s="2" t="s">
        <v>16</v>
      </c>
      <c r="G4298" s="2" t="s">
        <v>1362</v>
      </c>
      <c r="H4298" s="2"/>
      <c r="I4298" s="3" t="n">
        <v>36647</v>
      </c>
      <c r="J4298" s="2" t="s">
        <v>19</v>
      </c>
      <c r="K4298" s="2"/>
      <c r="L4298" s="4" t="s">
        <v>12209</v>
      </c>
    </row>
    <row r="4299" customFormat="false" ht="15.65" hidden="false" customHeight="true" outlineLevel="0" collapsed="false">
      <c r="A4299" s="5" t="str">
        <f aca="false">HYPERLINK("https://www.fabsurplus.com/sdi_catalog/salesItemDetails.do?id=110550")</f>
        <v>https://www.fabsurplus.com/sdi_catalog/salesItemDetails.do?id=110550</v>
      </c>
      <c r="B4299" s="5" t="s">
        <v>12210</v>
      </c>
      <c r="C4299" s="5" t="s">
        <v>12211</v>
      </c>
      <c r="D4299" s="5" t="s">
        <v>12212</v>
      </c>
      <c r="E4299" s="5" t="s">
        <v>763</v>
      </c>
      <c r="F4299" s="5" t="s">
        <v>16</v>
      </c>
      <c r="G4299" s="5" t="s">
        <v>165</v>
      </c>
      <c r="H4299" s="5"/>
      <c r="I4299" s="5"/>
      <c r="J4299" s="5" t="s">
        <v>42</v>
      </c>
      <c r="K4299" s="5"/>
      <c r="L4299" s="5" t="s">
        <v>686</v>
      </c>
    </row>
    <row r="4300" customFormat="false" ht="15.65" hidden="false" customHeight="true" outlineLevel="0" collapsed="false">
      <c r="A4300" s="2" t="str">
        <f aca="false">HYPERLINK("https://www.fabsurplus.com/sdi_catalog/salesItemDetails.do?id=109527")</f>
        <v>https://www.fabsurplus.com/sdi_catalog/salesItemDetails.do?id=109527</v>
      </c>
      <c r="B4300" s="2" t="s">
        <v>12213</v>
      </c>
      <c r="C4300" s="2" t="s">
        <v>12214</v>
      </c>
      <c r="D4300" s="2" t="s">
        <v>12215</v>
      </c>
      <c r="E4300" s="2" t="s">
        <v>103</v>
      </c>
      <c r="F4300" s="2" t="s">
        <v>151</v>
      </c>
      <c r="G4300" s="2" t="s">
        <v>104</v>
      </c>
      <c r="H4300" s="2"/>
      <c r="I4300" s="2"/>
      <c r="J4300" s="2" t="s">
        <v>19</v>
      </c>
      <c r="K4300" s="2"/>
      <c r="L4300" s="2" t="s">
        <v>12216</v>
      </c>
    </row>
    <row r="4301" customFormat="false" ht="15.65" hidden="false" customHeight="true" outlineLevel="0" collapsed="false">
      <c r="A4301" s="5" t="str">
        <f aca="false">HYPERLINK("https://www.fabsurplus.com/sdi_catalog/salesItemDetails.do?id=110551")</f>
        <v>https://www.fabsurplus.com/sdi_catalog/salesItemDetails.do?id=110551</v>
      </c>
      <c r="B4301" s="5" t="s">
        <v>12217</v>
      </c>
      <c r="C4301" s="5" t="s">
        <v>12211</v>
      </c>
      <c r="D4301" s="5" t="s">
        <v>12218</v>
      </c>
      <c r="E4301" s="5" t="s">
        <v>763</v>
      </c>
      <c r="F4301" s="5" t="s">
        <v>16</v>
      </c>
      <c r="G4301" s="5" t="s">
        <v>165</v>
      </c>
      <c r="H4301" s="5"/>
      <c r="I4301" s="5"/>
      <c r="J4301" s="5" t="s">
        <v>42</v>
      </c>
      <c r="K4301" s="5"/>
      <c r="L4301" s="5" t="s">
        <v>12219</v>
      </c>
    </row>
    <row r="4302" customFormat="false" ht="15.65" hidden="false" customHeight="true" outlineLevel="0" collapsed="false">
      <c r="A4302" s="2" t="str">
        <f aca="false">HYPERLINK("https://www.fabsurplus.com/sdi_catalog/salesItemDetails.do?id=109528")</f>
        <v>https://www.fabsurplus.com/sdi_catalog/salesItemDetails.do?id=109528</v>
      </c>
      <c r="B4302" s="2" t="s">
        <v>12220</v>
      </c>
      <c r="C4302" s="2" t="s">
        <v>12214</v>
      </c>
      <c r="D4302" s="2" t="s">
        <v>12221</v>
      </c>
      <c r="E4302" s="2" t="s">
        <v>103</v>
      </c>
      <c r="F4302" s="2" t="s">
        <v>236</v>
      </c>
      <c r="G4302" s="2" t="s">
        <v>104</v>
      </c>
      <c r="H4302" s="2"/>
      <c r="I4302" s="2"/>
      <c r="J4302" s="2" t="s">
        <v>19</v>
      </c>
      <c r="K4302" s="2"/>
      <c r="L4302" s="2" t="s">
        <v>12222</v>
      </c>
    </row>
    <row r="4303" customFormat="false" ht="15.65" hidden="false" customHeight="true" outlineLevel="0" collapsed="false">
      <c r="A4303" s="5" t="str">
        <f aca="false">HYPERLINK("https://www.fabsurplus.com/sdi_catalog/salesItemDetails.do?id=110552")</f>
        <v>https://www.fabsurplus.com/sdi_catalog/salesItemDetails.do?id=110552</v>
      </c>
      <c r="B4303" s="5" t="s">
        <v>12223</v>
      </c>
      <c r="C4303" s="5" t="s">
        <v>12211</v>
      </c>
      <c r="D4303" s="5" t="s">
        <v>12218</v>
      </c>
      <c r="E4303" s="5" t="s">
        <v>763</v>
      </c>
      <c r="F4303" s="5" t="s">
        <v>16</v>
      </c>
      <c r="G4303" s="5" t="s">
        <v>165</v>
      </c>
      <c r="H4303" s="5"/>
      <c r="I4303" s="5"/>
      <c r="J4303" s="5" t="s">
        <v>42</v>
      </c>
      <c r="K4303" s="5"/>
      <c r="L4303" s="5" t="s">
        <v>12219</v>
      </c>
    </row>
    <row r="4304" customFormat="false" ht="15.65" hidden="false" customHeight="true" outlineLevel="0" collapsed="false">
      <c r="A4304" s="2" t="str">
        <f aca="false">HYPERLINK("https://www.fabsurplus.com/sdi_catalog/salesItemDetails.do?id=109529")</f>
        <v>https://www.fabsurplus.com/sdi_catalog/salesItemDetails.do?id=109529</v>
      </c>
      <c r="B4304" s="2" t="s">
        <v>12224</v>
      </c>
      <c r="C4304" s="2" t="s">
        <v>12214</v>
      </c>
      <c r="D4304" s="2" t="s">
        <v>12225</v>
      </c>
      <c r="E4304" s="2" t="s">
        <v>103</v>
      </c>
      <c r="F4304" s="2" t="s">
        <v>108</v>
      </c>
      <c r="G4304" s="2" t="s">
        <v>104</v>
      </c>
      <c r="H4304" s="2"/>
      <c r="I4304" s="2"/>
      <c r="J4304" s="2" t="s">
        <v>19</v>
      </c>
      <c r="K4304" s="2"/>
      <c r="L4304" s="2" t="s">
        <v>105</v>
      </c>
    </row>
    <row r="4305" customFormat="false" ht="15.65" hidden="false" customHeight="true" outlineLevel="0" collapsed="false">
      <c r="A4305" s="5" t="str">
        <f aca="false">HYPERLINK("https://www.fabsurplus.com/sdi_catalog/salesItemDetails.do?id=110553")</f>
        <v>https://www.fabsurplus.com/sdi_catalog/salesItemDetails.do?id=110553</v>
      </c>
      <c r="B4305" s="5" t="s">
        <v>12226</v>
      </c>
      <c r="C4305" s="5" t="s">
        <v>12211</v>
      </c>
      <c r="D4305" s="5" t="s">
        <v>12227</v>
      </c>
      <c r="E4305" s="5" t="s">
        <v>763</v>
      </c>
      <c r="F4305" s="5" t="s">
        <v>16</v>
      </c>
      <c r="G4305" s="5" t="s">
        <v>165</v>
      </c>
      <c r="H4305" s="5"/>
      <c r="I4305" s="5"/>
      <c r="J4305" s="5" t="s">
        <v>42</v>
      </c>
      <c r="K4305" s="5"/>
      <c r="L4305" s="7" t="s">
        <v>12228</v>
      </c>
    </row>
    <row r="4306" customFormat="false" ht="15.65" hidden="false" customHeight="true" outlineLevel="0" collapsed="false">
      <c r="A4306" s="2" t="str">
        <f aca="false">HYPERLINK("https://www.fabsurplus.com/sdi_catalog/salesItemDetails.do?id=109530")</f>
        <v>https://www.fabsurplus.com/sdi_catalog/salesItemDetails.do?id=109530</v>
      </c>
      <c r="B4306" s="2" t="s">
        <v>12229</v>
      </c>
      <c r="C4306" s="2" t="s">
        <v>12214</v>
      </c>
      <c r="D4306" s="2" t="s">
        <v>12230</v>
      </c>
      <c r="E4306" s="2" t="s">
        <v>103</v>
      </c>
      <c r="F4306" s="2" t="s">
        <v>16</v>
      </c>
      <c r="G4306" s="2" t="s">
        <v>104</v>
      </c>
      <c r="H4306" s="2"/>
      <c r="I4306" s="2"/>
      <c r="J4306" s="2" t="s">
        <v>19</v>
      </c>
      <c r="K4306" s="2"/>
      <c r="L4306" s="2" t="s">
        <v>105</v>
      </c>
    </row>
    <row r="4307" customFormat="false" ht="15.65" hidden="false" customHeight="true" outlineLevel="0" collapsed="false">
      <c r="A4307" s="5" t="str">
        <f aca="false">HYPERLINK("https://www.fabsurplus.com/sdi_catalog/salesItemDetails.do?id=110554")</f>
        <v>https://www.fabsurplus.com/sdi_catalog/salesItemDetails.do?id=110554</v>
      </c>
      <c r="B4307" s="5" t="s">
        <v>12231</v>
      </c>
      <c r="C4307" s="5" t="s">
        <v>12211</v>
      </c>
      <c r="D4307" s="5" t="s">
        <v>12227</v>
      </c>
      <c r="E4307" s="5" t="s">
        <v>763</v>
      </c>
      <c r="F4307" s="5" t="s">
        <v>16</v>
      </c>
      <c r="G4307" s="5" t="s">
        <v>165</v>
      </c>
      <c r="H4307" s="5"/>
      <c r="I4307" s="5"/>
      <c r="J4307" s="5" t="s">
        <v>42</v>
      </c>
      <c r="K4307" s="5"/>
      <c r="L4307" s="7" t="s">
        <v>12228</v>
      </c>
    </row>
    <row r="4308" customFormat="false" ht="15.65" hidden="false" customHeight="true" outlineLevel="0" collapsed="false">
      <c r="A4308" s="2" t="str">
        <f aca="false">HYPERLINK("https://www.fabsurplus.com/sdi_catalog/salesItemDetails.do?id=109531")</f>
        <v>https://www.fabsurplus.com/sdi_catalog/salesItemDetails.do?id=109531</v>
      </c>
      <c r="B4308" s="2" t="s">
        <v>12232</v>
      </c>
      <c r="C4308" s="2" t="s">
        <v>12214</v>
      </c>
      <c r="D4308" s="2" t="s">
        <v>12233</v>
      </c>
      <c r="E4308" s="2" t="s">
        <v>103</v>
      </c>
      <c r="F4308" s="2" t="s">
        <v>16</v>
      </c>
      <c r="G4308" s="2" t="s">
        <v>104</v>
      </c>
      <c r="H4308" s="2"/>
      <c r="I4308" s="2"/>
      <c r="J4308" s="2" t="s">
        <v>19</v>
      </c>
      <c r="K4308" s="2"/>
      <c r="L4308" s="2" t="s">
        <v>105</v>
      </c>
    </row>
    <row r="4309" customFormat="false" ht="15.65" hidden="false" customHeight="true" outlineLevel="0" collapsed="false">
      <c r="A4309" s="5" t="str">
        <f aca="false">HYPERLINK("https://www.fabsurplus.com/sdi_catalog/salesItemDetails.do?id=110555")</f>
        <v>https://www.fabsurplus.com/sdi_catalog/salesItemDetails.do?id=110555</v>
      </c>
      <c r="B4309" s="5" t="s">
        <v>12234</v>
      </c>
      <c r="C4309" s="5" t="s">
        <v>12211</v>
      </c>
      <c r="D4309" s="5" t="s">
        <v>12235</v>
      </c>
      <c r="E4309" s="5" t="s">
        <v>763</v>
      </c>
      <c r="F4309" s="5" t="s">
        <v>16</v>
      </c>
      <c r="G4309" s="5" t="s">
        <v>165</v>
      </c>
      <c r="H4309" s="5"/>
      <c r="I4309" s="5"/>
      <c r="J4309" s="5" t="s">
        <v>42</v>
      </c>
      <c r="K4309" s="5"/>
      <c r="L4309" s="5" t="s">
        <v>12236</v>
      </c>
    </row>
    <row r="4310" customFormat="false" ht="15.65" hidden="false" customHeight="true" outlineLevel="0" collapsed="false">
      <c r="A4310" s="2" t="str">
        <f aca="false">HYPERLINK("https://www.fabsurplus.com/sdi_catalog/salesItemDetails.do?id=110556")</f>
        <v>https://www.fabsurplus.com/sdi_catalog/salesItemDetails.do?id=110556</v>
      </c>
      <c r="B4310" s="2" t="s">
        <v>12237</v>
      </c>
      <c r="C4310" s="2" t="s">
        <v>12211</v>
      </c>
      <c r="D4310" s="2" t="s">
        <v>12238</v>
      </c>
      <c r="E4310" s="2" t="s">
        <v>763</v>
      </c>
      <c r="F4310" s="2" t="s">
        <v>16</v>
      </c>
      <c r="G4310" s="2" t="s">
        <v>165</v>
      </c>
      <c r="H4310" s="2"/>
      <c r="I4310" s="2"/>
      <c r="J4310" s="2" t="s">
        <v>42</v>
      </c>
      <c r="K4310" s="2"/>
      <c r="L4310" s="4" t="s">
        <v>12239</v>
      </c>
    </row>
    <row r="4311" customFormat="false" ht="15.65" hidden="false" customHeight="true" outlineLevel="0" collapsed="false">
      <c r="A4311" s="5" t="str">
        <f aca="false">HYPERLINK("https://www.fabsurplus.com/sdi_catalog/salesItemDetails.do?id=110557")</f>
        <v>https://www.fabsurplus.com/sdi_catalog/salesItemDetails.do?id=110557</v>
      </c>
      <c r="B4311" s="5" t="s">
        <v>12240</v>
      </c>
      <c r="C4311" s="5" t="s">
        <v>12211</v>
      </c>
      <c r="D4311" s="5" t="s">
        <v>12238</v>
      </c>
      <c r="E4311" s="5" t="s">
        <v>763</v>
      </c>
      <c r="F4311" s="5" t="s">
        <v>16</v>
      </c>
      <c r="G4311" s="5" t="s">
        <v>165</v>
      </c>
      <c r="H4311" s="5"/>
      <c r="I4311" s="5"/>
      <c r="J4311" s="5" t="s">
        <v>42</v>
      </c>
      <c r="K4311" s="5"/>
      <c r="L4311" s="7" t="s">
        <v>12239</v>
      </c>
    </row>
    <row r="4312" customFormat="false" ht="15.65" hidden="false" customHeight="true" outlineLevel="0" collapsed="false">
      <c r="A4312" s="2" t="str">
        <f aca="false">HYPERLINK("https://www.fabsurplus.com/sdi_catalog/salesItemDetails.do?id=110558")</f>
        <v>https://www.fabsurplus.com/sdi_catalog/salesItemDetails.do?id=110558</v>
      </c>
      <c r="B4312" s="2" t="s">
        <v>12241</v>
      </c>
      <c r="C4312" s="2" t="s">
        <v>12211</v>
      </c>
      <c r="D4312" s="2" t="s">
        <v>12238</v>
      </c>
      <c r="E4312" s="2" t="s">
        <v>763</v>
      </c>
      <c r="F4312" s="2" t="s">
        <v>16</v>
      </c>
      <c r="G4312" s="2" t="s">
        <v>165</v>
      </c>
      <c r="H4312" s="2"/>
      <c r="I4312" s="2"/>
      <c r="J4312" s="2" t="s">
        <v>42</v>
      </c>
      <c r="K4312" s="2"/>
      <c r="L4312" s="4" t="s">
        <v>12239</v>
      </c>
    </row>
    <row r="4313" customFormat="false" ht="15.65" hidden="false" customHeight="true" outlineLevel="0" collapsed="false">
      <c r="A4313" s="5" t="str">
        <f aca="false">HYPERLINK("https://www.fabsurplus.com/sdi_catalog/salesItemDetails.do?id=110559")</f>
        <v>https://www.fabsurplus.com/sdi_catalog/salesItemDetails.do?id=110559</v>
      </c>
      <c r="B4313" s="5" t="s">
        <v>12242</v>
      </c>
      <c r="C4313" s="5" t="s">
        <v>12211</v>
      </c>
      <c r="D4313" s="5" t="s">
        <v>12238</v>
      </c>
      <c r="E4313" s="5" t="s">
        <v>763</v>
      </c>
      <c r="F4313" s="5" t="s">
        <v>16</v>
      </c>
      <c r="G4313" s="5" t="s">
        <v>165</v>
      </c>
      <c r="H4313" s="5"/>
      <c r="I4313" s="5"/>
      <c r="J4313" s="5" t="s">
        <v>42</v>
      </c>
      <c r="K4313" s="5"/>
      <c r="L4313" s="7" t="s">
        <v>12239</v>
      </c>
    </row>
    <row r="4314" customFormat="false" ht="15.65" hidden="false" customHeight="true" outlineLevel="0" collapsed="false">
      <c r="A4314" s="2" t="str">
        <f aca="false">HYPERLINK("https://www.fabsurplus.com/sdi_catalog/salesItemDetails.do?id=110560")</f>
        <v>https://www.fabsurplus.com/sdi_catalog/salesItemDetails.do?id=110560</v>
      </c>
      <c r="B4314" s="2" t="s">
        <v>12243</v>
      </c>
      <c r="C4314" s="2" t="s">
        <v>12211</v>
      </c>
      <c r="D4314" s="2" t="s">
        <v>12238</v>
      </c>
      <c r="E4314" s="2" t="s">
        <v>763</v>
      </c>
      <c r="F4314" s="2" t="s">
        <v>16</v>
      </c>
      <c r="G4314" s="2" t="s">
        <v>165</v>
      </c>
      <c r="H4314" s="2"/>
      <c r="I4314" s="2"/>
      <c r="J4314" s="2" t="s">
        <v>42</v>
      </c>
      <c r="K4314" s="2"/>
      <c r="L4314" s="4" t="s">
        <v>12239</v>
      </c>
    </row>
    <row r="4315" customFormat="false" ht="15.65" hidden="false" customHeight="true" outlineLevel="0" collapsed="false">
      <c r="A4315" s="5" t="str">
        <f aca="false">HYPERLINK("https://www.fabsurplus.com/sdi_catalog/salesItemDetails.do?id=110561")</f>
        <v>https://www.fabsurplus.com/sdi_catalog/salesItemDetails.do?id=110561</v>
      </c>
      <c r="B4315" s="5" t="s">
        <v>12244</v>
      </c>
      <c r="C4315" s="5" t="s">
        <v>12211</v>
      </c>
      <c r="D4315" s="5" t="s">
        <v>12238</v>
      </c>
      <c r="E4315" s="5" t="s">
        <v>763</v>
      </c>
      <c r="F4315" s="5" t="s">
        <v>16</v>
      </c>
      <c r="G4315" s="5" t="s">
        <v>165</v>
      </c>
      <c r="H4315" s="5"/>
      <c r="I4315" s="5"/>
      <c r="J4315" s="5" t="s">
        <v>42</v>
      </c>
      <c r="K4315" s="5"/>
      <c r="L4315" s="7" t="s">
        <v>12239</v>
      </c>
    </row>
    <row r="4316" customFormat="false" ht="15.65" hidden="false" customHeight="true" outlineLevel="0" collapsed="false">
      <c r="A4316" s="2" t="str">
        <f aca="false">HYPERLINK("https://www.fabsurplus.com/sdi_catalog/salesItemDetails.do?id=110562")</f>
        <v>https://www.fabsurplus.com/sdi_catalog/salesItemDetails.do?id=110562</v>
      </c>
      <c r="B4316" s="2" t="s">
        <v>12245</v>
      </c>
      <c r="C4316" s="2" t="s">
        <v>12211</v>
      </c>
      <c r="D4316" s="2" t="s">
        <v>12246</v>
      </c>
      <c r="E4316" s="2" t="s">
        <v>763</v>
      </c>
      <c r="F4316" s="2" t="s">
        <v>16</v>
      </c>
      <c r="G4316" s="2" t="s">
        <v>165</v>
      </c>
      <c r="H4316" s="2"/>
      <c r="I4316" s="2"/>
      <c r="J4316" s="2" t="s">
        <v>42</v>
      </c>
      <c r="K4316" s="2"/>
      <c r="L4316" s="4" t="s">
        <v>12247</v>
      </c>
    </row>
    <row r="4317" customFormat="false" ht="15.65" hidden="false" customHeight="true" outlineLevel="0" collapsed="false">
      <c r="A4317" s="5" t="str">
        <f aca="false">HYPERLINK("https://www.fabsurplus.com/sdi_catalog/salesItemDetails.do?id=110563")</f>
        <v>https://www.fabsurplus.com/sdi_catalog/salesItemDetails.do?id=110563</v>
      </c>
      <c r="B4317" s="5" t="s">
        <v>12248</v>
      </c>
      <c r="C4317" s="5" t="s">
        <v>12211</v>
      </c>
      <c r="D4317" s="5" t="s">
        <v>12249</v>
      </c>
      <c r="E4317" s="5" t="s">
        <v>763</v>
      </c>
      <c r="F4317" s="5" t="s">
        <v>16</v>
      </c>
      <c r="G4317" s="5" t="s">
        <v>165</v>
      </c>
      <c r="H4317" s="5"/>
      <c r="I4317" s="5"/>
      <c r="J4317" s="5" t="s">
        <v>42</v>
      </c>
      <c r="K4317" s="5"/>
      <c r="L4317" s="5" t="s">
        <v>12250</v>
      </c>
    </row>
    <row r="4318" customFormat="false" ht="15.65" hidden="false" customHeight="true" outlineLevel="0" collapsed="false">
      <c r="A4318" s="2" t="str">
        <f aca="false">HYPERLINK("https://www.fabsurplus.com/sdi_catalog/salesItemDetails.do?id=110564")</f>
        <v>https://www.fabsurplus.com/sdi_catalog/salesItemDetails.do?id=110564</v>
      </c>
      <c r="B4318" s="2" t="s">
        <v>12251</v>
      </c>
      <c r="C4318" s="2" t="s">
        <v>12211</v>
      </c>
      <c r="D4318" s="2" t="s">
        <v>12252</v>
      </c>
      <c r="E4318" s="2" t="s">
        <v>763</v>
      </c>
      <c r="F4318" s="2" t="s">
        <v>16</v>
      </c>
      <c r="G4318" s="2" t="s">
        <v>165</v>
      </c>
      <c r="H4318" s="2"/>
      <c r="I4318" s="2"/>
      <c r="J4318" s="2" t="s">
        <v>42</v>
      </c>
      <c r="K4318" s="2"/>
      <c r="L4318" s="2" t="s">
        <v>686</v>
      </c>
    </row>
    <row r="4319" customFormat="false" ht="15.65" hidden="false" customHeight="true" outlineLevel="0" collapsed="false">
      <c r="A4319" s="5" t="str">
        <f aca="false">HYPERLINK("https://www.fabsurplus.com/sdi_catalog/salesItemDetails.do?id=110565")</f>
        <v>https://www.fabsurplus.com/sdi_catalog/salesItemDetails.do?id=110565</v>
      </c>
      <c r="B4319" s="5" t="s">
        <v>12253</v>
      </c>
      <c r="C4319" s="5" t="s">
        <v>12211</v>
      </c>
      <c r="D4319" s="5" t="s">
        <v>12254</v>
      </c>
      <c r="E4319" s="5" t="s">
        <v>763</v>
      </c>
      <c r="F4319" s="5" t="s">
        <v>16</v>
      </c>
      <c r="G4319" s="5" t="s">
        <v>165</v>
      </c>
      <c r="H4319" s="5"/>
      <c r="I4319" s="5"/>
      <c r="J4319" s="5" t="s">
        <v>42</v>
      </c>
      <c r="K4319" s="5"/>
      <c r="L4319" s="5" t="s">
        <v>12255</v>
      </c>
    </row>
    <row r="4320" customFormat="false" ht="15.65" hidden="false" customHeight="true" outlineLevel="0" collapsed="false">
      <c r="A4320" s="2" t="str">
        <f aca="false">HYPERLINK("https://www.fabsurplus.com/sdi_catalog/salesItemDetails.do?id=110566")</f>
        <v>https://www.fabsurplus.com/sdi_catalog/salesItemDetails.do?id=110566</v>
      </c>
      <c r="B4320" s="2" t="s">
        <v>12256</v>
      </c>
      <c r="C4320" s="2" t="s">
        <v>12211</v>
      </c>
      <c r="D4320" s="2" t="s">
        <v>12254</v>
      </c>
      <c r="E4320" s="2" t="s">
        <v>763</v>
      </c>
      <c r="F4320" s="2" t="s">
        <v>16</v>
      </c>
      <c r="G4320" s="2" t="s">
        <v>165</v>
      </c>
      <c r="H4320" s="2"/>
      <c r="I4320" s="2"/>
      <c r="J4320" s="2" t="s">
        <v>42</v>
      </c>
      <c r="K4320" s="2"/>
      <c r="L4320" s="2" t="s">
        <v>12255</v>
      </c>
    </row>
    <row r="4321" customFormat="false" ht="15.65" hidden="false" customHeight="true" outlineLevel="0" collapsed="false">
      <c r="A4321" s="5" t="str">
        <f aca="false">HYPERLINK("https://www.fabsurplus.com/sdi_catalog/salesItemDetails.do?id=110567")</f>
        <v>https://www.fabsurplus.com/sdi_catalog/salesItemDetails.do?id=110567</v>
      </c>
      <c r="B4321" s="5" t="s">
        <v>12257</v>
      </c>
      <c r="C4321" s="5" t="s">
        <v>12211</v>
      </c>
      <c r="D4321" s="5" t="s">
        <v>12258</v>
      </c>
      <c r="E4321" s="5" t="s">
        <v>763</v>
      </c>
      <c r="F4321" s="5" t="s">
        <v>16</v>
      </c>
      <c r="G4321" s="5" t="s">
        <v>165</v>
      </c>
      <c r="H4321" s="5"/>
      <c r="I4321" s="5"/>
      <c r="J4321" s="5" t="s">
        <v>42</v>
      </c>
      <c r="K4321" s="5"/>
      <c r="L4321" s="5" t="s">
        <v>12259</v>
      </c>
    </row>
    <row r="4322" customFormat="false" ht="15.65" hidden="false" customHeight="true" outlineLevel="0" collapsed="false">
      <c r="A4322" s="2" t="str">
        <f aca="false">HYPERLINK("https://www.fabsurplus.com/sdi_catalog/salesItemDetails.do?id=110568")</f>
        <v>https://www.fabsurplus.com/sdi_catalog/salesItemDetails.do?id=110568</v>
      </c>
      <c r="B4322" s="2" t="s">
        <v>12260</v>
      </c>
      <c r="C4322" s="2" t="s">
        <v>12211</v>
      </c>
      <c r="D4322" s="2" t="s">
        <v>12261</v>
      </c>
      <c r="E4322" s="2" t="s">
        <v>763</v>
      </c>
      <c r="F4322" s="2" t="s">
        <v>16</v>
      </c>
      <c r="G4322" s="2" t="s">
        <v>165</v>
      </c>
      <c r="H4322" s="2"/>
      <c r="I4322" s="2"/>
      <c r="J4322" s="2" t="s">
        <v>42</v>
      </c>
      <c r="K4322" s="2"/>
      <c r="L4322" s="2" t="s">
        <v>12262</v>
      </c>
    </row>
    <row r="4323" customFormat="false" ht="15.65" hidden="false" customHeight="true" outlineLevel="0" collapsed="false">
      <c r="A4323" s="5" t="str">
        <f aca="false">HYPERLINK("https://www.fabsurplus.com/sdi_catalog/salesItemDetails.do?id=110569")</f>
        <v>https://www.fabsurplus.com/sdi_catalog/salesItemDetails.do?id=110569</v>
      </c>
      <c r="B4323" s="5" t="s">
        <v>12263</v>
      </c>
      <c r="C4323" s="5" t="s">
        <v>12211</v>
      </c>
      <c r="D4323" s="5" t="s">
        <v>12264</v>
      </c>
      <c r="E4323" s="5" t="s">
        <v>763</v>
      </c>
      <c r="F4323" s="5" t="s">
        <v>16</v>
      </c>
      <c r="G4323" s="5" t="s">
        <v>165</v>
      </c>
      <c r="H4323" s="5"/>
      <c r="I4323" s="5"/>
      <c r="J4323" s="5" t="s">
        <v>42</v>
      </c>
      <c r="K4323" s="5"/>
      <c r="L4323" s="5" t="s">
        <v>12265</v>
      </c>
    </row>
    <row r="4324" customFormat="false" ht="15.65" hidden="false" customHeight="true" outlineLevel="0" collapsed="false">
      <c r="A4324" s="2" t="str">
        <f aca="false">HYPERLINK("https://www.fabsurplus.com/sdi_catalog/salesItemDetails.do?id=110570")</f>
        <v>https://www.fabsurplus.com/sdi_catalog/salesItemDetails.do?id=110570</v>
      </c>
      <c r="B4324" s="2" t="s">
        <v>12266</v>
      </c>
      <c r="C4324" s="2" t="s">
        <v>12211</v>
      </c>
      <c r="D4324" s="2" t="s">
        <v>12267</v>
      </c>
      <c r="E4324" s="2" t="s">
        <v>164</v>
      </c>
      <c r="F4324" s="2" t="s">
        <v>16</v>
      </c>
      <c r="G4324" s="2" t="s">
        <v>165</v>
      </c>
      <c r="H4324" s="2"/>
      <c r="I4324" s="2"/>
      <c r="J4324" s="2" t="s">
        <v>42</v>
      </c>
      <c r="K4324" s="2"/>
      <c r="L4324" s="4" t="s">
        <v>12268</v>
      </c>
    </row>
    <row r="4325" customFormat="false" ht="15.65" hidden="false" customHeight="true" outlineLevel="0" collapsed="false">
      <c r="A4325" s="5" t="str">
        <f aca="false">HYPERLINK("https://www.fabsurplus.com/sdi_catalog/salesItemDetails.do?id=110571")</f>
        <v>https://www.fabsurplus.com/sdi_catalog/salesItemDetails.do?id=110571</v>
      </c>
      <c r="B4325" s="5" t="s">
        <v>12269</v>
      </c>
      <c r="C4325" s="5" t="s">
        <v>12211</v>
      </c>
      <c r="D4325" s="5" t="s">
        <v>12270</v>
      </c>
      <c r="E4325" s="5" t="s">
        <v>164</v>
      </c>
      <c r="F4325" s="5" t="s">
        <v>16</v>
      </c>
      <c r="G4325" s="5" t="s">
        <v>165</v>
      </c>
      <c r="H4325" s="5"/>
      <c r="I4325" s="5"/>
      <c r="J4325" s="5" t="s">
        <v>42</v>
      </c>
      <c r="K4325" s="5"/>
      <c r="L4325" s="7" t="s">
        <v>12271</v>
      </c>
    </row>
    <row r="4326" customFormat="false" ht="15.65" hidden="false" customHeight="true" outlineLevel="0" collapsed="false">
      <c r="A4326" s="2" t="str">
        <f aca="false">HYPERLINK("https://www.fabsurplus.com/sdi_catalog/salesItemDetails.do?id=110572")</f>
        <v>https://www.fabsurplus.com/sdi_catalog/salesItemDetails.do?id=110572</v>
      </c>
      <c r="B4326" s="2" t="s">
        <v>12272</v>
      </c>
      <c r="C4326" s="2" t="s">
        <v>12211</v>
      </c>
      <c r="D4326" s="2" t="s">
        <v>12270</v>
      </c>
      <c r="E4326" s="2" t="s">
        <v>164</v>
      </c>
      <c r="F4326" s="2" t="s">
        <v>16</v>
      </c>
      <c r="G4326" s="2" t="s">
        <v>165</v>
      </c>
      <c r="H4326" s="2"/>
      <c r="I4326" s="2"/>
      <c r="J4326" s="2" t="s">
        <v>42</v>
      </c>
      <c r="K4326" s="2"/>
      <c r="L4326" s="4" t="s">
        <v>12271</v>
      </c>
    </row>
    <row r="4327" customFormat="false" ht="15.65" hidden="false" customHeight="true" outlineLevel="0" collapsed="false">
      <c r="A4327" s="5" t="str">
        <f aca="false">HYPERLINK("https://www.fabsurplus.com/sdi_catalog/salesItemDetails.do?id=110573")</f>
        <v>https://www.fabsurplus.com/sdi_catalog/salesItemDetails.do?id=110573</v>
      </c>
      <c r="B4327" s="5" t="s">
        <v>12273</v>
      </c>
      <c r="C4327" s="5" t="s">
        <v>12211</v>
      </c>
      <c r="D4327" s="5" t="s">
        <v>12270</v>
      </c>
      <c r="E4327" s="5" t="s">
        <v>164</v>
      </c>
      <c r="F4327" s="5" t="s">
        <v>16</v>
      </c>
      <c r="G4327" s="5" t="s">
        <v>165</v>
      </c>
      <c r="H4327" s="5"/>
      <c r="I4327" s="5"/>
      <c r="J4327" s="5" t="s">
        <v>42</v>
      </c>
      <c r="K4327" s="5"/>
      <c r="L4327" s="7" t="s">
        <v>12271</v>
      </c>
    </row>
    <row r="4328" customFormat="false" ht="15.65" hidden="false" customHeight="true" outlineLevel="0" collapsed="false">
      <c r="A4328" s="2" t="str">
        <f aca="false">HYPERLINK("https://www.fabsurplus.com/sdi_catalog/salesItemDetails.do?id=110574")</f>
        <v>https://www.fabsurplus.com/sdi_catalog/salesItemDetails.do?id=110574</v>
      </c>
      <c r="B4328" s="2" t="s">
        <v>12274</v>
      </c>
      <c r="C4328" s="2" t="s">
        <v>12211</v>
      </c>
      <c r="D4328" s="2" t="s">
        <v>12270</v>
      </c>
      <c r="E4328" s="2" t="s">
        <v>164</v>
      </c>
      <c r="F4328" s="2" t="s">
        <v>16</v>
      </c>
      <c r="G4328" s="2" t="s">
        <v>165</v>
      </c>
      <c r="H4328" s="2"/>
      <c r="I4328" s="2"/>
      <c r="J4328" s="2" t="s">
        <v>42</v>
      </c>
      <c r="K4328" s="2"/>
      <c r="L4328" s="4" t="s">
        <v>12271</v>
      </c>
    </row>
    <row r="4329" customFormat="false" ht="15.65" hidden="false" customHeight="true" outlineLevel="0" collapsed="false">
      <c r="A4329" s="5" t="str">
        <f aca="false">HYPERLINK("https://www.fabsurplus.com/sdi_catalog/salesItemDetails.do?id=110575")</f>
        <v>https://www.fabsurplus.com/sdi_catalog/salesItemDetails.do?id=110575</v>
      </c>
      <c r="B4329" s="5" t="s">
        <v>12275</v>
      </c>
      <c r="C4329" s="5" t="s">
        <v>12211</v>
      </c>
      <c r="D4329" s="5" t="s">
        <v>12270</v>
      </c>
      <c r="E4329" s="5" t="s">
        <v>164</v>
      </c>
      <c r="F4329" s="5" t="s">
        <v>16</v>
      </c>
      <c r="G4329" s="5" t="s">
        <v>165</v>
      </c>
      <c r="H4329" s="5"/>
      <c r="I4329" s="5"/>
      <c r="J4329" s="5" t="s">
        <v>42</v>
      </c>
      <c r="K4329" s="5"/>
      <c r="L4329" s="7" t="s">
        <v>12271</v>
      </c>
    </row>
    <row r="4330" customFormat="false" ht="15.65" hidden="false" customHeight="true" outlineLevel="0" collapsed="false">
      <c r="A4330" s="2" t="str">
        <f aca="false">HYPERLINK("https://www.fabsurplus.com/sdi_catalog/salesItemDetails.do?id=110576")</f>
        <v>https://www.fabsurplus.com/sdi_catalog/salesItemDetails.do?id=110576</v>
      </c>
      <c r="B4330" s="2" t="s">
        <v>12276</v>
      </c>
      <c r="C4330" s="2" t="s">
        <v>12211</v>
      </c>
      <c r="D4330" s="2" t="s">
        <v>12270</v>
      </c>
      <c r="E4330" s="2" t="s">
        <v>164</v>
      </c>
      <c r="F4330" s="2" t="s">
        <v>16</v>
      </c>
      <c r="G4330" s="2" t="s">
        <v>165</v>
      </c>
      <c r="H4330" s="2"/>
      <c r="I4330" s="2"/>
      <c r="J4330" s="2" t="s">
        <v>42</v>
      </c>
      <c r="K4330" s="2"/>
      <c r="L4330" s="4" t="s">
        <v>12271</v>
      </c>
    </row>
    <row r="4331" customFormat="false" ht="15.65" hidden="false" customHeight="true" outlineLevel="0" collapsed="false">
      <c r="A4331" s="5" t="str">
        <f aca="false">HYPERLINK("https://www.fabsurplus.com/sdi_catalog/salesItemDetails.do?id=110577")</f>
        <v>https://www.fabsurplus.com/sdi_catalog/salesItemDetails.do?id=110577</v>
      </c>
      <c r="B4331" s="5" t="s">
        <v>12277</v>
      </c>
      <c r="C4331" s="5" t="s">
        <v>12211</v>
      </c>
      <c r="D4331" s="5" t="s">
        <v>12225</v>
      </c>
      <c r="E4331" s="5" t="s">
        <v>763</v>
      </c>
      <c r="F4331" s="5" t="s">
        <v>16</v>
      </c>
      <c r="G4331" s="5" t="s">
        <v>165</v>
      </c>
      <c r="H4331" s="5"/>
      <c r="I4331" s="5"/>
      <c r="J4331" s="5" t="s">
        <v>42</v>
      </c>
      <c r="K4331" s="5"/>
      <c r="L4331" s="7" t="s">
        <v>12278</v>
      </c>
    </row>
    <row r="4332" customFormat="false" ht="15.65" hidden="false" customHeight="true" outlineLevel="0" collapsed="false">
      <c r="A4332" s="2" t="str">
        <f aca="false">HYPERLINK("https://www.fabsurplus.com/sdi_catalog/salesItemDetails.do?id=110578")</f>
        <v>https://www.fabsurplus.com/sdi_catalog/salesItemDetails.do?id=110578</v>
      </c>
      <c r="B4332" s="2" t="s">
        <v>12279</v>
      </c>
      <c r="C4332" s="2" t="s">
        <v>12280</v>
      </c>
      <c r="D4332" s="2" t="s">
        <v>12281</v>
      </c>
      <c r="E4332" s="2" t="s">
        <v>763</v>
      </c>
      <c r="F4332" s="2" t="s">
        <v>16</v>
      </c>
      <c r="G4332" s="2" t="s">
        <v>165</v>
      </c>
      <c r="H4332" s="2"/>
      <c r="I4332" s="2"/>
      <c r="J4332" s="2" t="s">
        <v>42</v>
      </c>
      <c r="K4332" s="2"/>
      <c r="L4332" s="2" t="s">
        <v>12282</v>
      </c>
    </row>
    <row r="4333" customFormat="false" ht="15.65" hidden="false" customHeight="true" outlineLevel="0" collapsed="false">
      <c r="A4333" s="5" t="str">
        <f aca="false">HYPERLINK("https://www.fabsurplus.com/sdi_catalog/salesItemDetails.do?id=110579")</f>
        <v>https://www.fabsurplus.com/sdi_catalog/salesItemDetails.do?id=110579</v>
      </c>
      <c r="B4333" s="5" t="s">
        <v>12283</v>
      </c>
      <c r="C4333" s="5" t="s">
        <v>12280</v>
      </c>
      <c r="D4333" s="5" t="s">
        <v>12218</v>
      </c>
      <c r="E4333" s="5" t="s">
        <v>763</v>
      </c>
      <c r="F4333" s="5" t="s">
        <v>16</v>
      </c>
      <c r="G4333" s="5" t="s">
        <v>165</v>
      </c>
      <c r="H4333" s="5"/>
      <c r="I4333" s="5"/>
      <c r="J4333" s="5" t="s">
        <v>42</v>
      </c>
      <c r="K4333" s="5"/>
      <c r="L4333" s="5" t="s">
        <v>12219</v>
      </c>
    </row>
    <row r="4334" customFormat="false" ht="15.65" hidden="false" customHeight="true" outlineLevel="0" collapsed="false">
      <c r="A4334" s="2" t="str">
        <f aca="false">HYPERLINK("https://www.fabsurplus.com/sdi_catalog/salesItemDetails.do?id=110580")</f>
        <v>https://www.fabsurplus.com/sdi_catalog/salesItemDetails.do?id=110580</v>
      </c>
      <c r="B4334" s="2" t="s">
        <v>12284</v>
      </c>
      <c r="C4334" s="2" t="s">
        <v>12280</v>
      </c>
      <c r="D4334" s="2" t="s">
        <v>12218</v>
      </c>
      <c r="E4334" s="2" t="s">
        <v>763</v>
      </c>
      <c r="F4334" s="2" t="s">
        <v>16</v>
      </c>
      <c r="G4334" s="2" t="s">
        <v>165</v>
      </c>
      <c r="H4334" s="2"/>
      <c r="I4334" s="2"/>
      <c r="J4334" s="2" t="s">
        <v>42</v>
      </c>
      <c r="K4334" s="2"/>
      <c r="L4334" s="2" t="s">
        <v>12219</v>
      </c>
    </row>
    <row r="4335" customFormat="false" ht="15.65" hidden="false" customHeight="true" outlineLevel="0" collapsed="false">
      <c r="A4335" s="5" t="str">
        <f aca="false">HYPERLINK("https://www.fabsurplus.com/sdi_catalog/salesItemDetails.do?id=110581")</f>
        <v>https://www.fabsurplus.com/sdi_catalog/salesItemDetails.do?id=110581</v>
      </c>
      <c r="B4335" s="5" t="s">
        <v>12285</v>
      </c>
      <c r="C4335" s="5" t="s">
        <v>12286</v>
      </c>
      <c r="D4335" s="5" t="s">
        <v>12287</v>
      </c>
      <c r="E4335" s="5" t="s">
        <v>763</v>
      </c>
      <c r="F4335" s="5" t="s">
        <v>16</v>
      </c>
      <c r="G4335" s="5" t="s">
        <v>165</v>
      </c>
      <c r="H4335" s="5"/>
      <c r="I4335" s="5"/>
      <c r="J4335" s="5" t="s">
        <v>42</v>
      </c>
      <c r="K4335" s="5"/>
      <c r="L4335" s="5" t="s">
        <v>12288</v>
      </c>
    </row>
    <row r="4336" customFormat="false" ht="15.65" hidden="false" customHeight="true" outlineLevel="0" collapsed="false">
      <c r="A4336" s="2" t="str">
        <f aca="false">HYPERLINK("https://www.fabsurplus.com/sdi_catalog/salesItemDetails.do?id=110582")</f>
        <v>https://www.fabsurplus.com/sdi_catalog/salesItemDetails.do?id=110582</v>
      </c>
      <c r="B4336" s="2" t="s">
        <v>12289</v>
      </c>
      <c r="C4336" s="2" t="s">
        <v>12286</v>
      </c>
      <c r="D4336" s="2" t="s">
        <v>12287</v>
      </c>
      <c r="E4336" s="2" t="s">
        <v>763</v>
      </c>
      <c r="F4336" s="2" t="s">
        <v>16</v>
      </c>
      <c r="G4336" s="2" t="s">
        <v>165</v>
      </c>
      <c r="H4336" s="2"/>
      <c r="I4336" s="2"/>
      <c r="J4336" s="2" t="s">
        <v>42</v>
      </c>
      <c r="K4336" s="2"/>
      <c r="L4336" s="2" t="s">
        <v>12288</v>
      </c>
    </row>
    <row r="4337" customFormat="false" ht="15.65" hidden="false" customHeight="true" outlineLevel="0" collapsed="false">
      <c r="A4337" s="5" t="str">
        <f aca="false">HYPERLINK("https://www.fabsurplus.com/sdi_catalog/salesItemDetails.do?id=110583")</f>
        <v>https://www.fabsurplus.com/sdi_catalog/salesItemDetails.do?id=110583</v>
      </c>
      <c r="B4337" s="5" t="s">
        <v>12290</v>
      </c>
      <c r="C4337" s="5" t="s">
        <v>12286</v>
      </c>
      <c r="D4337" s="5" t="s">
        <v>12287</v>
      </c>
      <c r="E4337" s="5" t="s">
        <v>763</v>
      </c>
      <c r="F4337" s="5" t="s">
        <v>16</v>
      </c>
      <c r="G4337" s="5" t="s">
        <v>165</v>
      </c>
      <c r="H4337" s="5"/>
      <c r="I4337" s="5"/>
      <c r="J4337" s="5" t="s">
        <v>42</v>
      </c>
      <c r="K4337" s="5"/>
      <c r="L4337" s="5" t="s">
        <v>12288</v>
      </c>
    </row>
    <row r="4338" customFormat="false" ht="15.65" hidden="false" customHeight="true" outlineLevel="0" collapsed="false">
      <c r="A4338" s="2" t="str">
        <f aca="false">HYPERLINK("https://www.fabsurplus.com/sdi_catalog/salesItemDetails.do?id=108305")</f>
        <v>https://www.fabsurplus.com/sdi_catalog/salesItemDetails.do?id=108305</v>
      </c>
      <c r="B4338" s="2" t="s">
        <v>12291</v>
      </c>
      <c r="C4338" s="2" t="s">
        <v>12292</v>
      </c>
      <c r="D4338" s="2" t="s">
        <v>12293</v>
      </c>
      <c r="E4338" s="2" t="s">
        <v>12294</v>
      </c>
      <c r="F4338" s="2" t="s">
        <v>16</v>
      </c>
      <c r="G4338" s="2"/>
      <c r="H4338" s="2"/>
      <c r="I4338" s="3" t="n">
        <v>40330</v>
      </c>
      <c r="J4338" s="2" t="s">
        <v>19</v>
      </c>
      <c r="K4338" s="2"/>
      <c r="L4338" s="2"/>
    </row>
    <row r="4339" customFormat="false" ht="15.65" hidden="false" customHeight="true" outlineLevel="0" collapsed="false">
      <c r="A4339" s="5" t="str">
        <f aca="false">HYPERLINK("https://www.fabsurplus.com/sdi_catalog/salesItemDetails.do?id=108306")</f>
        <v>https://www.fabsurplus.com/sdi_catalog/salesItemDetails.do?id=108306</v>
      </c>
      <c r="B4339" s="5" t="s">
        <v>12295</v>
      </c>
      <c r="C4339" s="5" t="s">
        <v>12292</v>
      </c>
      <c r="D4339" s="5" t="s">
        <v>12293</v>
      </c>
      <c r="E4339" s="5" t="s">
        <v>12294</v>
      </c>
      <c r="F4339" s="5" t="s">
        <v>16</v>
      </c>
      <c r="G4339" s="5"/>
      <c r="H4339" s="5"/>
      <c r="I4339" s="6" t="n">
        <v>39965</v>
      </c>
      <c r="J4339" s="5" t="s">
        <v>19</v>
      </c>
      <c r="K4339" s="5"/>
      <c r="L4339" s="5"/>
    </row>
    <row r="4340" customFormat="false" ht="15.65" hidden="false" customHeight="true" outlineLevel="0" collapsed="false">
      <c r="A4340" s="2" t="str">
        <f aca="false">HYPERLINK("https://www.fabsurplus.com/sdi_catalog/salesItemDetails.do?id=108307")</f>
        <v>https://www.fabsurplus.com/sdi_catalog/salesItemDetails.do?id=108307</v>
      </c>
      <c r="B4340" s="2" t="s">
        <v>12296</v>
      </c>
      <c r="C4340" s="2" t="s">
        <v>12292</v>
      </c>
      <c r="D4340" s="2" t="s">
        <v>12293</v>
      </c>
      <c r="E4340" s="2" t="s">
        <v>12294</v>
      </c>
      <c r="F4340" s="2" t="s">
        <v>16</v>
      </c>
      <c r="G4340" s="2"/>
      <c r="H4340" s="2"/>
      <c r="I4340" s="3" t="n">
        <v>35217</v>
      </c>
      <c r="J4340" s="2" t="s">
        <v>19</v>
      </c>
      <c r="K4340" s="2"/>
      <c r="L4340" s="2"/>
    </row>
    <row r="4341" customFormat="false" ht="15.65" hidden="false" customHeight="true" outlineLevel="0" collapsed="false">
      <c r="A4341" s="5" t="str">
        <f aca="false">HYPERLINK("https://www.fabsurplus.com/sdi_catalog/salesItemDetails.do?id=108308")</f>
        <v>https://www.fabsurplus.com/sdi_catalog/salesItemDetails.do?id=108308</v>
      </c>
      <c r="B4341" s="5" t="s">
        <v>12297</v>
      </c>
      <c r="C4341" s="5" t="s">
        <v>12292</v>
      </c>
      <c r="D4341" s="5" t="s">
        <v>12298</v>
      </c>
      <c r="E4341" s="5" t="s">
        <v>12294</v>
      </c>
      <c r="F4341" s="5" t="s">
        <v>16</v>
      </c>
      <c r="G4341" s="5"/>
      <c r="H4341" s="5"/>
      <c r="I4341" s="6" t="n">
        <v>35582</v>
      </c>
      <c r="J4341" s="5" t="s">
        <v>19</v>
      </c>
      <c r="K4341" s="5"/>
      <c r="L4341" s="5"/>
    </row>
    <row r="4342" customFormat="false" ht="15.65" hidden="false" customHeight="true" outlineLevel="0" collapsed="false">
      <c r="A4342" s="2" t="str">
        <f aca="false">HYPERLINK("https://www.fabsurplus.com/sdi_catalog/salesItemDetails.do?id=97079")</f>
        <v>https://www.fabsurplus.com/sdi_catalog/salesItemDetails.do?id=97079</v>
      </c>
      <c r="B4342" s="2" t="s">
        <v>12299</v>
      </c>
      <c r="C4342" s="2" t="s">
        <v>12292</v>
      </c>
      <c r="D4342" s="2" t="s">
        <v>12300</v>
      </c>
      <c r="E4342" s="2" t="s">
        <v>12301</v>
      </c>
      <c r="F4342" s="2" t="s">
        <v>16</v>
      </c>
      <c r="G4342" s="2"/>
      <c r="H4342" s="2" t="s">
        <v>18</v>
      </c>
      <c r="I4342" s="3" t="n">
        <v>41243.9583333333</v>
      </c>
      <c r="J4342" s="2" t="s">
        <v>42</v>
      </c>
      <c r="K4342" s="2"/>
      <c r="L4342" s="2"/>
    </row>
    <row r="4343" customFormat="false" ht="15.65" hidden="false" customHeight="true" outlineLevel="0" collapsed="false">
      <c r="A4343" s="5" t="str">
        <f aca="false">HYPERLINK("https://www.fabsurplus.com/sdi_catalog/salesItemDetails.do?id=110584")</f>
        <v>https://www.fabsurplus.com/sdi_catalog/salesItemDetails.do?id=110584</v>
      </c>
      <c r="B4343" s="5" t="s">
        <v>12302</v>
      </c>
      <c r="C4343" s="5" t="s">
        <v>12303</v>
      </c>
      <c r="D4343" s="5" t="s">
        <v>12304</v>
      </c>
      <c r="E4343" s="5" t="s">
        <v>170</v>
      </c>
      <c r="F4343" s="5" t="s">
        <v>16</v>
      </c>
      <c r="G4343" s="5" t="s">
        <v>165</v>
      </c>
      <c r="H4343" s="5"/>
      <c r="I4343" s="5"/>
      <c r="J4343" s="5" t="s">
        <v>42</v>
      </c>
      <c r="K4343" s="5"/>
      <c r="L4343" s="5" t="s">
        <v>12305</v>
      </c>
    </row>
    <row r="4344" customFormat="false" ht="15.65" hidden="false" customHeight="true" outlineLevel="0" collapsed="false">
      <c r="A4344" s="2" t="str">
        <f aca="false">HYPERLINK("https://www.fabsurplus.com/sdi_catalog/salesItemDetails.do?id=110585")</f>
        <v>https://www.fabsurplus.com/sdi_catalog/salesItemDetails.do?id=110585</v>
      </c>
      <c r="B4344" s="2" t="s">
        <v>12306</v>
      </c>
      <c r="C4344" s="2" t="s">
        <v>12303</v>
      </c>
      <c r="D4344" s="2" t="s">
        <v>12304</v>
      </c>
      <c r="E4344" s="2" t="s">
        <v>170</v>
      </c>
      <c r="F4344" s="2" t="s">
        <v>16</v>
      </c>
      <c r="G4344" s="2" t="s">
        <v>165</v>
      </c>
      <c r="H4344" s="2"/>
      <c r="I4344" s="2"/>
      <c r="J4344" s="2" t="s">
        <v>42</v>
      </c>
      <c r="K4344" s="2"/>
      <c r="L4344" s="2" t="s">
        <v>12305</v>
      </c>
    </row>
    <row r="4345" customFormat="false" ht="15.65" hidden="false" customHeight="true" outlineLevel="0" collapsed="false">
      <c r="A4345" s="5" t="str">
        <f aca="false">HYPERLINK("https://www.fabsurplus.com/sdi_catalog/salesItemDetails.do?id=106551")</f>
        <v>https://www.fabsurplus.com/sdi_catalog/salesItemDetails.do?id=106551</v>
      </c>
      <c r="B4345" s="5" t="s">
        <v>12307</v>
      </c>
      <c r="C4345" s="5" t="s">
        <v>12308</v>
      </c>
      <c r="D4345" s="5" t="s">
        <v>12309</v>
      </c>
      <c r="E4345" s="5" t="s">
        <v>12310</v>
      </c>
      <c r="F4345" s="5" t="s">
        <v>16</v>
      </c>
      <c r="G4345" s="5"/>
      <c r="H4345" s="5"/>
      <c r="I4345" s="5"/>
      <c r="J4345" s="5" t="s">
        <v>19</v>
      </c>
      <c r="K4345" s="5"/>
      <c r="L4345" s="5" t="s">
        <v>6101</v>
      </c>
    </row>
    <row r="4346" customFormat="false" ht="15.65" hidden="false" customHeight="true" outlineLevel="0" collapsed="false">
      <c r="A4346" s="2" t="str">
        <f aca="false">HYPERLINK("https://www.fabsurplus.com/sdi_catalog/salesItemDetails.do?id=108890")</f>
        <v>https://www.fabsurplus.com/sdi_catalog/salesItemDetails.do?id=108890</v>
      </c>
      <c r="B4346" s="2" t="s">
        <v>12311</v>
      </c>
      <c r="C4346" s="2" t="s">
        <v>12312</v>
      </c>
      <c r="D4346" s="2" t="s">
        <v>12313</v>
      </c>
      <c r="E4346" s="2" t="s">
        <v>12314</v>
      </c>
      <c r="F4346" s="2" t="s">
        <v>16</v>
      </c>
      <c r="G4346" s="2" t="s">
        <v>388</v>
      </c>
      <c r="H4346" s="2"/>
      <c r="I4346" s="2"/>
      <c r="J4346" s="2" t="s">
        <v>42</v>
      </c>
      <c r="K4346" s="2"/>
      <c r="L4346" s="2" t="s">
        <v>131</v>
      </c>
    </row>
    <row r="4347" customFormat="false" ht="15.65" hidden="false" customHeight="true" outlineLevel="0" collapsed="false">
      <c r="A4347" s="5" t="str">
        <f aca="false">HYPERLINK("https://www.fabsurplus.com/sdi_catalog/salesItemDetails.do?id=106553")</f>
        <v>https://www.fabsurplus.com/sdi_catalog/salesItemDetails.do?id=106553</v>
      </c>
      <c r="B4347" s="5" t="s">
        <v>12315</v>
      </c>
      <c r="C4347" s="5" t="s">
        <v>12316</v>
      </c>
      <c r="D4347" s="5" t="s">
        <v>12317</v>
      </c>
      <c r="E4347" s="5" t="s">
        <v>12318</v>
      </c>
      <c r="F4347" s="5" t="s">
        <v>16</v>
      </c>
      <c r="G4347" s="5" t="s">
        <v>2858</v>
      </c>
      <c r="H4347" s="5" t="s">
        <v>32</v>
      </c>
      <c r="I4347" s="6" t="n">
        <v>35217</v>
      </c>
      <c r="J4347" s="5" t="s">
        <v>19</v>
      </c>
      <c r="K4347" s="5" t="s">
        <v>20</v>
      </c>
      <c r="L4347" s="5" t="s">
        <v>12319</v>
      </c>
    </row>
    <row r="4348" customFormat="false" ht="15.65" hidden="false" customHeight="true" outlineLevel="0" collapsed="false">
      <c r="A4348" s="2" t="str">
        <f aca="false">HYPERLINK("https://www.fabsurplus.com/sdi_catalog/salesItemDetails.do?id=106554")</f>
        <v>https://www.fabsurplus.com/sdi_catalog/salesItemDetails.do?id=106554</v>
      </c>
      <c r="B4348" s="2" t="s">
        <v>12320</v>
      </c>
      <c r="C4348" s="2" t="s">
        <v>12316</v>
      </c>
      <c r="D4348" s="2" t="s">
        <v>12321</v>
      </c>
      <c r="E4348" s="2" t="s">
        <v>12318</v>
      </c>
      <c r="F4348" s="2" t="s">
        <v>16</v>
      </c>
      <c r="G4348" s="2" t="s">
        <v>2858</v>
      </c>
      <c r="H4348" s="2" t="s">
        <v>32</v>
      </c>
      <c r="I4348" s="2"/>
      <c r="J4348" s="2" t="s">
        <v>19</v>
      </c>
      <c r="K4348" s="2" t="s">
        <v>20</v>
      </c>
      <c r="L4348" s="2" t="s">
        <v>12319</v>
      </c>
    </row>
    <row r="4349" customFormat="false" ht="15.65" hidden="false" customHeight="true" outlineLevel="0" collapsed="false">
      <c r="A4349" s="5" t="str">
        <f aca="false">HYPERLINK("https://www.fabsurplus.com/sdi_catalog/salesItemDetails.do?id=103807")</f>
        <v>https://www.fabsurplus.com/sdi_catalog/salesItemDetails.do?id=103807</v>
      </c>
      <c r="B4349" s="5" t="s">
        <v>12322</v>
      </c>
      <c r="C4349" s="5" t="s">
        <v>12316</v>
      </c>
      <c r="D4349" s="5" t="s">
        <v>12323</v>
      </c>
      <c r="E4349" s="5" t="s">
        <v>12318</v>
      </c>
      <c r="F4349" s="5" t="s">
        <v>16</v>
      </c>
      <c r="G4349" s="5" t="s">
        <v>1293</v>
      </c>
      <c r="H4349" s="5" t="s">
        <v>32</v>
      </c>
      <c r="I4349" s="5"/>
      <c r="J4349" s="5" t="s">
        <v>42</v>
      </c>
      <c r="K4349" s="5" t="s">
        <v>20</v>
      </c>
      <c r="L4349" s="7" t="s">
        <v>12324</v>
      </c>
    </row>
    <row r="4350" customFormat="false" ht="15.65" hidden="false" customHeight="true" outlineLevel="0" collapsed="false">
      <c r="A4350" s="2" t="str">
        <f aca="false">HYPERLINK("https://www.fabsurplus.com/sdi_catalog/salesItemDetails.do?id=106557")</f>
        <v>https://www.fabsurplus.com/sdi_catalog/salesItemDetails.do?id=106557</v>
      </c>
      <c r="B4350" s="2" t="s">
        <v>12325</v>
      </c>
      <c r="C4350" s="2" t="s">
        <v>12326</v>
      </c>
      <c r="D4350" s="2" t="s">
        <v>12327</v>
      </c>
      <c r="E4350" s="2" t="s">
        <v>12328</v>
      </c>
      <c r="F4350" s="2" t="s">
        <v>16</v>
      </c>
      <c r="G4350" s="2" t="s">
        <v>2858</v>
      </c>
      <c r="H4350" s="2" t="s">
        <v>32</v>
      </c>
      <c r="I4350" s="3" t="n">
        <v>38504</v>
      </c>
      <c r="J4350" s="2" t="s">
        <v>19</v>
      </c>
      <c r="K4350" s="2" t="s">
        <v>20</v>
      </c>
      <c r="L4350" s="2" t="s">
        <v>4017</v>
      </c>
    </row>
    <row r="4351" customFormat="false" ht="15.65" hidden="false" customHeight="true" outlineLevel="0" collapsed="false">
      <c r="A4351" s="5" t="str">
        <f aca="false">HYPERLINK("https://www.fabsurplus.com/sdi_catalog/salesItemDetails.do?id=106559")</f>
        <v>https://www.fabsurplus.com/sdi_catalog/salesItemDetails.do?id=106559</v>
      </c>
      <c r="B4351" s="5" t="s">
        <v>12329</v>
      </c>
      <c r="C4351" s="5" t="s">
        <v>12326</v>
      </c>
      <c r="D4351" s="5" t="s">
        <v>12330</v>
      </c>
      <c r="E4351" s="5" t="s">
        <v>12328</v>
      </c>
      <c r="F4351" s="5" t="s">
        <v>16</v>
      </c>
      <c r="G4351" s="5" t="s">
        <v>12331</v>
      </c>
      <c r="H4351" s="5" t="s">
        <v>32</v>
      </c>
      <c r="I4351" s="5"/>
      <c r="J4351" s="5" t="s">
        <v>19</v>
      </c>
      <c r="K4351" s="5" t="s">
        <v>20</v>
      </c>
      <c r="L4351" s="5" t="s">
        <v>4017</v>
      </c>
    </row>
    <row r="4352" customFormat="false" ht="15.65" hidden="false" customHeight="true" outlineLevel="0" collapsed="false">
      <c r="A4352" s="2" t="str">
        <f aca="false">HYPERLINK("https://www.fabsurplus.com/sdi_catalog/salesItemDetails.do?id=109604")</f>
        <v>https://www.fabsurplus.com/sdi_catalog/salesItemDetails.do?id=109604</v>
      </c>
      <c r="B4352" s="2" t="s">
        <v>12332</v>
      </c>
      <c r="C4352" s="2" t="s">
        <v>12333</v>
      </c>
      <c r="D4352" s="2" t="s">
        <v>12334</v>
      </c>
      <c r="E4352" s="2" t="s">
        <v>12335</v>
      </c>
      <c r="F4352" s="2" t="s">
        <v>16</v>
      </c>
      <c r="G4352" s="2"/>
      <c r="H4352" s="2"/>
      <c r="I4352" s="2"/>
      <c r="J4352" s="2" t="s">
        <v>42</v>
      </c>
      <c r="K4352" s="2"/>
      <c r="L4352" s="2" t="s">
        <v>2398</v>
      </c>
    </row>
    <row r="4353" customFormat="false" ht="15.65" hidden="false" customHeight="true" outlineLevel="0" collapsed="false">
      <c r="A4353" s="5" t="str">
        <f aca="false">HYPERLINK("https://www.fabsurplus.com/sdi_catalog/salesItemDetails.do?id=106567")</f>
        <v>https://www.fabsurplus.com/sdi_catalog/salesItemDetails.do?id=106567</v>
      </c>
      <c r="B4353" s="5" t="s">
        <v>12336</v>
      </c>
      <c r="C4353" s="5" t="s">
        <v>12333</v>
      </c>
      <c r="D4353" s="5" t="s">
        <v>12337</v>
      </c>
      <c r="E4353" s="5" t="s">
        <v>12338</v>
      </c>
      <c r="F4353" s="5" t="s">
        <v>16</v>
      </c>
      <c r="G4353" s="5"/>
      <c r="H4353" s="5" t="s">
        <v>18</v>
      </c>
      <c r="I4353" s="6" t="n">
        <v>43252</v>
      </c>
      <c r="J4353" s="5" t="s">
        <v>19</v>
      </c>
      <c r="K4353" s="5" t="s">
        <v>20</v>
      </c>
      <c r="L4353" s="5"/>
    </row>
    <row r="4354" customFormat="false" ht="15.65" hidden="false" customHeight="true" outlineLevel="0" collapsed="false">
      <c r="A4354" s="2" t="str">
        <f aca="false">HYPERLINK("https://www.fabsurplus.com/sdi_catalog/salesItemDetails.do?id=108903")</f>
        <v>https://www.fabsurplus.com/sdi_catalog/salesItemDetails.do?id=108903</v>
      </c>
      <c r="B4354" s="2" t="s">
        <v>12339</v>
      </c>
      <c r="C4354" s="2" t="s">
        <v>12333</v>
      </c>
      <c r="D4354" s="2" t="s">
        <v>12340</v>
      </c>
      <c r="E4354" s="2" t="s">
        <v>1582</v>
      </c>
      <c r="F4354" s="2" t="s">
        <v>16</v>
      </c>
      <c r="G4354" s="2" t="s">
        <v>388</v>
      </c>
      <c r="H4354" s="2" t="s">
        <v>32</v>
      </c>
      <c r="I4354" s="3" t="n">
        <v>35186</v>
      </c>
      <c r="J4354" s="2" t="s">
        <v>19</v>
      </c>
      <c r="K4354" s="2" t="s">
        <v>20</v>
      </c>
      <c r="L4354" s="4" t="s">
        <v>12341</v>
      </c>
    </row>
    <row r="4355" customFormat="false" ht="15.65" hidden="false" customHeight="true" outlineLevel="0" collapsed="false">
      <c r="A4355" s="5" t="str">
        <f aca="false">HYPERLINK("https://www.fabsurplus.com/sdi_catalog/salesItemDetails.do?id=108913")</f>
        <v>https://www.fabsurplus.com/sdi_catalog/salesItemDetails.do?id=108913</v>
      </c>
      <c r="B4355" s="5" t="s">
        <v>12342</v>
      </c>
      <c r="C4355" s="5" t="s">
        <v>12333</v>
      </c>
      <c r="D4355" s="5" t="s">
        <v>12340</v>
      </c>
      <c r="E4355" s="5" t="s">
        <v>1575</v>
      </c>
      <c r="F4355" s="5" t="s">
        <v>16</v>
      </c>
      <c r="G4355" s="5" t="s">
        <v>388</v>
      </c>
      <c r="H4355" s="5" t="s">
        <v>32</v>
      </c>
      <c r="I4355" s="6" t="n">
        <v>35186</v>
      </c>
      <c r="J4355" s="5" t="s">
        <v>19</v>
      </c>
      <c r="K4355" s="5" t="s">
        <v>20</v>
      </c>
      <c r="L4355" s="7" t="s">
        <v>12343</v>
      </c>
    </row>
    <row r="4356" customFormat="false" ht="15.65" hidden="false" customHeight="true" outlineLevel="0" collapsed="false">
      <c r="A4356" s="2" t="str">
        <f aca="false">HYPERLINK("https://www.fabsurplus.com/sdi_catalog/salesItemDetails.do?id=108914")</f>
        <v>https://www.fabsurplus.com/sdi_catalog/salesItemDetails.do?id=108914</v>
      </c>
      <c r="B4356" s="2" t="s">
        <v>12344</v>
      </c>
      <c r="C4356" s="2" t="s">
        <v>12333</v>
      </c>
      <c r="D4356" s="2" t="s">
        <v>12340</v>
      </c>
      <c r="E4356" s="2" t="s">
        <v>1582</v>
      </c>
      <c r="F4356" s="2" t="s">
        <v>16</v>
      </c>
      <c r="G4356" s="2" t="s">
        <v>388</v>
      </c>
      <c r="H4356" s="2" t="s">
        <v>18</v>
      </c>
      <c r="I4356" s="3" t="n">
        <v>34820</v>
      </c>
      <c r="J4356" s="2" t="s">
        <v>19</v>
      </c>
      <c r="K4356" s="2" t="s">
        <v>20</v>
      </c>
      <c r="L4356" s="4" t="s">
        <v>12345</v>
      </c>
    </row>
    <row r="4357" customFormat="false" ht="15.65" hidden="false" customHeight="true" outlineLevel="0" collapsed="false">
      <c r="A4357" s="5" t="str">
        <f aca="false">HYPERLINK("https://www.fabsurplus.com/sdi_catalog/salesItemDetails.do?id=108915")</f>
        <v>https://www.fabsurplus.com/sdi_catalog/salesItemDetails.do?id=108915</v>
      </c>
      <c r="B4357" s="5" t="s">
        <v>12346</v>
      </c>
      <c r="C4357" s="5" t="s">
        <v>12333</v>
      </c>
      <c r="D4357" s="5" t="s">
        <v>12340</v>
      </c>
      <c r="E4357" s="5" t="s">
        <v>1575</v>
      </c>
      <c r="F4357" s="5" t="s">
        <v>16</v>
      </c>
      <c r="G4357" s="5" t="s">
        <v>388</v>
      </c>
      <c r="H4357" s="5" t="s">
        <v>32</v>
      </c>
      <c r="I4357" s="6" t="n">
        <v>36647</v>
      </c>
      <c r="J4357" s="5" t="s">
        <v>19</v>
      </c>
      <c r="K4357" s="5" t="s">
        <v>20</v>
      </c>
      <c r="L4357" s="7" t="s">
        <v>12347</v>
      </c>
    </row>
    <row r="4358" customFormat="false" ht="15.65" hidden="false" customHeight="true" outlineLevel="0" collapsed="false">
      <c r="A4358" s="2" t="str">
        <f aca="false">HYPERLINK("https://www.fabsurplus.com/sdi_catalog/salesItemDetails.do?id=108947")</f>
        <v>https://www.fabsurplus.com/sdi_catalog/salesItemDetails.do?id=108947</v>
      </c>
      <c r="B4358" s="2" t="s">
        <v>12348</v>
      </c>
      <c r="C4358" s="2" t="s">
        <v>12333</v>
      </c>
      <c r="D4358" s="2" t="s">
        <v>12349</v>
      </c>
      <c r="E4358" s="2" t="s">
        <v>12350</v>
      </c>
      <c r="F4358" s="2" t="s">
        <v>16</v>
      </c>
      <c r="G4358" s="2" t="s">
        <v>61</v>
      </c>
      <c r="H4358" s="2" t="s">
        <v>32</v>
      </c>
      <c r="I4358" s="3" t="n">
        <v>40695</v>
      </c>
      <c r="J4358" s="2" t="s">
        <v>19</v>
      </c>
      <c r="K4358" s="2" t="s">
        <v>20</v>
      </c>
      <c r="L4358" s="4" t="s">
        <v>12351</v>
      </c>
    </row>
    <row r="4359" customFormat="false" ht="15.65" hidden="false" customHeight="true" outlineLevel="0" collapsed="false">
      <c r="A4359" s="5" t="str">
        <f aca="false">HYPERLINK("https://www.fabsurplus.com/sdi_catalog/salesItemDetails.do?id=108948")</f>
        <v>https://www.fabsurplus.com/sdi_catalog/salesItemDetails.do?id=108948</v>
      </c>
      <c r="B4359" s="5" t="s">
        <v>12352</v>
      </c>
      <c r="C4359" s="5" t="s">
        <v>12333</v>
      </c>
      <c r="D4359" s="5" t="s">
        <v>12349</v>
      </c>
      <c r="E4359" s="5" t="s">
        <v>12353</v>
      </c>
      <c r="F4359" s="5" t="s">
        <v>16</v>
      </c>
      <c r="G4359" s="5" t="s">
        <v>61</v>
      </c>
      <c r="H4359" s="5" t="s">
        <v>32</v>
      </c>
      <c r="I4359" s="6" t="n">
        <v>38869</v>
      </c>
      <c r="J4359" s="5" t="s">
        <v>19</v>
      </c>
      <c r="K4359" s="5" t="s">
        <v>20</v>
      </c>
      <c r="L4359" s="7" t="s">
        <v>12354</v>
      </c>
    </row>
    <row r="4360" customFormat="false" ht="15.65" hidden="false" customHeight="true" outlineLevel="0" collapsed="false">
      <c r="A4360" s="2" t="str">
        <f aca="false">HYPERLINK("https://www.fabsurplus.com/sdi_catalog/salesItemDetails.do?id=109276")</f>
        <v>https://www.fabsurplus.com/sdi_catalog/salesItemDetails.do?id=109276</v>
      </c>
      <c r="B4360" s="2" t="s">
        <v>12355</v>
      </c>
      <c r="C4360" s="2" t="s">
        <v>12333</v>
      </c>
      <c r="D4360" s="2" t="s">
        <v>12356</v>
      </c>
      <c r="E4360" s="2" t="s">
        <v>1763</v>
      </c>
      <c r="F4360" s="2" t="s">
        <v>16</v>
      </c>
      <c r="G4360" s="2" t="s">
        <v>84</v>
      </c>
      <c r="H4360" s="2"/>
      <c r="I4360" s="2"/>
      <c r="J4360" s="2" t="s">
        <v>19</v>
      </c>
      <c r="K4360" s="2"/>
      <c r="L4360" s="2"/>
    </row>
    <row r="4361" customFormat="false" ht="15.65" hidden="false" customHeight="true" outlineLevel="0" collapsed="false">
      <c r="A4361" s="5" t="str">
        <f aca="false">HYPERLINK("https://www.fabsurplus.com/sdi_catalog/salesItemDetails.do?id=108610")</f>
        <v>https://www.fabsurplus.com/sdi_catalog/salesItemDetails.do?id=108610</v>
      </c>
      <c r="B4361" s="5" t="s">
        <v>12357</v>
      </c>
      <c r="C4361" s="5" t="s">
        <v>12358</v>
      </c>
      <c r="D4361" s="5" t="s">
        <v>12359</v>
      </c>
      <c r="E4361" s="5" t="s">
        <v>12360</v>
      </c>
      <c r="F4361" s="5" t="s">
        <v>16</v>
      </c>
      <c r="G4361" s="5" t="s">
        <v>1293</v>
      </c>
      <c r="H4361" s="5" t="s">
        <v>32</v>
      </c>
      <c r="I4361" s="5"/>
      <c r="J4361" s="5" t="s">
        <v>19</v>
      </c>
      <c r="K4361" s="5" t="s">
        <v>20</v>
      </c>
      <c r="L4361" s="5"/>
    </row>
    <row r="4362" customFormat="false" ht="15.65" hidden="false" customHeight="true" outlineLevel="0" collapsed="false">
      <c r="A4362" s="2" t="str">
        <f aca="false">HYPERLINK("https://www.fabsurplus.com/sdi_catalog/salesItemDetails.do?id=109532")</f>
        <v>https://www.fabsurplus.com/sdi_catalog/salesItemDetails.do?id=109532</v>
      </c>
      <c r="B4362" s="2" t="s">
        <v>12361</v>
      </c>
      <c r="C4362" s="2" t="s">
        <v>12358</v>
      </c>
      <c r="D4362" s="2" t="s">
        <v>12359</v>
      </c>
      <c r="E4362" s="2" t="s">
        <v>12362</v>
      </c>
      <c r="F4362" s="2" t="s">
        <v>16</v>
      </c>
      <c r="G4362" s="2" t="s">
        <v>1803</v>
      </c>
      <c r="H4362" s="2"/>
      <c r="I4362" s="3" t="n">
        <v>41061</v>
      </c>
      <c r="J4362" s="2" t="s">
        <v>19</v>
      </c>
      <c r="K4362" s="2"/>
      <c r="L4362" s="2" t="s">
        <v>105</v>
      </c>
    </row>
    <row r="4363" customFormat="false" ht="15.65" hidden="false" customHeight="true" outlineLevel="0" collapsed="false">
      <c r="A4363" s="5" t="str">
        <f aca="false">HYPERLINK("https://www.fabsurplus.com/sdi_catalog/salesItemDetails.do?id=102642")</f>
        <v>https://www.fabsurplus.com/sdi_catalog/salesItemDetails.do?id=102642</v>
      </c>
      <c r="B4363" s="5" t="s">
        <v>12363</v>
      </c>
      <c r="C4363" s="5" t="s">
        <v>12364</v>
      </c>
      <c r="D4363" s="5" t="s">
        <v>12365</v>
      </c>
      <c r="E4363" s="5" t="s">
        <v>12366</v>
      </c>
      <c r="F4363" s="5" t="s">
        <v>16</v>
      </c>
      <c r="G4363" s="5" t="s">
        <v>2877</v>
      </c>
      <c r="H4363" s="5" t="s">
        <v>18</v>
      </c>
      <c r="I4363" s="6" t="n">
        <v>36647</v>
      </c>
      <c r="J4363" s="5" t="s">
        <v>19</v>
      </c>
      <c r="K4363" s="5" t="s">
        <v>20</v>
      </c>
      <c r="L4363" s="7" t="s">
        <v>12367</v>
      </c>
    </row>
    <row r="4364" customFormat="false" ht="15.65" hidden="false" customHeight="true" outlineLevel="0" collapsed="false">
      <c r="A4364" s="2" t="str">
        <f aca="false">HYPERLINK("https://www.fabsurplus.com/sdi_catalog/salesItemDetails.do?id=84078")</f>
        <v>https://www.fabsurplus.com/sdi_catalog/salesItemDetails.do?id=84078</v>
      </c>
      <c r="B4364" s="2" t="s">
        <v>12368</v>
      </c>
      <c r="C4364" s="2" t="s">
        <v>12369</v>
      </c>
      <c r="D4364" s="2" t="s">
        <v>12370</v>
      </c>
      <c r="E4364" s="2" t="s">
        <v>12371</v>
      </c>
      <c r="F4364" s="2" t="s">
        <v>16</v>
      </c>
      <c r="G4364" s="2" t="s">
        <v>104</v>
      </c>
      <c r="H4364" s="2" t="s">
        <v>18</v>
      </c>
      <c r="I4364" s="3" t="n">
        <v>34699.9583333333</v>
      </c>
      <c r="J4364" s="2" t="s">
        <v>19</v>
      </c>
      <c r="K4364" s="2" t="s">
        <v>20</v>
      </c>
      <c r="L4364" s="4" t="s">
        <v>12372</v>
      </c>
    </row>
    <row r="4365" customFormat="false" ht="15.65" hidden="false" customHeight="true" outlineLevel="0" collapsed="false">
      <c r="A4365" s="5" t="str">
        <f aca="false">HYPERLINK("https://www.fabsurplus.com/sdi_catalog/salesItemDetails.do?id=87615")</f>
        <v>https://www.fabsurplus.com/sdi_catalog/salesItemDetails.do?id=87615</v>
      </c>
      <c r="B4365" s="5" t="s">
        <v>12373</v>
      </c>
      <c r="C4365" s="5" t="s">
        <v>12374</v>
      </c>
      <c r="D4365" s="5" t="s">
        <v>12375</v>
      </c>
      <c r="E4365" s="5" t="s">
        <v>12376</v>
      </c>
      <c r="F4365" s="5" t="s">
        <v>16</v>
      </c>
      <c r="G4365" s="5" t="s">
        <v>401</v>
      </c>
      <c r="H4365" s="5" t="s">
        <v>32</v>
      </c>
      <c r="I4365" s="6" t="n">
        <v>33755.9166666667</v>
      </c>
      <c r="J4365" s="5" t="s">
        <v>19</v>
      </c>
      <c r="K4365" s="5" t="s">
        <v>20</v>
      </c>
      <c r="L4365" s="7" t="s">
        <v>12377</v>
      </c>
    </row>
    <row r="4366" customFormat="false" ht="15.65" hidden="false" customHeight="true" outlineLevel="0" collapsed="false">
      <c r="A4366" s="2" t="str">
        <f aca="false">HYPERLINK("https://www.fabsurplus.com/sdi_catalog/salesItemDetails.do?id=106560")</f>
        <v>https://www.fabsurplus.com/sdi_catalog/salesItemDetails.do?id=106560</v>
      </c>
      <c r="B4366" s="2" t="s">
        <v>12378</v>
      </c>
      <c r="C4366" s="2" t="s">
        <v>12379</v>
      </c>
      <c r="D4366" s="2" t="s">
        <v>12380</v>
      </c>
      <c r="E4366" s="2" t="s">
        <v>12380</v>
      </c>
      <c r="F4366" s="2" t="s">
        <v>16</v>
      </c>
      <c r="G4366" s="2" t="s">
        <v>2858</v>
      </c>
      <c r="H4366" s="2"/>
      <c r="I4366" s="2"/>
      <c r="J4366" s="2" t="s">
        <v>19</v>
      </c>
      <c r="K4366" s="2"/>
      <c r="L4366" s="2" t="s">
        <v>2859</v>
      </c>
    </row>
    <row r="4367" customFormat="false" ht="15.65" hidden="false" customHeight="true" outlineLevel="0" collapsed="false">
      <c r="A4367" s="5" t="str">
        <f aca="false">HYPERLINK("https://www.fabsurplus.com/sdi_catalog/salesItemDetails.do?id=108891")</f>
        <v>https://www.fabsurplus.com/sdi_catalog/salesItemDetails.do?id=108891</v>
      </c>
      <c r="B4367" s="5" t="s">
        <v>12381</v>
      </c>
      <c r="C4367" s="5" t="s">
        <v>12382</v>
      </c>
      <c r="D4367" s="5" t="s">
        <v>12383</v>
      </c>
      <c r="E4367" s="5" t="s">
        <v>12384</v>
      </c>
      <c r="F4367" s="5" t="s">
        <v>16</v>
      </c>
      <c r="G4367" s="5"/>
      <c r="H4367" s="5"/>
      <c r="I4367" s="5"/>
      <c r="J4367" s="5" t="s">
        <v>42</v>
      </c>
      <c r="K4367" s="5"/>
      <c r="L4367" s="5" t="s">
        <v>131</v>
      </c>
    </row>
    <row r="4368" customFormat="false" ht="15.65" hidden="false" customHeight="true" outlineLevel="0" collapsed="false">
      <c r="A4368" s="2" t="str">
        <f aca="false">HYPERLINK("https://www.fabsurplus.com/sdi_catalog/salesItemDetails.do?id=110586")</f>
        <v>https://www.fabsurplus.com/sdi_catalog/salesItemDetails.do?id=110586</v>
      </c>
      <c r="B4368" s="2" t="s">
        <v>12385</v>
      </c>
      <c r="C4368" s="2" t="s">
        <v>12386</v>
      </c>
      <c r="D4368" s="2" t="s">
        <v>5617</v>
      </c>
      <c r="E4368" s="2" t="s">
        <v>2755</v>
      </c>
      <c r="F4368" s="2" t="s">
        <v>16</v>
      </c>
      <c r="G4368" s="2" t="s">
        <v>165</v>
      </c>
      <c r="H4368" s="2"/>
      <c r="I4368" s="2"/>
      <c r="J4368" s="2" t="s">
        <v>42</v>
      </c>
      <c r="K4368" s="2"/>
      <c r="L4368" s="2" t="s">
        <v>12387</v>
      </c>
    </row>
    <row r="4369" customFormat="false" ht="15.65" hidden="false" customHeight="true" outlineLevel="0" collapsed="false">
      <c r="A4369" s="5" t="str">
        <f aca="false">HYPERLINK("https://www.fabsurplus.com/sdi_catalog/salesItemDetails.do?id=110587")</f>
        <v>https://www.fabsurplus.com/sdi_catalog/salesItemDetails.do?id=110587</v>
      </c>
      <c r="B4369" s="5" t="s">
        <v>12388</v>
      </c>
      <c r="C4369" s="5" t="s">
        <v>12386</v>
      </c>
      <c r="D4369" s="5" t="s">
        <v>5617</v>
      </c>
      <c r="E4369" s="5" t="s">
        <v>2755</v>
      </c>
      <c r="F4369" s="5" t="s">
        <v>16</v>
      </c>
      <c r="G4369" s="5" t="s">
        <v>165</v>
      </c>
      <c r="H4369" s="5"/>
      <c r="I4369" s="5"/>
      <c r="J4369" s="5" t="s">
        <v>42</v>
      </c>
      <c r="K4369" s="5"/>
      <c r="L4369" s="5" t="s">
        <v>12387</v>
      </c>
    </row>
    <row r="4370" customFormat="false" ht="15.65" hidden="false" customHeight="true" outlineLevel="0" collapsed="false">
      <c r="A4370" s="2" t="str">
        <f aca="false">HYPERLINK("https://www.fabsurplus.com/sdi_catalog/salesItemDetails.do?id=110588")</f>
        <v>https://www.fabsurplus.com/sdi_catalog/salesItemDetails.do?id=110588</v>
      </c>
      <c r="B4370" s="2" t="s">
        <v>12389</v>
      </c>
      <c r="C4370" s="2" t="s">
        <v>12386</v>
      </c>
      <c r="D4370" s="2" t="s">
        <v>5617</v>
      </c>
      <c r="E4370" s="2" t="s">
        <v>2755</v>
      </c>
      <c r="F4370" s="2" t="s">
        <v>16</v>
      </c>
      <c r="G4370" s="2" t="s">
        <v>165</v>
      </c>
      <c r="H4370" s="2"/>
      <c r="I4370" s="2"/>
      <c r="J4370" s="2" t="s">
        <v>42</v>
      </c>
      <c r="K4370" s="2"/>
      <c r="L4370" s="2" t="s">
        <v>12387</v>
      </c>
    </row>
    <row r="4371" customFormat="false" ht="15.65" hidden="false" customHeight="true" outlineLevel="0" collapsed="false">
      <c r="A4371" s="5" t="str">
        <f aca="false">HYPERLINK("https://www.fabsurplus.com/sdi_catalog/salesItemDetails.do?id=110589")</f>
        <v>https://www.fabsurplus.com/sdi_catalog/salesItemDetails.do?id=110589</v>
      </c>
      <c r="B4371" s="5" t="s">
        <v>12390</v>
      </c>
      <c r="C4371" s="5" t="s">
        <v>12386</v>
      </c>
      <c r="D4371" s="5" t="s">
        <v>5617</v>
      </c>
      <c r="E4371" s="5" t="s">
        <v>2755</v>
      </c>
      <c r="F4371" s="5" t="s">
        <v>16</v>
      </c>
      <c r="G4371" s="5" t="s">
        <v>165</v>
      </c>
      <c r="H4371" s="5"/>
      <c r="I4371" s="5"/>
      <c r="J4371" s="5" t="s">
        <v>42</v>
      </c>
      <c r="K4371" s="5"/>
      <c r="L4371" s="5" t="s">
        <v>12387</v>
      </c>
    </row>
    <row r="4372" customFormat="false" ht="15.65" hidden="false" customHeight="true" outlineLevel="0" collapsed="false">
      <c r="A4372" s="2" t="str">
        <f aca="false">HYPERLINK("https://www.fabsurplus.com/sdi_catalog/salesItemDetails.do?id=109584")</f>
        <v>https://www.fabsurplus.com/sdi_catalog/salesItemDetails.do?id=109584</v>
      </c>
      <c r="B4372" s="2" t="s">
        <v>12391</v>
      </c>
      <c r="C4372" s="2" t="s">
        <v>12392</v>
      </c>
      <c r="D4372" s="2" t="s">
        <v>12393</v>
      </c>
      <c r="E4372" s="2" t="s">
        <v>12394</v>
      </c>
      <c r="F4372" s="2" t="s">
        <v>16</v>
      </c>
      <c r="G4372" s="2" t="s">
        <v>61</v>
      </c>
      <c r="H4372" s="2" t="s">
        <v>32</v>
      </c>
      <c r="I4372" s="3" t="n">
        <v>38899</v>
      </c>
      <c r="J4372" s="2" t="s">
        <v>19</v>
      </c>
      <c r="K4372" s="2" t="s">
        <v>20</v>
      </c>
      <c r="L4372" s="4" t="s">
        <v>12395</v>
      </c>
    </row>
    <row r="4373" customFormat="false" ht="15.65" hidden="false" customHeight="true" outlineLevel="0" collapsed="false">
      <c r="A4373" s="5" t="str">
        <f aca="false">HYPERLINK("https://www.fabsurplus.com/sdi_catalog/salesItemDetails.do?id=92468")</f>
        <v>https://www.fabsurplus.com/sdi_catalog/salesItemDetails.do?id=92468</v>
      </c>
      <c r="B4373" s="5" t="s">
        <v>12396</v>
      </c>
      <c r="C4373" s="5" t="s">
        <v>12392</v>
      </c>
      <c r="D4373" s="5" t="s">
        <v>12397</v>
      </c>
      <c r="E4373" s="5" t="s">
        <v>12398</v>
      </c>
      <c r="F4373" s="5" t="s">
        <v>16</v>
      </c>
      <c r="G4373" s="5" t="s">
        <v>104</v>
      </c>
      <c r="H4373" s="5" t="s">
        <v>2785</v>
      </c>
      <c r="I4373" s="6" t="n">
        <v>34881</v>
      </c>
      <c r="J4373" s="5" t="s">
        <v>19</v>
      </c>
      <c r="K4373" s="5" t="s">
        <v>20</v>
      </c>
      <c r="L4373" s="7" t="s">
        <v>12399</v>
      </c>
    </row>
    <row r="4374" customFormat="false" ht="15.65" hidden="false" customHeight="true" outlineLevel="0" collapsed="false">
      <c r="A4374" s="2" t="str">
        <f aca="false">HYPERLINK("https://www.fabsurplus.com/sdi_catalog/salesItemDetails.do?id=110658")</f>
        <v>https://www.fabsurplus.com/sdi_catalog/salesItemDetails.do?id=110658</v>
      </c>
      <c r="B4374" s="2" t="s">
        <v>12400</v>
      </c>
      <c r="C4374" s="2" t="s">
        <v>12392</v>
      </c>
      <c r="D4374" s="2" t="s">
        <v>12401</v>
      </c>
      <c r="E4374" s="2" t="s">
        <v>9669</v>
      </c>
      <c r="F4374" s="2" t="s">
        <v>16</v>
      </c>
      <c r="G4374" s="2" t="s">
        <v>6309</v>
      </c>
      <c r="H4374" s="2" t="s">
        <v>32</v>
      </c>
      <c r="I4374" s="2"/>
      <c r="J4374" s="2" t="s">
        <v>19</v>
      </c>
      <c r="K4374" s="2" t="s">
        <v>20</v>
      </c>
      <c r="L4374" s="4" t="s">
        <v>12402</v>
      </c>
    </row>
    <row r="4375" customFormat="false" ht="15.65" hidden="false" customHeight="true" outlineLevel="0" collapsed="false">
      <c r="A4375" s="5" t="str">
        <f aca="false">HYPERLINK("https://www.fabsurplus.com/sdi_catalog/salesItemDetails.do?id=99404")</f>
        <v>https://www.fabsurplus.com/sdi_catalog/salesItemDetails.do?id=99404</v>
      </c>
      <c r="B4375" s="5" t="s">
        <v>12403</v>
      </c>
      <c r="C4375" s="5" t="s">
        <v>12392</v>
      </c>
      <c r="D4375" s="5" t="s">
        <v>12404</v>
      </c>
      <c r="E4375" s="5" t="s">
        <v>12405</v>
      </c>
      <c r="F4375" s="5" t="s">
        <v>16</v>
      </c>
      <c r="G4375" s="5" t="s">
        <v>97</v>
      </c>
      <c r="H4375" s="5" t="s">
        <v>32</v>
      </c>
      <c r="I4375" s="5"/>
      <c r="J4375" s="5" t="s">
        <v>19</v>
      </c>
      <c r="K4375" s="5" t="s">
        <v>20</v>
      </c>
      <c r="L4375" s="7" t="s">
        <v>12406</v>
      </c>
    </row>
    <row r="4376" customFormat="false" ht="15.65" hidden="false" customHeight="true" outlineLevel="0" collapsed="false">
      <c r="A4376" s="2" t="str">
        <f aca="false">HYPERLINK("https://www.fabsurplus.com/sdi_catalog/salesItemDetails.do?id=108892")</f>
        <v>https://www.fabsurplus.com/sdi_catalog/salesItemDetails.do?id=108892</v>
      </c>
      <c r="B4376" s="2" t="s">
        <v>12407</v>
      </c>
      <c r="C4376" s="2" t="s">
        <v>12408</v>
      </c>
      <c r="D4376" s="2" t="s">
        <v>12409</v>
      </c>
      <c r="E4376" s="2" t="s">
        <v>12410</v>
      </c>
      <c r="F4376" s="2" t="s">
        <v>16</v>
      </c>
      <c r="G4376" s="2" t="s">
        <v>165</v>
      </c>
      <c r="H4376" s="2"/>
      <c r="I4376" s="2"/>
      <c r="J4376" s="2" t="s">
        <v>42</v>
      </c>
      <c r="K4376" s="2"/>
      <c r="L4376" s="2" t="s">
        <v>131</v>
      </c>
    </row>
    <row r="4377" customFormat="false" ht="15.65" hidden="false" customHeight="true" outlineLevel="0" collapsed="false">
      <c r="A4377" s="5" t="str">
        <f aca="false">HYPERLINK("https://www.fabsurplus.com/sdi_catalog/salesItemDetails.do?id=91249")</f>
        <v>https://www.fabsurplus.com/sdi_catalog/salesItemDetails.do?id=91249</v>
      </c>
      <c r="B4377" s="5" t="s">
        <v>12411</v>
      </c>
      <c r="C4377" s="5" t="s">
        <v>12408</v>
      </c>
      <c r="D4377" s="5" t="s">
        <v>12412</v>
      </c>
      <c r="E4377" s="5" t="s">
        <v>12413</v>
      </c>
      <c r="F4377" s="5" t="s">
        <v>16</v>
      </c>
      <c r="G4377" s="5" t="s">
        <v>38</v>
      </c>
      <c r="H4377" s="5"/>
      <c r="I4377" s="5"/>
      <c r="J4377" s="5" t="s">
        <v>19</v>
      </c>
      <c r="K4377" s="5"/>
      <c r="L4377" s="5" t="s">
        <v>142</v>
      </c>
    </row>
    <row r="4378" customFormat="false" ht="15.65" hidden="false" customHeight="true" outlineLevel="0" collapsed="false">
      <c r="A4378" s="2" t="str">
        <f aca="false">HYPERLINK("https://www.fabsurplus.com/sdi_catalog/salesItemDetails.do?id=84082")</f>
        <v>https://www.fabsurplus.com/sdi_catalog/salesItemDetails.do?id=84082</v>
      </c>
      <c r="B4378" s="2" t="s">
        <v>12414</v>
      </c>
      <c r="C4378" s="2" t="s">
        <v>12392</v>
      </c>
      <c r="D4378" s="2" t="s">
        <v>12415</v>
      </c>
      <c r="E4378" s="2" t="s">
        <v>12416</v>
      </c>
      <c r="F4378" s="2" t="s">
        <v>16</v>
      </c>
      <c r="G4378" s="2" t="s">
        <v>159</v>
      </c>
      <c r="H4378" s="2" t="s">
        <v>1969</v>
      </c>
      <c r="I4378" s="3" t="n">
        <v>36281</v>
      </c>
      <c r="J4378" s="2" t="s">
        <v>19</v>
      </c>
      <c r="K4378" s="2" t="s">
        <v>20</v>
      </c>
      <c r="L4378" s="4" t="s">
        <v>12417</v>
      </c>
    </row>
    <row r="4379" customFormat="false" ht="15.65" hidden="false" customHeight="true" outlineLevel="0" collapsed="false">
      <c r="A4379" s="5" t="str">
        <f aca="false">HYPERLINK("https://www.fabsurplus.com/sdi_catalog/salesItemDetails.do?id=95409")</f>
        <v>https://www.fabsurplus.com/sdi_catalog/salesItemDetails.do?id=95409</v>
      </c>
      <c r="B4379" s="5" t="s">
        <v>12418</v>
      </c>
      <c r="C4379" s="5" t="s">
        <v>12392</v>
      </c>
      <c r="D4379" s="5" t="s">
        <v>12415</v>
      </c>
      <c r="E4379" s="5" t="s">
        <v>12416</v>
      </c>
      <c r="F4379" s="5" t="s">
        <v>16</v>
      </c>
      <c r="G4379" s="5" t="s">
        <v>159</v>
      </c>
      <c r="H4379" s="5" t="s">
        <v>1969</v>
      </c>
      <c r="I4379" s="6" t="n">
        <v>36281</v>
      </c>
      <c r="J4379" s="5" t="s">
        <v>19</v>
      </c>
      <c r="K4379" s="5" t="s">
        <v>20</v>
      </c>
      <c r="L4379" s="7" t="s">
        <v>12417</v>
      </c>
    </row>
    <row r="4380" customFormat="false" ht="15.65" hidden="false" customHeight="true" outlineLevel="0" collapsed="false">
      <c r="A4380" s="2" t="str">
        <f aca="false">HYPERLINK("https://www.fabsurplus.com/sdi_catalog/salesItemDetails.do?id=72133")</f>
        <v>https://www.fabsurplus.com/sdi_catalog/salesItemDetails.do?id=72133</v>
      </c>
      <c r="B4380" s="2" t="s">
        <v>12419</v>
      </c>
      <c r="C4380" s="2" t="s">
        <v>12392</v>
      </c>
      <c r="D4380" s="2" t="s">
        <v>12420</v>
      </c>
      <c r="E4380" s="2" t="s">
        <v>12421</v>
      </c>
      <c r="F4380" s="2" t="s">
        <v>151</v>
      </c>
      <c r="G4380" s="2" t="s">
        <v>104</v>
      </c>
      <c r="H4380" s="2" t="s">
        <v>32</v>
      </c>
      <c r="I4380" s="2"/>
      <c r="J4380" s="2" t="s">
        <v>19</v>
      </c>
      <c r="K4380" s="2" t="s">
        <v>20</v>
      </c>
      <c r="L4380" s="4" t="s">
        <v>12422</v>
      </c>
    </row>
    <row r="4381" customFormat="false" ht="15.65" hidden="false" customHeight="true" outlineLevel="0" collapsed="false">
      <c r="A4381" s="5" t="str">
        <f aca="false">HYPERLINK("https://www.fabsurplus.com/sdi_catalog/salesItemDetails.do?id=72134")</f>
        <v>https://www.fabsurplus.com/sdi_catalog/salesItemDetails.do?id=72134</v>
      </c>
      <c r="B4381" s="5" t="s">
        <v>12423</v>
      </c>
      <c r="C4381" s="5" t="s">
        <v>12392</v>
      </c>
      <c r="D4381" s="5" t="s">
        <v>12424</v>
      </c>
      <c r="E4381" s="5" t="s">
        <v>12425</v>
      </c>
      <c r="F4381" s="5" t="s">
        <v>151</v>
      </c>
      <c r="G4381" s="5" t="s">
        <v>104</v>
      </c>
      <c r="H4381" s="5" t="s">
        <v>32</v>
      </c>
      <c r="I4381" s="5"/>
      <c r="J4381" s="5" t="s">
        <v>19</v>
      </c>
      <c r="K4381" s="5" t="s">
        <v>20</v>
      </c>
      <c r="L4381" s="7" t="s">
        <v>2631</v>
      </c>
    </row>
    <row r="4382" customFormat="false" ht="15.65" hidden="false" customHeight="true" outlineLevel="0" collapsed="false">
      <c r="A4382" s="2" t="str">
        <f aca="false">HYPERLINK("https://www.fabsurplus.com/sdi_catalog/salesItemDetails.do?id=72136")</f>
        <v>https://www.fabsurplus.com/sdi_catalog/salesItemDetails.do?id=72136</v>
      </c>
      <c r="B4382" s="2" t="s">
        <v>12426</v>
      </c>
      <c r="C4382" s="2" t="s">
        <v>12392</v>
      </c>
      <c r="D4382" s="2" t="s">
        <v>12427</v>
      </c>
      <c r="E4382" s="2" t="s">
        <v>12428</v>
      </c>
      <c r="F4382" s="2" t="s">
        <v>16</v>
      </c>
      <c r="G4382" s="2" t="s">
        <v>104</v>
      </c>
      <c r="H4382" s="2" t="s">
        <v>32</v>
      </c>
      <c r="I4382" s="2"/>
      <c r="J4382" s="2" t="s">
        <v>19</v>
      </c>
      <c r="K4382" s="2" t="s">
        <v>20</v>
      </c>
      <c r="L4382" s="4" t="s">
        <v>2631</v>
      </c>
    </row>
    <row r="4383" customFormat="false" ht="15.65" hidden="false" customHeight="true" outlineLevel="0" collapsed="false">
      <c r="A4383" s="5" t="str">
        <f aca="false">HYPERLINK("https://www.fabsurplus.com/sdi_catalog/salesItemDetails.do?id=72138")</f>
        <v>https://www.fabsurplus.com/sdi_catalog/salesItemDetails.do?id=72138</v>
      </c>
      <c r="B4383" s="5" t="s">
        <v>12429</v>
      </c>
      <c r="C4383" s="5" t="s">
        <v>12392</v>
      </c>
      <c r="D4383" s="5" t="s">
        <v>12430</v>
      </c>
      <c r="E4383" s="5" t="s">
        <v>12431</v>
      </c>
      <c r="F4383" s="5" t="s">
        <v>151</v>
      </c>
      <c r="G4383" s="5" t="s">
        <v>104</v>
      </c>
      <c r="H4383" s="5" t="s">
        <v>32</v>
      </c>
      <c r="I4383" s="5"/>
      <c r="J4383" s="5" t="s">
        <v>19</v>
      </c>
      <c r="K4383" s="5" t="s">
        <v>20</v>
      </c>
      <c r="L4383" s="7" t="s">
        <v>2631</v>
      </c>
    </row>
    <row r="4384" customFormat="false" ht="15.65" hidden="false" customHeight="true" outlineLevel="0" collapsed="false">
      <c r="A4384" s="2" t="str">
        <f aca="false">HYPERLINK("https://www.fabsurplus.com/sdi_catalog/salesItemDetails.do?id=72140")</f>
        <v>https://www.fabsurplus.com/sdi_catalog/salesItemDetails.do?id=72140</v>
      </c>
      <c r="B4384" s="2" t="s">
        <v>12432</v>
      </c>
      <c r="C4384" s="2" t="s">
        <v>12392</v>
      </c>
      <c r="D4384" s="2" t="s">
        <v>12433</v>
      </c>
      <c r="E4384" s="2" t="s">
        <v>12434</v>
      </c>
      <c r="F4384" s="2" t="s">
        <v>16</v>
      </c>
      <c r="G4384" s="2" t="s">
        <v>104</v>
      </c>
      <c r="H4384" s="2" t="s">
        <v>32</v>
      </c>
      <c r="I4384" s="3" t="n">
        <v>35003.9583333333</v>
      </c>
      <c r="J4384" s="2" t="s">
        <v>19</v>
      </c>
      <c r="K4384" s="2" t="s">
        <v>20</v>
      </c>
      <c r="L4384" s="4" t="s">
        <v>2631</v>
      </c>
    </row>
    <row r="4385" customFormat="false" ht="15.65" hidden="false" customHeight="true" outlineLevel="0" collapsed="false">
      <c r="A4385" s="5" t="str">
        <f aca="false">HYPERLINK("https://www.fabsurplus.com/sdi_catalog/salesItemDetails.do?id=72141")</f>
        <v>https://www.fabsurplus.com/sdi_catalog/salesItemDetails.do?id=72141</v>
      </c>
      <c r="B4385" s="5" t="s">
        <v>12435</v>
      </c>
      <c r="C4385" s="5" t="s">
        <v>12392</v>
      </c>
      <c r="D4385" s="5" t="s">
        <v>12436</v>
      </c>
      <c r="E4385" s="5" t="s">
        <v>12437</v>
      </c>
      <c r="F4385" s="5" t="s">
        <v>16</v>
      </c>
      <c r="G4385" s="5" t="s">
        <v>104</v>
      </c>
      <c r="H4385" s="5" t="s">
        <v>32</v>
      </c>
      <c r="I4385" s="5"/>
      <c r="J4385" s="5" t="s">
        <v>19</v>
      </c>
      <c r="K4385" s="5" t="s">
        <v>20</v>
      </c>
      <c r="L4385" s="7" t="s">
        <v>2631</v>
      </c>
    </row>
    <row r="4386" customFormat="false" ht="15.65" hidden="false" customHeight="true" outlineLevel="0" collapsed="false">
      <c r="A4386" s="2" t="str">
        <f aca="false">HYPERLINK("https://www.fabsurplus.com/sdi_catalog/salesItemDetails.do?id=72143")</f>
        <v>https://www.fabsurplus.com/sdi_catalog/salesItemDetails.do?id=72143</v>
      </c>
      <c r="B4386" s="2" t="s">
        <v>12438</v>
      </c>
      <c r="C4386" s="2" t="s">
        <v>12392</v>
      </c>
      <c r="D4386" s="2" t="s">
        <v>12439</v>
      </c>
      <c r="E4386" s="2" t="s">
        <v>12440</v>
      </c>
      <c r="F4386" s="2" t="s">
        <v>16</v>
      </c>
      <c r="G4386" s="2" t="s">
        <v>104</v>
      </c>
      <c r="H4386" s="2" t="s">
        <v>32</v>
      </c>
      <c r="I4386" s="2"/>
      <c r="J4386" s="2" t="s">
        <v>19</v>
      </c>
      <c r="K4386" s="2" t="s">
        <v>20</v>
      </c>
      <c r="L4386" s="4" t="s">
        <v>2631</v>
      </c>
    </row>
    <row r="4387" customFormat="false" ht="15.65" hidden="false" customHeight="true" outlineLevel="0" collapsed="false">
      <c r="A4387" s="5" t="str">
        <f aca="false">HYPERLINK("https://www.fabsurplus.com/sdi_catalog/salesItemDetails.do?id=72144")</f>
        <v>https://www.fabsurplus.com/sdi_catalog/salesItemDetails.do?id=72144</v>
      </c>
      <c r="B4387" s="5" t="s">
        <v>12441</v>
      </c>
      <c r="C4387" s="5" t="s">
        <v>12392</v>
      </c>
      <c r="D4387" s="5" t="s">
        <v>12442</v>
      </c>
      <c r="E4387" s="5" t="s">
        <v>12443</v>
      </c>
      <c r="F4387" s="5" t="s">
        <v>16</v>
      </c>
      <c r="G4387" s="5" t="s">
        <v>104</v>
      </c>
      <c r="H4387" s="5" t="s">
        <v>32</v>
      </c>
      <c r="I4387" s="5"/>
      <c r="J4387" s="5" t="s">
        <v>19</v>
      </c>
      <c r="K4387" s="5" t="s">
        <v>20</v>
      </c>
      <c r="L4387" s="7" t="s">
        <v>2631</v>
      </c>
    </row>
    <row r="4388" customFormat="false" ht="15.65" hidden="false" customHeight="true" outlineLevel="0" collapsed="false">
      <c r="A4388" s="2" t="str">
        <f aca="false">HYPERLINK("https://www.fabsurplus.com/sdi_catalog/salesItemDetails.do?id=72145")</f>
        <v>https://www.fabsurplus.com/sdi_catalog/salesItemDetails.do?id=72145</v>
      </c>
      <c r="B4388" s="2" t="s">
        <v>12444</v>
      </c>
      <c r="C4388" s="2" t="s">
        <v>12392</v>
      </c>
      <c r="D4388" s="2" t="s">
        <v>12445</v>
      </c>
      <c r="E4388" s="2" t="s">
        <v>12446</v>
      </c>
      <c r="F4388" s="2" t="s">
        <v>16</v>
      </c>
      <c r="G4388" s="2" t="s">
        <v>104</v>
      </c>
      <c r="H4388" s="2" t="s">
        <v>32</v>
      </c>
      <c r="I4388" s="2"/>
      <c r="J4388" s="2" t="s">
        <v>19</v>
      </c>
      <c r="K4388" s="2" t="s">
        <v>20</v>
      </c>
      <c r="L4388" s="4" t="s">
        <v>2631</v>
      </c>
    </row>
    <row r="4389" customFormat="false" ht="15.65" hidden="false" customHeight="true" outlineLevel="0" collapsed="false">
      <c r="A4389" s="5" t="str">
        <f aca="false">HYPERLINK("https://www.fabsurplus.com/sdi_catalog/salesItemDetails.do?id=72146")</f>
        <v>https://www.fabsurplus.com/sdi_catalog/salesItemDetails.do?id=72146</v>
      </c>
      <c r="B4389" s="5" t="s">
        <v>12447</v>
      </c>
      <c r="C4389" s="5" t="s">
        <v>12392</v>
      </c>
      <c r="D4389" s="5"/>
      <c r="E4389" s="5" t="s">
        <v>12428</v>
      </c>
      <c r="F4389" s="5" t="s">
        <v>16</v>
      </c>
      <c r="G4389" s="5" t="s">
        <v>104</v>
      </c>
      <c r="H4389" s="5" t="s">
        <v>32</v>
      </c>
      <c r="I4389" s="5"/>
      <c r="J4389" s="5" t="s">
        <v>19</v>
      </c>
      <c r="K4389" s="5" t="s">
        <v>20</v>
      </c>
      <c r="L4389" s="7" t="s">
        <v>2631</v>
      </c>
    </row>
    <row r="4390" customFormat="false" ht="15.65" hidden="false" customHeight="true" outlineLevel="0" collapsed="false">
      <c r="A4390" s="2" t="str">
        <f aca="false">HYPERLINK("https://www.fabsurplus.com/sdi_catalog/salesItemDetails.do?id=72147")</f>
        <v>https://www.fabsurplus.com/sdi_catalog/salesItemDetails.do?id=72147</v>
      </c>
      <c r="B4390" s="2" t="s">
        <v>12448</v>
      </c>
      <c r="C4390" s="2" t="s">
        <v>12392</v>
      </c>
      <c r="D4390" s="2"/>
      <c r="E4390" s="2" t="s">
        <v>12449</v>
      </c>
      <c r="F4390" s="2" t="s">
        <v>86</v>
      </c>
      <c r="G4390" s="2" t="s">
        <v>104</v>
      </c>
      <c r="H4390" s="2" t="s">
        <v>32</v>
      </c>
      <c r="I4390" s="2"/>
      <c r="J4390" s="2" t="s">
        <v>19</v>
      </c>
      <c r="K4390" s="2" t="s">
        <v>20</v>
      </c>
      <c r="L4390" s="4" t="s">
        <v>2631</v>
      </c>
    </row>
    <row r="4391" customFormat="false" ht="15.65" hidden="false" customHeight="true" outlineLevel="0" collapsed="false">
      <c r="A4391" s="5" t="str">
        <f aca="false">HYPERLINK("https://www.fabsurplus.com/sdi_catalog/salesItemDetails.do?id=72148")</f>
        <v>https://www.fabsurplus.com/sdi_catalog/salesItemDetails.do?id=72148</v>
      </c>
      <c r="B4391" s="5" t="s">
        <v>12450</v>
      </c>
      <c r="C4391" s="5" t="s">
        <v>12392</v>
      </c>
      <c r="D4391" s="5"/>
      <c r="E4391" s="5" t="s">
        <v>12451</v>
      </c>
      <c r="F4391" s="5" t="s">
        <v>16</v>
      </c>
      <c r="G4391" s="5" t="s">
        <v>104</v>
      </c>
      <c r="H4391" s="5" t="s">
        <v>32</v>
      </c>
      <c r="I4391" s="5"/>
      <c r="J4391" s="5" t="s">
        <v>19</v>
      </c>
      <c r="K4391" s="5" t="s">
        <v>20</v>
      </c>
      <c r="L4391" s="7" t="s">
        <v>2631</v>
      </c>
    </row>
    <row r="4392" customFormat="false" ht="15.65" hidden="false" customHeight="true" outlineLevel="0" collapsed="false">
      <c r="A4392" s="2" t="str">
        <f aca="false">HYPERLINK("https://www.fabsurplus.com/sdi_catalog/salesItemDetails.do?id=72149")</f>
        <v>https://www.fabsurplus.com/sdi_catalog/salesItemDetails.do?id=72149</v>
      </c>
      <c r="B4392" s="2" t="s">
        <v>12452</v>
      </c>
      <c r="C4392" s="2" t="s">
        <v>12392</v>
      </c>
      <c r="D4392" s="2"/>
      <c r="E4392" s="2" t="s">
        <v>12453</v>
      </c>
      <c r="F4392" s="2" t="s">
        <v>16</v>
      </c>
      <c r="G4392" s="2" t="s">
        <v>104</v>
      </c>
      <c r="H4392" s="2" t="s">
        <v>32</v>
      </c>
      <c r="I4392" s="2"/>
      <c r="J4392" s="2" t="s">
        <v>19</v>
      </c>
      <c r="K4392" s="2" t="s">
        <v>20</v>
      </c>
      <c r="L4392" s="4" t="s">
        <v>2631</v>
      </c>
    </row>
    <row r="4393" customFormat="false" ht="15.65" hidden="false" customHeight="true" outlineLevel="0" collapsed="false">
      <c r="A4393" s="5" t="str">
        <f aca="false">HYPERLINK("https://www.fabsurplus.com/sdi_catalog/salesItemDetails.do?id=72150")</f>
        <v>https://www.fabsurplus.com/sdi_catalog/salesItemDetails.do?id=72150</v>
      </c>
      <c r="B4393" s="5" t="s">
        <v>12454</v>
      </c>
      <c r="C4393" s="5" t="s">
        <v>12392</v>
      </c>
      <c r="D4393" s="5"/>
      <c r="E4393" s="5" t="s">
        <v>12455</v>
      </c>
      <c r="F4393" s="5" t="s">
        <v>16</v>
      </c>
      <c r="G4393" s="5" t="s">
        <v>104</v>
      </c>
      <c r="H4393" s="5" t="s">
        <v>32</v>
      </c>
      <c r="I4393" s="5"/>
      <c r="J4393" s="5" t="s">
        <v>19</v>
      </c>
      <c r="K4393" s="5" t="s">
        <v>20</v>
      </c>
      <c r="L4393" s="7" t="s">
        <v>2631</v>
      </c>
    </row>
    <row r="4394" customFormat="false" ht="15.65" hidden="false" customHeight="true" outlineLevel="0" collapsed="false">
      <c r="A4394" s="2" t="str">
        <f aca="false">HYPERLINK("https://www.fabsurplus.com/sdi_catalog/salesItemDetails.do?id=72151")</f>
        <v>https://www.fabsurplus.com/sdi_catalog/salesItemDetails.do?id=72151</v>
      </c>
      <c r="B4394" s="2" t="s">
        <v>12456</v>
      </c>
      <c r="C4394" s="2" t="s">
        <v>12392</v>
      </c>
      <c r="D4394" s="2" t="s">
        <v>12457</v>
      </c>
      <c r="E4394" s="2" t="s">
        <v>12458</v>
      </c>
      <c r="F4394" s="2" t="s">
        <v>145</v>
      </c>
      <c r="G4394" s="2" t="s">
        <v>104</v>
      </c>
      <c r="H4394" s="2" t="s">
        <v>32</v>
      </c>
      <c r="I4394" s="2"/>
      <c r="J4394" s="2" t="s">
        <v>19</v>
      </c>
      <c r="K4394" s="2" t="s">
        <v>20</v>
      </c>
      <c r="L4394" s="4" t="s">
        <v>2631</v>
      </c>
    </row>
    <row r="4395" customFormat="false" ht="15.65" hidden="false" customHeight="true" outlineLevel="0" collapsed="false">
      <c r="A4395" s="5" t="str">
        <f aca="false">HYPERLINK("https://www.fabsurplus.com/sdi_catalog/salesItemDetails.do?id=72152")</f>
        <v>https://www.fabsurplus.com/sdi_catalog/salesItemDetails.do?id=72152</v>
      </c>
      <c r="B4395" s="5" t="s">
        <v>12459</v>
      </c>
      <c r="C4395" s="5" t="s">
        <v>12392</v>
      </c>
      <c r="D4395" s="5"/>
      <c r="E4395" s="5" t="s">
        <v>12460</v>
      </c>
      <c r="F4395" s="5" t="s">
        <v>16</v>
      </c>
      <c r="G4395" s="5" t="s">
        <v>104</v>
      </c>
      <c r="H4395" s="5" t="s">
        <v>32</v>
      </c>
      <c r="I4395" s="5"/>
      <c r="J4395" s="5" t="s">
        <v>19</v>
      </c>
      <c r="K4395" s="5" t="s">
        <v>20</v>
      </c>
      <c r="L4395" s="7" t="s">
        <v>2631</v>
      </c>
    </row>
    <row r="4396" customFormat="false" ht="15.65" hidden="false" customHeight="true" outlineLevel="0" collapsed="false">
      <c r="A4396" s="2" t="str">
        <f aca="false">HYPERLINK("https://www.fabsurplus.com/sdi_catalog/salesItemDetails.do?id=109277")</f>
        <v>https://www.fabsurplus.com/sdi_catalog/salesItemDetails.do?id=109277</v>
      </c>
      <c r="B4396" s="2" t="s">
        <v>12461</v>
      </c>
      <c r="C4396" s="2" t="s">
        <v>12392</v>
      </c>
      <c r="D4396" s="2" t="s">
        <v>12462</v>
      </c>
      <c r="E4396" s="2" t="s">
        <v>2579</v>
      </c>
      <c r="F4396" s="2" t="s">
        <v>16</v>
      </c>
      <c r="G4396" s="2" t="s">
        <v>84</v>
      </c>
      <c r="H4396" s="2"/>
      <c r="I4396" s="2"/>
      <c r="J4396" s="2" t="s">
        <v>19</v>
      </c>
      <c r="K4396" s="2"/>
      <c r="L4396" s="2"/>
    </row>
    <row r="4397" customFormat="false" ht="15.65" hidden="false" customHeight="true" outlineLevel="0" collapsed="false">
      <c r="A4397" s="5" t="str">
        <f aca="false">HYPERLINK("https://www.fabsurplus.com/sdi_catalog/salesItemDetails.do?id=92387")</f>
        <v>https://www.fabsurplus.com/sdi_catalog/salesItemDetails.do?id=92387</v>
      </c>
      <c r="B4397" s="5" t="s">
        <v>12463</v>
      </c>
      <c r="C4397" s="5" t="s">
        <v>12392</v>
      </c>
      <c r="D4397" s="5" t="s">
        <v>12464</v>
      </c>
      <c r="E4397" s="5" t="s">
        <v>12465</v>
      </c>
      <c r="F4397" s="5" t="s">
        <v>151</v>
      </c>
      <c r="G4397" s="5" t="s">
        <v>104</v>
      </c>
      <c r="H4397" s="5" t="s">
        <v>32</v>
      </c>
      <c r="I4397" s="6" t="n">
        <v>34850.9166666667</v>
      </c>
      <c r="J4397" s="5" t="s">
        <v>19</v>
      </c>
      <c r="K4397" s="5" t="s">
        <v>20</v>
      </c>
      <c r="L4397" s="7" t="s">
        <v>12466</v>
      </c>
    </row>
    <row r="4398" customFormat="false" ht="15.65" hidden="false" customHeight="true" outlineLevel="0" collapsed="false">
      <c r="A4398" s="2" t="str">
        <f aca="false">HYPERLINK("https://www.fabsurplus.com/sdi_catalog/salesItemDetails.do?id=108779")</f>
        <v>https://www.fabsurplus.com/sdi_catalog/salesItemDetails.do?id=108779</v>
      </c>
      <c r="B4398" s="2" t="s">
        <v>12467</v>
      </c>
      <c r="C4398" s="2" t="s">
        <v>12408</v>
      </c>
      <c r="D4398" s="2" t="s">
        <v>12468</v>
      </c>
      <c r="E4398" s="2" t="s">
        <v>12469</v>
      </c>
      <c r="F4398" s="2" t="s">
        <v>16</v>
      </c>
      <c r="G4398" s="2"/>
      <c r="H4398" s="2"/>
      <c r="I4398" s="2"/>
      <c r="J4398" s="2" t="s">
        <v>42</v>
      </c>
      <c r="K4398" s="2"/>
      <c r="L4398" s="2" t="s">
        <v>12469</v>
      </c>
    </row>
    <row r="4399" customFormat="false" ht="15.65" hidden="false" customHeight="true" outlineLevel="0" collapsed="false">
      <c r="A4399" s="5" t="str">
        <f aca="false">HYPERLINK("https://www.fabsurplus.com/sdi_catalog/salesItemDetails.do?id=108780")</f>
        <v>https://www.fabsurplus.com/sdi_catalog/salesItemDetails.do?id=108780</v>
      </c>
      <c r="B4399" s="5" t="s">
        <v>12470</v>
      </c>
      <c r="C4399" s="5" t="s">
        <v>12408</v>
      </c>
      <c r="D4399" s="5" t="s">
        <v>12471</v>
      </c>
      <c r="E4399" s="5" t="s">
        <v>12472</v>
      </c>
      <c r="F4399" s="5" t="s">
        <v>16</v>
      </c>
      <c r="G4399" s="5"/>
      <c r="H4399" s="5"/>
      <c r="I4399" s="5"/>
      <c r="J4399" s="5" t="s">
        <v>19</v>
      </c>
      <c r="K4399" s="5"/>
      <c r="L4399" s="7" t="s">
        <v>12473</v>
      </c>
    </row>
    <row r="4400" customFormat="false" ht="15.65" hidden="false" customHeight="true" outlineLevel="0" collapsed="false">
      <c r="A4400" s="2" t="str">
        <f aca="false">HYPERLINK("https://www.fabsurplus.com/sdi_catalog/salesItemDetails.do?id=108540")</f>
        <v>https://www.fabsurplus.com/sdi_catalog/salesItemDetails.do?id=108540</v>
      </c>
      <c r="B4400" s="2" t="s">
        <v>12474</v>
      </c>
      <c r="C4400" s="2" t="s">
        <v>12392</v>
      </c>
      <c r="D4400" s="2" t="s">
        <v>12475</v>
      </c>
      <c r="E4400" s="2" t="s">
        <v>12476</v>
      </c>
      <c r="F4400" s="2" t="s">
        <v>86</v>
      </c>
      <c r="G4400" s="2" t="s">
        <v>61</v>
      </c>
      <c r="H4400" s="2" t="s">
        <v>18</v>
      </c>
      <c r="I4400" s="3" t="n">
        <v>38869</v>
      </c>
      <c r="J4400" s="2" t="s">
        <v>19</v>
      </c>
      <c r="K4400" s="2"/>
      <c r="L4400" s="2" t="s">
        <v>12477</v>
      </c>
    </row>
    <row r="4401" customFormat="false" ht="15.65" hidden="false" customHeight="true" outlineLevel="0" collapsed="false">
      <c r="A4401" s="5" t="str">
        <f aca="false">HYPERLINK("https://www.fabsurplus.com/sdi_catalog/salesItemDetails.do?id=110590")</f>
        <v>https://www.fabsurplus.com/sdi_catalog/salesItemDetails.do?id=110590</v>
      </c>
      <c r="B4401" s="5" t="s">
        <v>12478</v>
      </c>
      <c r="C4401" s="5" t="s">
        <v>12479</v>
      </c>
      <c r="D4401" s="5" t="s">
        <v>12392</v>
      </c>
      <c r="E4401" s="5" t="s">
        <v>748</v>
      </c>
      <c r="F4401" s="5" t="s">
        <v>16</v>
      </c>
      <c r="G4401" s="5" t="s">
        <v>165</v>
      </c>
      <c r="H4401" s="5"/>
      <c r="I4401" s="5"/>
      <c r="J4401" s="5" t="s">
        <v>42</v>
      </c>
      <c r="K4401" s="5"/>
      <c r="L4401" s="5" t="s">
        <v>12480</v>
      </c>
    </row>
    <row r="4402" customFormat="false" ht="15.65" hidden="false" customHeight="true" outlineLevel="0" collapsed="false">
      <c r="A4402" s="2" t="str">
        <f aca="false">HYPERLINK("https://www.fabsurplus.com/sdi_catalog/salesItemDetails.do?id=110591")</f>
        <v>https://www.fabsurplus.com/sdi_catalog/salesItemDetails.do?id=110591</v>
      </c>
      <c r="B4402" s="2" t="s">
        <v>12481</v>
      </c>
      <c r="C4402" s="2" t="s">
        <v>12392</v>
      </c>
      <c r="D4402" s="2" t="s">
        <v>12482</v>
      </c>
      <c r="E4402" s="2" t="s">
        <v>763</v>
      </c>
      <c r="F4402" s="2" t="s">
        <v>16</v>
      </c>
      <c r="G4402" s="2" t="s">
        <v>165</v>
      </c>
      <c r="H4402" s="2"/>
      <c r="I4402" s="2"/>
      <c r="J4402" s="2" t="s">
        <v>42</v>
      </c>
      <c r="K4402" s="2"/>
      <c r="L4402" s="2" t="s">
        <v>12483</v>
      </c>
    </row>
    <row r="4403" customFormat="false" ht="15.65" hidden="false" customHeight="true" outlineLevel="0" collapsed="false">
      <c r="A4403" s="5" t="str">
        <f aca="false">HYPERLINK("https://www.fabsurplus.com/sdi_catalog/salesItemDetails.do?id=102593")</f>
        <v>https://www.fabsurplus.com/sdi_catalog/salesItemDetails.do?id=102593</v>
      </c>
      <c r="B4403" s="5" t="s">
        <v>12484</v>
      </c>
      <c r="C4403" s="5" t="s">
        <v>12485</v>
      </c>
      <c r="D4403" s="5" t="s">
        <v>12486</v>
      </c>
      <c r="E4403" s="5" t="s">
        <v>12487</v>
      </c>
      <c r="F4403" s="5" t="s">
        <v>250</v>
      </c>
      <c r="G4403" s="5" t="s">
        <v>165</v>
      </c>
      <c r="H4403" s="5" t="s">
        <v>32</v>
      </c>
      <c r="I4403" s="5"/>
      <c r="J4403" s="5" t="s">
        <v>19</v>
      </c>
      <c r="K4403" s="5" t="s">
        <v>20</v>
      </c>
      <c r="L4403" s="7" t="s">
        <v>12488</v>
      </c>
    </row>
    <row r="4404" customFormat="false" ht="15.65" hidden="false" customHeight="true" outlineLevel="0" collapsed="false">
      <c r="A4404" s="2" t="str">
        <f aca="false">HYPERLINK("https://www.fabsurplus.com/sdi_catalog/salesItemDetails.do?id=77210")</f>
        <v>https://www.fabsurplus.com/sdi_catalog/salesItemDetails.do?id=77210</v>
      </c>
      <c r="B4404" s="2" t="s">
        <v>12489</v>
      </c>
      <c r="C4404" s="2" t="s">
        <v>12490</v>
      </c>
      <c r="D4404" s="2" t="s">
        <v>12491</v>
      </c>
      <c r="E4404" s="2" t="s">
        <v>12492</v>
      </c>
      <c r="F4404" s="2" t="s">
        <v>16</v>
      </c>
      <c r="G4404" s="2" t="s">
        <v>97</v>
      </c>
      <c r="H4404" s="2" t="s">
        <v>4148</v>
      </c>
      <c r="I4404" s="3" t="n">
        <v>39814</v>
      </c>
      <c r="J4404" s="2" t="s">
        <v>19</v>
      </c>
      <c r="K4404" s="2" t="s">
        <v>20</v>
      </c>
      <c r="L4404" s="4" t="s">
        <v>12493</v>
      </c>
    </row>
    <row r="4405" customFormat="false" ht="15.65" hidden="false" customHeight="true" outlineLevel="0" collapsed="false">
      <c r="A4405" s="5" t="str">
        <f aca="false">HYPERLINK("https://www.fabsurplus.com/sdi_catalog/salesItemDetails.do?id=80175")</f>
        <v>https://www.fabsurplus.com/sdi_catalog/salesItemDetails.do?id=80175</v>
      </c>
      <c r="B4405" s="5" t="s">
        <v>12494</v>
      </c>
      <c r="C4405" s="5" t="s">
        <v>12495</v>
      </c>
      <c r="D4405" s="5" t="s">
        <v>12496</v>
      </c>
      <c r="E4405" s="5" t="s">
        <v>12497</v>
      </c>
      <c r="F4405" s="5" t="s">
        <v>16</v>
      </c>
      <c r="G4405" s="5" t="s">
        <v>97</v>
      </c>
      <c r="H4405" s="5" t="s">
        <v>32</v>
      </c>
      <c r="I4405" s="6" t="n">
        <v>40909</v>
      </c>
      <c r="J4405" s="5" t="s">
        <v>19</v>
      </c>
      <c r="K4405" s="5" t="s">
        <v>20</v>
      </c>
      <c r="L4405" s="7" t="s">
        <v>12498</v>
      </c>
    </row>
    <row r="4406" customFormat="false" ht="15.65" hidden="false" customHeight="true" outlineLevel="0" collapsed="false">
      <c r="A4406" s="2" t="str">
        <f aca="false">HYPERLINK("https://www.fabsurplus.com/sdi_catalog/salesItemDetails.do?id=101025")</f>
        <v>https://www.fabsurplus.com/sdi_catalog/salesItemDetails.do?id=101025</v>
      </c>
      <c r="B4406" s="2" t="s">
        <v>12499</v>
      </c>
      <c r="C4406" s="2" t="s">
        <v>12495</v>
      </c>
      <c r="D4406" s="2" t="s">
        <v>12500</v>
      </c>
      <c r="E4406" s="2" t="s">
        <v>12501</v>
      </c>
      <c r="F4406" s="2" t="s">
        <v>16</v>
      </c>
      <c r="G4406" s="2" t="s">
        <v>165</v>
      </c>
      <c r="H4406" s="2" t="s">
        <v>32</v>
      </c>
      <c r="I4406" s="3" t="n">
        <v>35216.9166666667</v>
      </c>
      <c r="J4406" s="2" t="s">
        <v>19</v>
      </c>
      <c r="K4406" s="2" t="s">
        <v>20</v>
      </c>
      <c r="L4406" s="2" t="s">
        <v>4652</v>
      </c>
    </row>
    <row r="4407" customFormat="false" ht="15.65" hidden="false" customHeight="true" outlineLevel="0" collapsed="false">
      <c r="A4407" s="5" t="str">
        <f aca="false">HYPERLINK("https://www.fabsurplus.com/sdi_catalog/salesItemDetails.do?id=101026")</f>
        <v>https://www.fabsurplus.com/sdi_catalog/salesItemDetails.do?id=101026</v>
      </c>
      <c r="B4407" s="5" t="s">
        <v>12502</v>
      </c>
      <c r="C4407" s="5" t="s">
        <v>12495</v>
      </c>
      <c r="D4407" s="5" t="s">
        <v>12500</v>
      </c>
      <c r="E4407" s="5" t="s">
        <v>12501</v>
      </c>
      <c r="F4407" s="5" t="s">
        <v>16</v>
      </c>
      <c r="G4407" s="5" t="s">
        <v>165</v>
      </c>
      <c r="H4407" s="5" t="s">
        <v>32</v>
      </c>
      <c r="I4407" s="6" t="n">
        <v>35216.9166666667</v>
      </c>
      <c r="J4407" s="5" t="s">
        <v>19</v>
      </c>
      <c r="K4407" s="5" t="s">
        <v>20</v>
      </c>
      <c r="L4407" s="5" t="s">
        <v>4652</v>
      </c>
    </row>
    <row r="4408" customFormat="false" ht="15.65" hidden="false" customHeight="true" outlineLevel="0" collapsed="false">
      <c r="A4408" s="2" t="str">
        <f aca="false">HYPERLINK("https://www.fabsurplus.com/sdi_catalog/salesItemDetails.do?id=101027")</f>
        <v>https://www.fabsurplus.com/sdi_catalog/salesItemDetails.do?id=101027</v>
      </c>
      <c r="B4408" s="2" t="s">
        <v>12503</v>
      </c>
      <c r="C4408" s="2" t="s">
        <v>12495</v>
      </c>
      <c r="D4408" s="2" t="s">
        <v>12500</v>
      </c>
      <c r="E4408" s="2" t="s">
        <v>12501</v>
      </c>
      <c r="F4408" s="2" t="s">
        <v>16</v>
      </c>
      <c r="G4408" s="2" t="s">
        <v>165</v>
      </c>
      <c r="H4408" s="2" t="s">
        <v>32</v>
      </c>
      <c r="I4408" s="3" t="n">
        <v>35216.9166666667</v>
      </c>
      <c r="J4408" s="2" t="s">
        <v>19</v>
      </c>
      <c r="K4408" s="2" t="s">
        <v>20</v>
      </c>
      <c r="L4408" s="2" t="s">
        <v>4652</v>
      </c>
    </row>
    <row r="4409" customFormat="false" ht="15.65" hidden="false" customHeight="true" outlineLevel="0" collapsed="false">
      <c r="A4409" s="5" t="str">
        <f aca="false">HYPERLINK("https://www.fabsurplus.com/sdi_catalog/salesItemDetails.do?id=84408")</f>
        <v>https://www.fabsurplus.com/sdi_catalog/salesItemDetails.do?id=84408</v>
      </c>
      <c r="B4409" s="5" t="s">
        <v>12504</v>
      </c>
      <c r="C4409" s="5" t="s">
        <v>12495</v>
      </c>
      <c r="D4409" s="5" t="s">
        <v>12505</v>
      </c>
      <c r="E4409" s="5" t="s">
        <v>12506</v>
      </c>
      <c r="F4409" s="5" t="s">
        <v>16</v>
      </c>
      <c r="G4409" s="5" t="s">
        <v>104</v>
      </c>
      <c r="H4409" s="5" t="s">
        <v>32</v>
      </c>
      <c r="I4409" s="5"/>
      <c r="J4409" s="5" t="s">
        <v>19</v>
      </c>
      <c r="K4409" s="5" t="s">
        <v>20</v>
      </c>
      <c r="L4409" s="7" t="s">
        <v>12507</v>
      </c>
    </row>
    <row r="4410" customFormat="false" ht="15.65" hidden="false" customHeight="true" outlineLevel="0" collapsed="false">
      <c r="A4410" s="2" t="str">
        <f aca="false">HYPERLINK("https://www.fabsurplus.com/sdi_catalog/salesItemDetails.do?id=107011")</f>
        <v>https://www.fabsurplus.com/sdi_catalog/salesItemDetails.do?id=107011</v>
      </c>
      <c r="B4410" s="2" t="s">
        <v>12508</v>
      </c>
      <c r="C4410" s="2" t="s">
        <v>12509</v>
      </c>
      <c r="D4410" s="2" t="s">
        <v>12510</v>
      </c>
      <c r="E4410" s="2" t="s">
        <v>12511</v>
      </c>
      <c r="F4410" s="2" t="s">
        <v>16</v>
      </c>
      <c r="G4410" s="2" t="s">
        <v>1293</v>
      </c>
      <c r="H4410" s="2" t="s">
        <v>453</v>
      </c>
      <c r="I4410" s="3" t="n">
        <v>36678</v>
      </c>
      <c r="J4410" s="2" t="s">
        <v>19</v>
      </c>
      <c r="K4410" s="2" t="s">
        <v>20</v>
      </c>
      <c r="L4410" s="4" t="s">
        <v>12512</v>
      </c>
    </row>
    <row r="4411" customFormat="false" ht="15.65" hidden="false" customHeight="true" outlineLevel="0" collapsed="false">
      <c r="A4411" s="5" t="str">
        <f aca="false">HYPERLINK("https://www.fabsurplus.com/sdi_catalog/salesItemDetails.do?id=106007")</f>
        <v>https://www.fabsurplus.com/sdi_catalog/salesItemDetails.do?id=106007</v>
      </c>
      <c r="B4411" s="5" t="s">
        <v>12513</v>
      </c>
      <c r="C4411" s="5" t="s">
        <v>12514</v>
      </c>
      <c r="D4411" s="5" t="s">
        <v>12515</v>
      </c>
      <c r="E4411" s="5" t="s">
        <v>12516</v>
      </c>
      <c r="F4411" s="5" t="s">
        <v>16</v>
      </c>
      <c r="G4411" s="5" t="s">
        <v>6309</v>
      </c>
      <c r="H4411" s="5" t="s">
        <v>32</v>
      </c>
      <c r="I4411" s="6" t="n">
        <v>40422</v>
      </c>
      <c r="J4411" s="5" t="s">
        <v>19</v>
      </c>
      <c r="K4411" s="5" t="s">
        <v>20</v>
      </c>
      <c r="L4411" s="7" t="s">
        <v>12517</v>
      </c>
    </row>
    <row r="4412" customFormat="false" ht="15.65" hidden="false" customHeight="true" outlineLevel="0" collapsed="false">
      <c r="A4412" s="2" t="str">
        <f aca="false">HYPERLINK("https://www.fabsurplus.com/sdi_catalog/salesItemDetails.do?id=108331")</f>
        <v>https://www.fabsurplus.com/sdi_catalog/salesItemDetails.do?id=108331</v>
      </c>
      <c r="B4412" s="2" t="s">
        <v>12518</v>
      </c>
      <c r="C4412" s="2" t="s">
        <v>12509</v>
      </c>
      <c r="D4412" s="2" t="s">
        <v>12519</v>
      </c>
      <c r="E4412" s="2" t="s">
        <v>12520</v>
      </c>
      <c r="F4412" s="2" t="s">
        <v>16</v>
      </c>
      <c r="G4412" s="2" t="s">
        <v>1803</v>
      </c>
      <c r="H4412" s="2" t="s">
        <v>32</v>
      </c>
      <c r="I4412" s="2"/>
      <c r="J4412" s="2" t="s">
        <v>19</v>
      </c>
      <c r="K4412" s="2" t="s">
        <v>20</v>
      </c>
      <c r="L4412" s="4" t="s">
        <v>12521</v>
      </c>
    </row>
    <row r="4413" customFormat="false" ht="15.65" hidden="false" customHeight="true" outlineLevel="0" collapsed="false">
      <c r="A4413" s="5" t="str">
        <f aca="false">HYPERLINK("https://www.fabsurplus.com/sdi_catalog/salesItemDetails.do?id=109116")</f>
        <v>https://www.fabsurplus.com/sdi_catalog/salesItemDetails.do?id=109116</v>
      </c>
      <c r="B4413" s="5" t="s">
        <v>12522</v>
      </c>
      <c r="C4413" s="5" t="s">
        <v>12509</v>
      </c>
      <c r="D4413" s="5" t="s">
        <v>12523</v>
      </c>
      <c r="E4413" s="5" t="s">
        <v>12524</v>
      </c>
      <c r="F4413" s="5" t="s">
        <v>16</v>
      </c>
      <c r="G4413" s="5" t="s">
        <v>61</v>
      </c>
      <c r="H4413" s="5" t="s">
        <v>18</v>
      </c>
      <c r="I4413" s="6" t="n">
        <v>40330</v>
      </c>
      <c r="J4413" s="5" t="s">
        <v>19</v>
      </c>
      <c r="K4413" s="5" t="s">
        <v>20</v>
      </c>
      <c r="L4413" s="7" t="s">
        <v>12525</v>
      </c>
    </row>
    <row r="4414" customFormat="false" ht="15.65" hidden="false" customHeight="true" outlineLevel="0" collapsed="false">
      <c r="A4414" s="2" t="str">
        <f aca="false">HYPERLINK("https://www.fabsurplus.com/sdi_catalog/salesItemDetails.do?id=108893")</f>
        <v>https://www.fabsurplus.com/sdi_catalog/salesItemDetails.do?id=108893</v>
      </c>
      <c r="B4414" s="2" t="s">
        <v>12526</v>
      </c>
      <c r="C4414" s="2" t="s">
        <v>12514</v>
      </c>
      <c r="D4414" s="2" t="s">
        <v>12527</v>
      </c>
      <c r="E4414" s="2" t="s">
        <v>12528</v>
      </c>
      <c r="F4414" s="2" t="s">
        <v>16</v>
      </c>
      <c r="G4414" s="2" t="s">
        <v>1579</v>
      </c>
      <c r="H4414" s="2" t="s">
        <v>18</v>
      </c>
      <c r="I4414" s="2"/>
      <c r="J4414" s="2" t="s">
        <v>19</v>
      </c>
      <c r="K4414" s="2" t="s">
        <v>2891</v>
      </c>
      <c r="L4414" s="4" t="s">
        <v>12529</v>
      </c>
    </row>
    <row r="4415" customFormat="false" ht="15.65" hidden="false" customHeight="true" outlineLevel="0" collapsed="false">
      <c r="A4415" s="5" t="str">
        <f aca="false">HYPERLINK("https://www.fabsurplus.com/sdi_catalog/salesItemDetails.do?id=108894")</f>
        <v>https://www.fabsurplus.com/sdi_catalog/salesItemDetails.do?id=108894</v>
      </c>
      <c r="B4415" s="5" t="s">
        <v>12530</v>
      </c>
      <c r="C4415" s="5" t="s">
        <v>12514</v>
      </c>
      <c r="D4415" s="5" t="s">
        <v>12531</v>
      </c>
      <c r="E4415" s="5" t="s">
        <v>7220</v>
      </c>
      <c r="F4415" s="5" t="s">
        <v>16</v>
      </c>
      <c r="G4415" s="5"/>
      <c r="H4415" s="5"/>
      <c r="I4415" s="5"/>
      <c r="J4415" s="5" t="s">
        <v>42</v>
      </c>
      <c r="K4415" s="5"/>
      <c r="L4415" s="5" t="s">
        <v>131</v>
      </c>
    </row>
    <row r="4416" customFormat="false" ht="15.65" hidden="false" customHeight="true" outlineLevel="0" collapsed="false">
      <c r="A4416" s="2" t="str">
        <f aca="false">HYPERLINK("https://www.fabsurplus.com/sdi_catalog/salesItemDetails.do?id=108916")</f>
        <v>https://www.fabsurplus.com/sdi_catalog/salesItemDetails.do?id=108916</v>
      </c>
      <c r="B4416" s="2" t="s">
        <v>12532</v>
      </c>
      <c r="C4416" s="2" t="s">
        <v>12509</v>
      </c>
      <c r="D4416" s="2" t="s">
        <v>12533</v>
      </c>
      <c r="E4416" s="2" t="s">
        <v>12534</v>
      </c>
      <c r="F4416" s="2" t="s">
        <v>16</v>
      </c>
      <c r="G4416" s="2" t="s">
        <v>1287</v>
      </c>
      <c r="H4416" s="2" t="s">
        <v>32</v>
      </c>
      <c r="I4416" s="3" t="n">
        <v>38838</v>
      </c>
      <c r="J4416" s="2" t="s">
        <v>19</v>
      </c>
      <c r="K4416" s="2" t="s">
        <v>20</v>
      </c>
      <c r="L4416" s="4" t="s">
        <v>12535</v>
      </c>
    </row>
    <row r="4417" customFormat="false" ht="15.65" hidden="false" customHeight="true" outlineLevel="0" collapsed="false">
      <c r="A4417" s="5" t="str">
        <f aca="false">HYPERLINK("https://www.fabsurplus.com/sdi_catalog/salesItemDetails.do?id=108781")</f>
        <v>https://www.fabsurplus.com/sdi_catalog/salesItemDetails.do?id=108781</v>
      </c>
      <c r="B4417" s="5" t="s">
        <v>12536</v>
      </c>
      <c r="C4417" s="5" t="s">
        <v>12514</v>
      </c>
      <c r="D4417" s="5" t="s">
        <v>12537</v>
      </c>
      <c r="E4417" s="5" t="s">
        <v>12538</v>
      </c>
      <c r="F4417" s="5" t="s">
        <v>16</v>
      </c>
      <c r="G4417" s="5"/>
      <c r="H4417" s="5"/>
      <c r="I4417" s="5"/>
      <c r="J4417" s="5" t="s">
        <v>19</v>
      </c>
      <c r="K4417" s="5"/>
      <c r="L4417" s="5"/>
    </row>
    <row r="4418" customFormat="false" ht="15.65" hidden="false" customHeight="true" outlineLevel="0" collapsed="false">
      <c r="A4418" s="2" t="str">
        <f aca="false">HYPERLINK("https://www.fabsurplus.com/sdi_catalog/salesItemDetails.do?id=109600")</f>
        <v>https://www.fabsurplus.com/sdi_catalog/salesItemDetails.do?id=109600</v>
      </c>
      <c r="B4418" s="2" t="s">
        <v>12539</v>
      </c>
      <c r="C4418" s="2" t="s">
        <v>12540</v>
      </c>
      <c r="D4418" s="2" t="s">
        <v>10392</v>
      </c>
      <c r="E4418" s="2" t="s">
        <v>12541</v>
      </c>
      <c r="F4418" s="2" t="s">
        <v>16</v>
      </c>
      <c r="G4418" s="2"/>
      <c r="H4418" s="2"/>
      <c r="I4418" s="2"/>
      <c r="J4418" s="2" t="s">
        <v>42</v>
      </c>
      <c r="K4418" s="2"/>
      <c r="L4418" s="2" t="s">
        <v>7393</v>
      </c>
    </row>
    <row r="4419" customFormat="false" ht="15.65" hidden="false" customHeight="true" outlineLevel="0" collapsed="false">
      <c r="A4419" s="5" t="str">
        <f aca="false">HYPERLINK("https://www.fabsurplus.com/sdi_catalog/salesItemDetails.do?id=106563")</f>
        <v>https://www.fabsurplus.com/sdi_catalog/salesItemDetails.do?id=106563</v>
      </c>
      <c r="B4419" s="5" t="s">
        <v>12542</v>
      </c>
      <c r="C4419" s="5" t="s">
        <v>12543</v>
      </c>
      <c r="D4419" s="5" t="s">
        <v>12544</v>
      </c>
      <c r="E4419" s="5" t="s">
        <v>12545</v>
      </c>
      <c r="F4419" s="5" t="s">
        <v>16</v>
      </c>
      <c r="G4419" s="5" t="s">
        <v>2858</v>
      </c>
      <c r="H4419" s="5" t="s">
        <v>32</v>
      </c>
      <c r="I4419" s="5"/>
      <c r="J4419" s="5" t="s">
        <v>19</v>
      </c>
      <c r="K4419" s="5" t="s">
        <v>20</v>
      </c>
      <c r="L4419" s="5" t="s">
        <v>4017</v>
      </c>
    </row>
    <row r="4420" customFormat="false" ht="15.65" hidden="false" customHeight="true" outlineLevel="0" collapsed="false">
      <c r="A4420" s="2" t="str">
        <f aca="false">HYPERLINK("https://www.fabsurplus.com/sdi_catalog/salesItemDetails.do?id=83907")</f>
        <v>https://www.fabsurplus.com/sdi_catalog/salesItemDetails.do?id=83907</v>
      </c>
      <c r="B4420" s="2" t="s">
        <v>12546</v>
      </c>
      <c r="C4420" s="2" t="s">
        <v>12547</v>
      </c>
      <c r="D4420" s="2" t="s">
        <v>12548</v>
      </c>
      <c r="E4420" s="2" t="s">
        <v>9129</v>
      </c>
      <c r="F4420" s="2" t="s">
        <v>16</v>
      </c>
      <c r="G4420" s="2"/>
      <c r="H4420" s="2" t="s">
        <v>98</v>
      </c>
      <c r="I4420" s="3" t="n">
        <v>31809</v>
      </c>
      <c r="J4420" s="2" t="s">
        <v>19</v>
      </c>
      <c r="K4420" s="2" t="s">
        <v>20</v>
      </c>
      <c r="L4420" s="4" t="s">
        <v>12549</v>
      </c>
    </row>
    <row r="4421" customFormat="false" ht="15.65" hidden="false" customHeight="true" outlineLevel="0" collapsed="false">
      <c r="A4421" s="5" t="str">
        <f aca="false">HYPERLINK("https://www.fabsurplus.com/sdi_catalog/salesItemDetails.do?id=103383")</f>
        <v>https://www.fabsurplus.com/sdi_catalog/salesItemDetails.do?id=103383</v>
      </c>
      <c r="B4421" s="5" t="s">
        <v>12550</v>
      </c>
      <c r="C4421" s="5" t="s">
        <v>12551</v>
      </c>
      <c r="D4421" s="5" t="s">
        <v>12552</v>
      </c>
      <c r="E4421" s="5" t="s">
        <v>12553</v>
      </c>
      <c r="F4421" s="5" t="s">
        <v>108</v>
      </c>
      <c r="G4421" s="5" t="s">
        <v>104</v>
      </c>
      <c r="H4421" s="5" t="s">
        <v>18</v>
      </c>
      <c r="I4421" s="6" t="n">
        <v>37011.9166666667</v>
      </c>
      <c r="J4421" s="5" t="s">
        <v>19</v>
      </c>
      <c r="K4421" s="5" t="s">
        <v>20</v>
      </c>
      <c r="L4421" s="7" t="s">
        <v>12554</v>
      </c>
    </row>
    <row r="4422" customFormat="false" ht="15.65" hidden="false" customHeight="true" outlineLevel="0" collapsed="false">
      <c r="A4422" s="2" t="str">
        <f aca="false">HYPERLINK("https://www.fabsurplus.com/sdi_catalog/salesItemDetails.do?id=110592")</f>
        <v>https://www.fabsurplus.com/sdi_catalog/salesItemDetails.do?id=110592</v>
      </c>
      <c r="B4422" s="2" t="s">
        <v>12555</v>
      </c>
      <c r="C4422" s="2" t="s">
        <v>766</v>
      </c>
      <c r="D4422" s="2" t="s">
        <v>766</v>
      </c>
      <c r="E4422" s="2" t="s">
        <v>170</v>
      </c>
      <c r="F4422" s="2" t="s">
        <v>16</v>
      </c>
      <c r="G4422" s="2" t="s">
        <v>165</v>
      </c>
      <c r="H4422" s="2"/>
      <c r="I4422" s="2"/>
      <c r="J4422" s="2" t="s">
        <v>42</v>
      </c>
      <c r="K4422" s="2"/>
      <c r="L4422" s="2" t="s">
        <v>12556</v>
      </c>
    </row>
    <row r="4423" customFormat="false" ht="15.65" hidden="false" customHeight="true" outlineLevel="0" collapsed="false">
      <c r="A4423" s="5" t="str">
        <f aca="false">HYPERLINK("https://www.fabsurplus.com/sdi_catalog/salesItemDetails.do?id=107010")</f>
        <v>https://www.fabsurplus.com/sdi_catalog/salesItemDetails.do?id=107010</v>
      </c>
      <c r="B4423" s="5" t="s">
        <v>12557</v>
      </c>
      <c r="C4423" s="5" t="s">
        <v>766</v>
      </c>
      <c r="D4423" s="5" t="s">
        <v>12558</v>
      </c>
      <c r="E4423" s="5" t="s">
        <v>12559</v>
      </c>
      <c r="F4423" s="5" t="s">
        <v>16</v>
      </c>
      <c r="G4423" s="5" t="s">
        <v>1293</v>
      </c>
      <c r="H4423" s="5" t="s">
        <v>32</v>
      </c>
      <c r="I4423" s="6" t="n">
        <v>35490</v>
      </c>
      <c r="J4423" s="5" t="s">
        <v>19</v>
      </c>
      <c r="K4423" s="5" t="s">
        <v>20</v>
      </c>
      <c r="L4423" s="7" t="s">
        <v>12560</v>
      </c>
    </row>
    <row r="4424" customFormat="false" ht="15.65" hidden="false" customHeight="true" outlineLevel="0" collapsed="false">
      <c r="A4424" s="2" t="str">
        <f aca="false">HYPERLINK("https://www.fabsurplus.com/sdi_catalog/salesItemDetails.do?id=15619")</f>
        <v>https://www.fabsurplus.com/sdi_catalog/salesItemDetails.do?id=15619</v>
      </c>
      <c r="B4424" s="2" t="s">
        <v>12561</v>
      </c>
      <c r="C4424" s="2" t="s">
        <v>12562</v>
      </c>
      <c r="D4424" s="2" t="s">
        <v>12563</v>
      </c>
      <c r="E4424" s="2" t="s">
        <v>12564</v>
      </c>
      <c r="F4424" s="2" t="s">
        <v>151</v>
      </c>
      <c r="G4424" s="2" t="s">
        <v>6309</v>
      </c>
      <c r="H4424" s="2" t="s">
        <v>18</v>
      </c>
      <c r="I4424" s="3" t="n">
        <v>31503</v>
      </c>
      <c r="J4424" s="2" t="s">
        <v>19</v>
      </c>
      <c r="K4424" s="2" t="s">
        <v>20</v>
      </c>
      <c r="L4424" s="4" t="s">
        <v>12565</v>
      </c>
    </row>
    <row r="4425" customFormat="false" ht="15.65" hidden="false" customHeight="true" outlineLevel="0" collapsed="false">
      <c r="A4425" s="5" t="str">
        <f aca="false">HYPERLINK("https://www.fabsurplus.com/sdi_catalog/salesItemDetails.do?id=107028")</f>
        <v>https://www.fabsurplus.com/sdi_catalog/salesItemDetails.do?id=107028</v>
      </c>
      <c r="B4425" s="5" t="s">
        <v>12566</v>
      </c>
      <c r="C4425" s="5" t="s">
        <v>766</v>
      </c>
      <c r="D4425" s="5" t="s">
        <v>12558</v>
      </c>
      <c r="E4425" s="5" t="s">
        <v>12567</v>
      </c>
      <c r="F4425" s="5" t="s">
        <v>16</v>
      </c>
      <c r="G4425" s="5" t="s">
        <v>1293</v>
      </c>
      <c r="H4425" s="5" t="s">
        <v>32</v>
      </c>
      <c r="I4425" s="6" t="n">
        <v>34759</v>
      </c>
      <c r="J4425" s="5" t="s">
        <v>19</v>
      </c>
      <c r="K4425" s="5" t="s">
        <v>20</v>
      </c>
      <c r="L4425" s="7" t="s">
        <v>12568</v>
      </c>
    </row>
    <row r="4426" customFormat="false" ht="15.65" hidden="false" customHeight="true" outlineLevel="0" collapsed="false">
      <c r="A4426" s="2" t="str">
        <f aca="false">HYPERLINK("https://www.fabsurplus.com/sdi_catalog/salesItemDetails.do?id=108973")</f>
        <v>https://www.fabsurplus.com/sdi_catalog/salesItemDetails.do?id=108973</v>
      </c>
      <c r="B4426" s="2" t="s">
        <v>12569</v>
      </c>
      <c r="C4426" s="2" t="s">
        <v>766</v>
      </c>
      <c r="D4426" s="2" t="s">
        <v>12570</v>
      </c>
      <c r="E4426" s="2" t="s">
        <v>10527</v>
      </c>
      <c r="F4426" s="2" t="s">
        <v>16</v>
      </c>
      <c r="G4426" s="2" t="s">
        <v>10528</v>
      </c>
      <c r="H4426" s="2" t="s">
        <v>32</v>
      </c>
      <c r="I4426" s="3" t="n">
        <v>36192</v>
      </c>
      <c r="J4426" s="2" t="s">
        <v>19</v>
      </c>
      <c r="K4426" s="2" t="s">
        <v>20</v>
      </c>
      <c r="L4426" s="4" t="s">
        <v>12571</v>
      </c>
    </row>
    <row r="4427" customFormat="false" ht="15.65" hidden="false" customHeight="true" outlineLevel="0" collapsed="false">
      <c r="A4427" s="5" t="str">
        <f aca="false">HYPERLINK("https://www.fabsurplus.com/sdi_catalog/salesItemDetails.do?id=108215")</f>
        <v>https://www.fabsurplus.com/sdi_catalog/salesItemDetails.do?id=108215</v>
      </c>
      <c r="B4427" s="5" t="s">
        <v>12572</v>
      </c>
      <c r="C4427" s="5" t="s">
        <v>12562</v>
      </c>
      <c r="D4427" s="5" t="s">
        <v>12573</v>
      </c>
      <c r="E4427" s="5" t="s">
        <v>12574</v>
      </c>
      <c r="F4427" s="5" t="s">
        <v>16</v>
      </c>
      <c r="G4427" s="5"/>
      <c r="H4427" s="5"/>
      <c r="I4427" s="5"/>
      <c r="J4427" s="5" t="s">
        <v>19</v>
      </c>
      <c r="K4427" s="5"/>
      <c r="L4427" s="5" t="s">
        <v>1480</v>
      </c>
    </row>
    <row r="4428" customFormat="false" ht="15.65" hidden="false" customHeight="true" outlineLevel="0" collapsed="false">
      <c r="A4428" s="2" t="str">
        <f aca="false">HYPERLINK("https://www.fabsurplus.com/sdi_catalog/salesItemDetails.do?id=83826")</f>
        <v>https://www.fabsurplus.com/sdi_catalog/salesItemDetails.do?id=83826</v>
      </c>
      <c r="B4428" s="2" t="s">
        <v>12575</v>
      </c>
      <c r="C4428" s="2" t="s">
        <v>12576</v>
      </c>
      <c r="D4428" s="2" t="s">
        <v>12577</v>
      </c>
      <c r="E4428" s="2" t="s">
        <v>9562</v>
      </c>
      <c r="F4428" s="2" t="s">
        <v>16</v>
      </c>
      <c r="G4428" s="2" t="s">
        <v>165</v>
      </c>
      <c r="H4428" s="2" t="s">
        <v>1969</v>
      </c>
      <c r="I4428" s="2"/>
      <c r="J4428" s="2" t="s">
        <v>19</v>
      </c>
      <c r="K4428" s="2" t="s">
        <v>20</v>
      </c>
      <c r="L4428" s="4" t="s">
        <v>12578</v>
      </c>
    </row>
    <row r="4429" customFormat="false" ht="15.65" hidden="false" customHeight="true" outlineLevel="0" collapsed="false">
      <c r="A4429" s="5" t="str">
        <f aca="false">HYPERLINK("https://www.fabsurplus.com/sdi_catalog/salesItemDetails.do?id=69817")</f>
        <v>https://www.fabsurplus.com/sdi_catalog/salesItemDetails.do?id=69817</v>
      </c>
      <c r="B4429" s="5" t="s">
        <v>12579</v>
      </c>
      <c r="C4429" s="5" t="s">
        <v>12576</v>
      </c>
      <c r="D4429" s="5" t="s">
        <v>12580</v>
      </c>
      <c r="E4429" s="5" t="s">
        <v>12581</v>
      </c>
      <c r="F4429" s="5" t="s">
        <v>16</v>
      </c>
      <c r="G4429" s="5" t="s">
        <v>104</v>
      </c>
      <c r="H4429" s="5" t="s">
        <v>98</v>
      </c>
      <c r="I4429" s="5"/>
      <c r="J4429" s="5" t="s">
        <v>19</v>
      </c>
      <c r="K4429" s="5"/>
      <c r="L4429" s="5" t="s">
        <v>12582</v>
      </c>
    </row>
    <row r="4430" customFormat="false" ht="15.65" hidden="false" customHeight="true" outlineLevel="0" collapsed="false">
      <c r="A4430" s="2" t="str">
        <f aca="false">HYPERLINK("https://www.fabsurplus.com/sdi_catalog/salesItemDetails.do?id=103382")</f>
        <v>https://www.fabsurplus.com/sdi_catalog/salesItemDetails.do?id=103382</v>
      </c>
      <c r="B4430" s="2" t="s">
        <v>12583</v>
      </c>
      <c r="C4430" s="2" t="s">
        <v>12584</v>
      </c>
      <c r="D4430" s="2" t="s">
        <v>12585</v>
      </c>
      <c r="E4430" s="2" t="s">
        <v>12586</v>
      </c>
      <c r="F4430" s="2" t="s">
        <v>16</v>
      </c>
      <c r="G4430" s="2" t="s">
        <v>104</v>
      </c>
      <c r="H4430" s="2" t="s">
        <v>32</v>
      </c>
      <c r="I4430" s="3" t="n">
        <v>34820</v>
      </c>
      <c r="J4430" s="2" t="s">
        <v>19</v>
      </c>
      <c r="K4430" s="2" t="s">
        <v>20</v>
      </c>
      <c r="L4430" s="4" t="s">
        <v>12587</v>
      </c>
    </row>
    <row r="4431" customFormat="false" ht="15.65" hidden="false" customHeight="true" outlineLevel="0" collapsed="false">
      <c r="A4431" s="5" t="str">
        <f aca="false">HYPERLINK("https://www.fabsurplus.com/sdi_catalog/salesItemDetails.do?id=108611")</f>
        <v>https://www.fabsurplus.com/sdi_catalog/salesItemDetails.do?id=108611</v>
      </c>
      <c r="B4431" s="5" t="s">
        <v>12588</v>
      </c>
      <c r="C4431" s="5" t="s">
        <v>12589</v>
      </c>
      <c r="D4431" s="5" t="s">
        <v>12590</v>
      </c>
      <c r="E4431" s="5" t="s">
        <v>12591</v>
      </c>
      <c r="F4431" s="5" t="s">
        <v>16</v>
      </c>
      <c r="G4431" s="5" t="s">
        <v>38</v>
      </c>
      <c r="H4431" s="5" t="s">
        <v>18</v>
      </c>
      <c r="I4431" s="6" t="n">
        <v>38473</v>
      </c>
      <c r="J4431" s="5" t="s">
        <v>19</v>
      </c>
      <c r="K4431" s="5" t="s">
        <v>20</v>
      </c>
      <c r="L4431" s="5"/>
    </row>
    <row r="4432" customFormat="false" ht="15.65" hidden="false" customHeight="true" outlineLevel="0" collapsed="false">
      <c r="A4432" s="2" t="str">
        <f aca="false">HYPERLINK("https://www.fabsurplus.com/sdi_catalog/salesItemDetails.do?id=108612")</f>
        <v>https://www.fabsurplus.com/sdi_catalog/salesItemDetails.do?id=108612</v>
      </c>
      <c r="B4432" s="2" t="s">
        <v>12592</v>
      </c>
      <c r="C4432" s="2" t="s">
        <v>12589</v>
      </c>
      <c r="D4432" s="2" t="s">
        <v>12593</v>
      </c>
      <c r="E4432" s="2" t="s">
        <v>12591</v>
      </c>
      <c r="F4432" s="2" t="s">
        <v>16</v>
      </c>
      <c r="G4432" s="2" t="s">
        <v>38</v>
      </c>
      <c r="H4432" s="2" t="s">
        <v>18</v>
      </c>
      <c r="I4432" s="3" t="n">
        <v>38473</v>
      </c>
      <c r="J4432" s="2" t="s">
        <v>19</v>
      </c>
      <c r="K4432" s="2" t="s">
        <v>20</v>
      </c>
      <c r="L4432" s="2"/>
    </row>
    <row r="4433" customFormat="false" ht="15.65" hidden="false" customHeight="true" outlineLevel="0" collapsed="false">
      <c r="A4433" s="5" t="str">
        <f aca="false">HYPERLINK("https://www.fabsurplus.com/sdi_catalog/salesItemDetails.do?id=108613")</f>
        <v>https://www.fabsurplus.com/sdi_catalog/salesItemDetails.do?id=108613</v>
      </c>
      <c r="B4433" s="5" t="s">
        <v>12594</v>
      </c>
      <c r="C4433" s="5" t="s">
        <v>12589</v>
      </c>
      <c r="D4433" s="5" t="s">
        <v>12593</v>
      </c>
      <c r="E4433" s="5" t="s">
        <v>12591</v>
      </c>
      <c r="F4433" s="5" t="s">
        <v>16</v>
      </c>
      <c r="G4433" s="5" t="s">
        <v>38</v>
      </c>
      <c r="H4433" s="5" t="s">
        <v>18</v>
      </c>
      <c r="I4433" s="6" t="n">
        <v>39203</v>
      </c>
      <c r="J4433" s="5" t="s">
        <v>19</v>
      </c>
      <c r="K4433" s="5" t="s">
        <v>20</v>
      </c>
      <c r="L4433" s="5"/>
    </row>
    <row r="4434" customFormat="false" ht="15.65" hidden="false" customHeight="true" outlineLevel="0" collapsed="false">
      <c r="A4434" s="2" t="str">
        <f aca="false">HYPERLINK("https://www.fabsurplus.com/sdi_catalog/salesItemDetails.do?id=106755")</f>
        <v>https://www.fabsurplus.com/sdi_catalog/salesItemDetails.do?id=106755</v>
      </c>
      <c r="B4434" s="2" t="s">
        <v>12595</v>
      </c>
      <c r="C4434" s="2" t="s">
        <v>12596</v>
      </c>
      <c r="D4434" s="2" t="s">
        <v>12597</v>
      </c>
      <c r="E4434" s="2" t="s">
        <v>12598</v>
      </c>
      <c r="F4434" s="2" t="s">
        <v>16</v>
      </c>
      <c r="G4434" s="2" t="s">
        <v>12599</v>
      </c>
      <c r="H4434" s="2" t="s">
        <v>18</v>
      </c>
      <c r="I4434" s="3" t="n">
        <v>38504</v>
      </c>
      <c r="J4434" s="2" t="s">
        <v>19</v>
      </c>
      <c r="K4434" s="2" t="s">
        <v>20</v>
      </c>
      <c r="L4434" s="4" t="s">
        <v>12600</v>
      </c>
    </row>
    <row r="4435" customFormat="false" ht="15.65" hidden="false" customHeight="true" outlineLevel="0" collapsed="false">
      <c r="A4435" s="5" t="str">
        <f aca="false">HYPERLINK("https://www.fabsurplus.com/sdi_catalog/salesItemDetails.do?id=84233")</f>
        <v>https://www.fabsurplus.com/sdi_catalog/salesItemDetails.do?id=84233</v>
      </c>
      <c r="B4435" s="5" t="s">
        <v>12601</v>
      </c>
      <c r="C4435" s="5" t="s">
        <v>12602</v>
      </c>
      <c r="D4435" s="5" t="s">
        <v>12603</v>
      </c>
      <c r="E4435" s="5" t="s">
        <v>12604</v>
      </c>
      <c r="F4435" s="5" t="s">
        <v>16</v>
      </c>
      <c r="G4435" s="5" t="s">
        <v>104</v>
      </c>
      <c r="H4435" s="5" t="s">
        <v>32</v>
      </c>
      <c r="I4435" s="5"/>
      <c r="J4435" s="5" t="s">
        <v>19</v>
      </c>
      <c r="K4435" s="5" t="s">
        <v>20</v>
      </c>
      <c r="L4435" s="7" t="s">
        <v>12605</v>
      </c>
    </row>
    <row r="4436" customFormat="false" ht="15.65" hidden="false" customHeight="true" outlineLevel="0" collapsed="false">
      <c r="A4436" s="2" t="str">
        <f aca="false">HYPERLINK("https://www.fabsurplus.com/sdi_catalog/salesItemDetails.do?id=108895")</f>
        <v>https://www.fabsurplus.com/sdi_catalog/salesItemDetails.do?id=108895</v>
      </c>
      <c r="B4436" s="2" t="s">
        <v>12606</v>
      </c>
      <c r="C4436" s="2" t="s">
        <v>12607</v>
      </c>
      <c r="D4436" s="2" t="s">
        <v>12485</v>
      </c>
      <c r="E4436" s="2" t="s">
        <v>12608</v>
      </c>
      <c r="F4436" s="2" t="s">
        <v>16</v>
      </c>
      <c r="G4436" s="2" t="s">
        <v>165</v>
      </c>
      <c r="H4436" s="2"/>
      <c r="I4436" s="2"/>
      <c r="J4436" s="2" t="s">
        <v>42</v>
      </c>
      <c r="K4436" s="2"/>
      <c r="L4436" s="2" t="s">
        <v>131</v>
      </c>
    </row>
    <row r="4437" customFormat="false" ht="15.65" hidden="false" customHeight="true" outlineLevel="0" collapsed="false">
      <c r="A4437" s="5" t="str">
        <f aca="false">HYPERLINK("https://www.fabsurplus.com/sdi_catalog/salesItemDetails.do?id=108309")</f>
        <v>https://www.fabsurplus.com/sdi_catalog/salesItemDetails.do?id=108309</v>
      </c>
      <c r="B4437" s="5" t="s">
        <v>12609</v>
      </c>
      <c r="C4437" s="5" t="s">
        <v>12610</v>
      </c>
      <c r="D4437" s="5" t="s">
        <v>12611</v>
      </c>
      <c r="E4437" s="5" t="s">
        <v>12612</v>
      </c>
      <c r="F4437" s="5" t="s">
        <v>16</v>
      </c>
      <c r="G4437" s="5"/>
      <c r="H4437" s="5"/>
      <c r="I4437" s="6" t="n">
        <v>38504</v>
      </c>
      <c r="J4437" s="5" t="s">
        <v>19</v>
      </c>
      <c r="K4437" s="5"/>
      <c r="L4437" s="5"/>
    </row>
    <row r="4438" customFormat="false" ht="15.65" hidden="false" customHeight="true" outlineLevel="0" collapsed="false">
      <c r="A4438" s="2" t="str">
        <f aca="false">HYPERLINK("https://www.fabsurplus.com/sdi_catalog/salesItemDetails.do?id=108310")</f>
        <v>https://www.fabsurplus.com/sdi_catalog/salesItemDetails.do?id=108310</v>
      </c>
      <c r="B4438" s="2" t="s">
        <v>12613</v>
      </c>
      <c r="C4438" s="2" t="s">
        <v>12610</v>
      </c>
      <c r="D4438" s="2" t="s">
        <v>12611</v>
      </c>
      <c r="E4438" s="2" t="s">
        <v>12612</v>
      </c>
      <c r="F4438" s="2" t="s">
        <v>16</v>
      </c>
      <c r="G4438" s="2"/>
      <c r="H4438" s="2"/>
      <c r="I4438" s="3" t="n">
        <v>38869</v>
      </c>
      <c r="J4438" s="2" t="s">
        <v>19</v>
      </c>
      <c r="K4438" s="2"/>
      <c r="L4438" s="2"/>
    </row>
    <row r="4439" customFormat="false" ht="15.65" hidden="false" customHeight="true" outlineLevel="0" collapsed="false">
      <c r="A4439" s="5" t="str">
        <f aca="false">HYPERLINK("https://www.fabsurplus.com/sdi_catalog/salesItemDetails.do?id=108311")</f>
        <v>https://www.fabsurplus.com/sdi_catalog/salesItemDetails.do?id=108311</v>
      </c>
      <c r="B4439" s="5" t="s">
        <v>12614</v>
      </c>
      <c r="C4439" s="5" t="s">
        <v>12610</v>
      </c>
      <c r="D4439" s="5" t="s">
        <v>12611</v>
      </c>
      <c r="E4439" s="5" t="s">
        <v>12612</v>
      </c>
      <c r="F4439" s="5" t="s">
        <v>16</v>
      </c>
      <c r="G4439" s="5"/>
      <c r="H4439" s="5"/>
      <c r="I4439" s="6" t="n">
        <v>38504</v>
      </c>
      <c r="J4439" s="5" t="s">
        <v>19</v>
      </c>
      <c r="K4439" s="5"/>
      <c r="L4439" s="5"/>
    </row>
    <row r="4440" customFormat="false" ht="15.65" hidden="false" customHeight="true" outlineLevel="0" collapsed="false">
      <c r="A4440" s="2" t="str">
        <f aca="false">HYPERLINK("https://www.fabsurplus.com/sdi_catalog/salesItemDetails.do?id=108312")</f>
        <v>https://www.fabsurplus.com/sdi_catalog/salesItemDetails.do?id=108312</v>
      </c>
      <c r="B4440" s="2" t="s">
        <v>12615</v>
      </c>
      <c r="C4440" s="2" t="s">
        <v>12610</v>
      </c>
      <c r="D4440" s="2" t="s">
        <v>12616</v>
      </c>
      <c r="E4440" s="2" t="s">
        <v>12612</v>
      </c>
      <c r="F4440" s="2" t="s">
        <v>16</v>
      </c>
      <c r="G4440" s="2"/>
      <c r="H4440" s="2"/>
      <c r="I4440" s="3" t="n">
        <v>38504</v>
      </c>
      <c r="J4440" s="2" t="s">
        <v>19</v>
      </c>
      <c r="K4440" s="2"/>
      <c r="L4440" s="4" t="s">
        <v>12617</v>
      </c>
    </row>
    <row r="4441" customFormat="false" ht="15.65" hidden="false" customHeight="true" outlineLevel="0" collapsed="false">
      <c r="A4441" s="5" t="str">
        <f aca="false">HYPERLINK("https://www.fabsurplus.com/sdi_catalog/salesItemDetails.do?id=108313")</f>
        <v>https://www.fabsurplus.com/sdi_catalog/salesItemDetails.do?id=108313</v>
      </c>
      <c r="B4441" s="5" t="s">
        <v>12618</v>
      </c>
      <c r="C4441" s="5" t="s">
        <v>12610</v>
      </c>
      <c r="D4441" s="5" t="s">
        <v>12616</v>
      </c>
      <c r="E4441" s="5" t="s">
        <v>12612</v>
      </c>
      <c r="F4441" s="5" t="s">
        <v>16</v>
      </c>
      <c r="G4441" s="5"/>
      <c r="H4441" s="5"/>
      <c r="I4441" s="6" t="n">
        <v>38504</v>
      </c>
      <c r="J4441" s="5" t="s">
        <v>19</v>
      </c>
      <c r="K4441" s="5"/>
      <c r="L4441" s="7" t="s">
        <v>12617</v>
      </c>
    </row>
    <row r="4442" customFormat="false" ht="15.65" hidden="false" customHeight="true" outlineLevel="0" collapsed="false">
      <c r="A4442" s="2" t="str">
        <f aca="false">HYPERLINK("https://www.fabsurplus.com/sdi_catalog/salesItemDetails.do?id=108314")</f>
        <v>https://www.fabsurplus.com/sdi_catalog/salesItemDetails.do?id=108314</v>
      </c>
      <c r="B4442" s="2" t="s">
        <v>12619</v>
      </c>
      <c r="C4442" s="2" t="s">
        <v>12610</v>
      </c>
      <c r="D4442" s="2" t="s">
        <v>12616</v>
      </c>
      <c r="E4442" s="2" t="s">
        <v>12612</v>
      </c>
      <c r="F4442" s="2" t="s">
        <v>16</v>
      </c>
      <c r="G4442" s="2"/>
      <c r="H4442" s="2"/>
      <c r="I4442" s="3" t="n">
        <v>38504</v>
      </c>
      <c r="J4442" s="2" t="s">
        <v>19</v>
      </c>
      <c r="K4442" s="2"/>
      <c r="L4442" s="4" t="s">
        <v>12617</v>
      </c>
    </row>
    <row r="4443" customFormat="false" ht="15.65" hidden="false" customHeight="true" outlineLevel="0" collapsed="false">
      <c r="A4443" s="5" t="str">
        <f aca="false">HYPERLINK("https://www.fabsurplus.com/sdi_catalog/salesItemDetails.do?id=106756")</f>
        <v>https://www.fabsurplus.com/sdi_catalog/salesItemDetails.do?id=106756</v>
      </c>
      <c r="B4443" s="5" t="s">
        <v>12620</v>
      </c>
      <c r="C4443" s="5" t="s">
        <v>12621</v>
      </c>
      <c r="D4443" s="5" t="s">
        <v>12622</v>
      </c>
      <c r="E4443" s="5" t="s">
        <v>12623</v>
      </c>
      <c r="F4443" s="5" t="s">
        <v>16</v>
      </c>
      <c r="G4443" s="5" t="s">
        <v>61</v>
      </c>
      <c r="H4443" s="5"/>
      <c r="I4443" s="6" t="n">
        <v>36678</v>
      </c>
      <c r="J4443" s="5" t="s">
        <v>19</v>
      </c>
      <c r="K4443" s="5"/>
      <c r="L4443" s="5" t="s">
        <v>518</v>
      </c>
    </row>
    <row r="4444" customFormat="false" ht="15.65" hidden="false" customHeight="true" outlineLevel="0" collapsed="false">
      <c r="A4444" s="2" t="str">
        <f aca="false">HYPERLINK("https://www.fabsurplus.com/sdi_catalog/salesItemDetails.do?id=77171")</f>
        <v>https://www.fabsurplus.com/sdi_catalog/salesItemDetails.do?id=77171</v>
      </c>
      <c r="B4444" s="2" t="s">
        <v>12624</v>
      </c>
      <c r="C4444" s="2" t="s">
        <v>12625</v>
      </c>
      <c r="D4444" s="2" t="s">
        <v>12626</v>
      </c>
      <c r="E4444" s="2" t="s">
        <v>12627</v>
      </c>
      <c r="F4444" s="2" t="s">
        <v>16</v>
      </c>
      <c r="G4444" s="2" t="s">
        <v>104</v>
      </c>
      <c r="H4444" s="2" t="s">
        <v>1395</v>
      </c>
      <c r="I4444" s="3" t="n">
        <v>39022</v>
      </c>
      <c r="J4444" s="2" t="s">
        <v>19</v>
      </c>
      <c r="K4444" s="2" t="s">
        <v>20</v>
      </c>
      <c r="L4444" s="4" t="s">
        <v>12628</v>
      </c>
    </row>
    <row r="4445" customFormat="false" ht="15.65" hidden="false" customHeight="true" outlineLevel="0" collapsed="false">
      <c r="A4445" s="5" t="str">
        <f aca="false">HYPERLINK("https://www.fabsurplus.com/sdi_catalog/salesItemDetails.do?id=77164")</f>
        <v>https://www.fabsurplus.com/sdi_catalog/salesItemDetails.do?id=77164</v>
      </c>
      <c r="B4445" s="5" t="s">
        <v>12629</v>
      </c>
      <c r="C4445" s="5" t="s">
        <v>12630</v>
      </c>
      <c r="D4445" s="5" t="s">
        <v>12631</v>
      </c>
      <c r="E4445" s="5" t="s">
        <v>12632</v>
      </c>
      <c r="F4445" s="5" t="s">
        <v>16</v>
      </c>
      <c r="G4445" s="5" t="s">
        <v>104</v>
      </c>
      <c r="H4445" s="5" t="s">
        <v>1395</v>
      </c>
      <c r="I4445" s="5"/>
      <c r="J4445" s="5" t="s">
        <v>19</v>
      </c>
      <c r="K4445" s="5" t="s">
        <v>20</v>
      </c>
      <c r="L4445" s="7" t="s">
        <v>12633</v>
      </c>
    </row>
    <row r="4446" customFormat="false" ht="15.65" hidden="false" customHeight="true" outlineLevel="0" collapsed="false">
      <c r="A4446" s="2" t="str">
        <f aca="false">HYPERLINK("https://www.fabsurplus.com/sdi_catalog/salesItemDetails.do?id=98475")</f>
        <v>https://www.fabsurplus.com/sdi_catalog/salesItemDetails.do?id=98475</v>
      </c>
      <c r="B4446" s="2" t="s">
        <v>12634</v>
      </c>
      <c r="C4446" s="2" t="s">
        <v>12635</v>
      </c>
      <c r="D4446" s="2" t="s">
        <v>12636</v>
      </c>
      <c r="E4446" s="2" t="s">
        <v>12637</v>
      </c>
      <c r="F4446" s="2" t="s">
        <v>86</v>
      </c>
      <c r="G4446" s="2" t="s">
        <v>6799</v>
      </c>
      <c r="H4446" s="2" t="s">
        <v>18</v>
      </c>
      <c r="I4446" s="2"/>
      <c r="J4446" s="2" t="s">
        <v>19</v>
      </c>
      <c r="K4446" s="2"/>
      <c r="L4446" s="4" t="s">
        <v>12638</v>
      </c>
    </row>
    <row r="4447" customFormat="false" ht="15.65" hidden="false" customHeight="true" outlineLevel="0" collapsed="false">
      <c r="A4447" s="5" t="str">
        <f aca="false">HYPERLINK("https://www.fabsurplus.com/sdi_catalog/salesItemDetails.do?id=108981")</f>
        <v>https://www.fabsurplus.com/sdi_catalog/salesItemDetails.do?id=108981</v>
      </c>
      <c r="B4447" s="5" t="s">
        <v>12639</v>
      </c>
      <c r="C4447" s="5" t="s">
        <v>12640</v>
      </c>
      <c r="D4447" s="5" t="s">
        <v>12641</v>
      </c>
      <c r="E4447" s="5" t="s">
        <v>12642</v>
      </c>
      <c r="F4447" s="5" t="s">
        <v>16</v>
      </c>
      <c r="G4447" s="5" t="s">
        <v>104</v>
      </c>
      <c r="H4447" s="5" t="s">
        <v>32</v>
      </c>
      <c r="I4447" s="6" t="n">
        <v>34486</v>
      </c>
      <c r="J4447" s="5" t="s">
        <v>19</v>
      </c>
      <c r="K4447" s="5" t="s">
        <v>20</v>
      </c>
      <c r="L4447" s="7" t="s">
        <v>12643</v>
      </c>
    </row>
    <row r="4448" customFormat="false" ht="15.65" hidden="false" customHeight="true" outlineLevel="0" collapsed="false">
      <c r="A4448" s="2" t="str">
        <f aca="false">HYPERLINK("https://www.fabsurplus.com/sdi_catalog/salesItemDetails.do?id=77165")</f>
        <v>https://www.fabsurplus.com/sdi_catalog/salesItemDetails.do?id=77165</v>
      </c>
      <c r="B4448" s="2" t="s">
        <v>12644</v>
      </c>
      <c r="C4448" s="2" t="s">
        <v>12645</v>
      </c>
      <c r="D4448" s="2" t="s">
        <v>12646</v>
      </c>
      <c r="E4448" s="2" t="s">
        <v>12647</v>
      </c>
      <c r="F4448" s="2" t="s">
        <v>16</v>
      </c>
      <c r="G4448" s="2" t="s">
        <v>104</v>
      </c>
      <c r="H4448" s="2" t="s">
        <v>1395</v>
      </c>
      <c r="I4448" s="2"/>
      <c r="J4448" s="2" t="s">
        <v>19</v>
      </c>
      <c r="K4448" s="2" t="s">
        <v>20</v>
      </c>
      <c r="L4448" s="4" t="s">
        <v>12648</v>
      </c>
    </row>
    <row r="4449" customFormat="false" ht="15.65" hidden="false" customHeight="true" outlineLevel="0" collapsed="false">
      <c r="A4449" s="5" t="str">
        <f aca="false">HYPERLINK("https://www.fabsurplus.com/sdi_catalog/salesItemDetails.do?id=82219")</f>
        <v>https://www.fabsurplus.com/sdi_catalog/salesItemDetails.do?id=82219</v>
      </c>
      <c r="B4449" s="5" t="s">
        <v>12649</v>
      </c>
      <c r="C4449" s="5" t="s">
        <v>12650</v>
      </c>
      <c r="D4449" s="5" t="s">
        <v>12651</v>
      </c>
      <c r="E4449" s="5" t="s">
        <v>12652</v>
      </c>
      <c r="F4449" s="5" t="s">
        <v>151</v>
      </c>
      <c r="G4449" s="5" t="s">
        <v>97</v>
      </c>
      <c r="H4449" s="5" t="s">
        <v>18</v>
      </c>
      <c r="I4449" s="6" t="n">
        <v>36311.9166666667</v>
      </c>
      <c r="J4449" s="5" t="s">
        <v>19</v>
      </c>
      <c r="K4449" s="5" t="s">
        <v>20</v>
      </c>
      <c r="L4449" s="7" t="s">
        <v>12653</v>
      </c>
    </row>
    <row r="4450" customFormat="false" ht="15.65" hidden="false" customHeight="true" outlineLevel="0" collapsed="false">
      <c r="A4450" s="2" t="str">
        <f aca="false">HYPERLINK("https://www.fabsurplus.com/sdi_catalog/salesItemDetails.do?id=105856")</f>
        <v>https://www.fabsurplus.com/sdi_catalog/salesItemDetails.do?id=105856</v>
      </c>
      <c r="B4450" s="2" t="s">
        <v>12654</v>
      </c>
      <c r="C4450" s="2" t="s">
        <v>12655</v>
      </c>
      <c r="D4450" s="2" t="s">
        <v>12656</v>
      </c>
      <c r="E4450" s="2" t="s">
        <v>10384</v>
      </c>
      <c r="F4450" s="2" t="s">
        <v>16</v>
      </c>
      <c r="G4450" s="2" t="s">
        <v>104</v>
      </c>
      <c r="H4450" s="2" t="s">
        <v>32</v>
      </c>
      <c r="I4450" s="3" t="n">
        <v>34850.9166666667</v>
      </c>
      <c r="J4450" s="2" t="s">
        <v>19</v>
      </c>
      <c r="K4450" s="2"/>
      <c r="L4450" s="4" t="s">
        <v>12657</v>
      </c>
    </row>
    <row r="4451" customFormat="false" ht="15.65" hidden="false" customHeight="true" outlineLevel="0" collapsed="false">
      <c r="A4451" s="5" t="str">
        <f aca="false">HYPERLINK("https://www.fabsurplus.com/sdi_catalog/salesItemDetails.do?id=105857")</f>
        <v>https://www.fabsurplus.com/sdi_catalog/salesItemDetails.do?id=105857</v>
      </c>
      <c r="B4451" s="5" t="s">
        <v>12658</v>
      </c>
      <c r="C4451" s="5" t="s">
        <v>12655</v>
      </c>
      <c r="D4451" s="5" t="s">
        <v>12656</v>
      </c>
      <c r="E4451" s="5" t="s">
        <v>12659</v>
      </c>
      <c r="F4451" s="5" t="s">
        <v>16</v>
      </c>
      <c r="G4451" s="5" t="s">
        <v>104</v>
      </c>
      <c r="H4451" s="5" t="s">
        <v>32</v>
      </c>
      <c r="I4451" s="6" t="n">
        <v>34850.9166666667</v>
      </c>
      <c r="J4451" s="5" t="s">
        <v>19</v>
      </c>
      <c r="K4451" s="5" t="s">
        <v>20</v>
      </c>
      <c r="L4451" s="7" t="s">
        <v>12660</v>
      </c>
    </row>
    <row r="4452" customFormat="false" ht="15.65" hidden="false" customHeight="true" outlineLevel="0" collapsed="false">
      <c r="A4452" s="2" t="str">
        <f aca="false">HYPERLINK("https://www.fabsurplus.com/sdi_catalog/salesItemDetails.do?id=100712")</f>
        <v>https://www.fabsurplus.com/sdi_catalog/salesItemDetails.do?id=100712</v>
      </c>
      <c r="B4452" s="2" t="s">
        <v>12661</v>
      </c>
      <c r="C4452" s="2" t="s">
        <v>12662</v>
      </c>
      <c r="D4452" s="2" t="s">
        <v>12663</v>
      </c>
      <c r="E4452" s="2" t="s">
        <v>12664</v>
      </c>
      <c r="F4452" s="2" t="s">
        <v>16</v>
      </c>
      <c r="G4452" s="2"/>
      <c r="H4452" s="2" t="s">
        <v>18</v>
      </c>
      <c r="I4452" s="2"/>
      <c r="J4452" s="2" t="s">
        <v>19</v>
      </c>
      <c r="K4452" s="2" t="s">
        <v>20</v>
      </c>
      <c r="L4452" s="2"/>
    </row>
    <row r="4453" customFormat="false" ht="15.65" hidden="false" customHeight="true" outlineLevel="0" collapsed="false">
      <c r="A4453" s="5" t="str">
        <f aca="false">HYPERLINK("https://www.fabsurplus.com/sdi_catalog/salesItemDetails.do?id=80238")</f>
        <v>https://www.fabsurplus.com/sdi_catalog/salesItemDetails.do?id=80238</v>
      </c>
      <c r="B4453" s="5" t="s">
        <v>12665</v>
      </c>
      <c r="C4453" s="5" t="s">
        <v>12662</v>
      </c>
      <c r="D4453" s="5" t="s">
        <v>12666</v>
      </c>
      <c r="E4453" s="5" t="s">
        <v>12667</v>
      </c>
      <c r="F4453" s="5" t="s">
        <v>16</v>
      </c>
      <c r="G4453" s="5" t="s">
        <v>4568</v>
      </c>
      <c r="H4453" s="5" t="s">
        <v>32</v>
      </c>
      <c r="I4453" s="6" t="n">
        <v>34820</v>
      </c>
      <c r="J4453" s="5" t="s">
        <v>19</v>
      </c>
      <c r="K4453" s="5" t="s">
        <v>20</v>
      </c>
      <c r="L4453" s="7" t="s">
        <v>12668</v>
      </c>
    </row>
    <row r="4454" customFormat="false" ht="15.65" hidden="false" customHeight="true" outlineLevel="0" collapsed="false">
      <c r="A4454" s="2" t="str">
        <f aca="false">HYPERLINK("https://www.fabsurplus.com/sdi_catalog/salesItemDetails.do?id=108782")</f>
        <v>https://www.fabsurplus.com/sdi_catalog/salesItemDetails.do?id=108782</v>
      </c>
      <c r="B4454" s="2" t="s">
        <v>12669</v>
      </c>
      <c r="C4454" s="2" t="s">
        <v>12670</v>
      </c>
      <c r="D4454" s="2" t="s">
        <v>12671</v>
      </c>
      <c r="E4454" s="2" t="s">
        <v>12672</v>
      </c>
      <c r="F4454" s="2" t="s">
        <v>16</v>
      </c>
      <c r="G4454" s="2"/>
      <c r="H4454" s="2"/>
      <c r="I4454" s="2"/>
      <c r="J4454" s="2" t="s">
        <v>19</v>
      </c>
      <c r="K4454" s="2"/>
      <c r="L4454" s="2" t="s">
        <v>12672</v>
      </c>
    </row>
    <row r="4455" customFormat="false" ht="15.65" hidden="false" customHeight="true" outlineLevel="0" collapsed="false">
      <c r="A4455" s="5" t="str">
        <f aca="false">HYPERLINK("https://www.fabsurplus.com/sdi_catalog/salesItemDetails.do?id=109033")</f>
        <v>https://www.fabsurplus.com/sdi_catalog/salesItemDetails.do?id=109033</v>
      </c>
      <c r="B4455" s="5" t="s">
        <v>12673</v>
      </c>
      <c r="C4455" s="5" t="s">
        <v>12674</v>
      </c>
      <c r="D4455" s="5" t="s">
        <v>12675</v>
      </c>
      <c r="E4455" s="5" t="s">
        <v>12676</v>
      </c>
      <c r="F4455" s="5" t="s">
        <v>16</v>
      </c>
      <c r="G4455" s="5" t="s">
        <v>1362</v>
      </c>
      <c r="H4455" s="5" t="s">
        <v>32</v>
      </c>
      <c r="I4455" s="5"/>
      <c r="J4455" s="5" t="s">
        <v>19</v>
      </c>
      <c r="K4455" s="5" t="s">
        <v>20</v>
      </c>
      <c r="L4455" s="7" t="s">
        <v>12677</v>
      </c>
    </row>
    <row r="4456" customFormat="false" ht="15.65" hidden="false" customHeight="true" outlineLevel="0" collapsed="false">
      <c r="A4456" s="2" t="str">
        <f aca="false">HYPERLINK("https://www.fabsurplus.com/sdi_catalog/salesItemDetails.do?id=109034")</f>
        <v>https://www.fabsurplus.com/sdi_catalog/salesItemDetails.do?id=109034</v>
      </c>
      <c r="B4456" s="2" t="s">
        <v>12678</v>
      </c>
      <c r="C4456" s="2" t="s">
        <v>12674</v>
      </c>
      <c r="D4456" s="2" t="s">
        <v>12679</v>
      </c>
      <c r="E4456" s="2" t="s">
        <v>6668</v>
      </c>
      <c r="F4456" s="2" t="s">
        <v>16</v>
      </c>
      <c r="G4456" s="2" t="s">
        <v>1362</v>
      </c>
      <c r="H4456" s="2" t="s">
        <v>32</v>
      </c>
      <c r="I4456" s="2"/>
      <c r="J4456" s="2" t="s">
        <v>19</v>
      </c>
      <c r="K4456" s="2" t="s">
        <v>20</v>
      </c>
      <c r="L4456" s="4" t="s">
        <v>12680</v>
      </c>
    </row>
    <row r="4457" customFormat="false" ht="15.65" hidden="false" customHeight="true" outlineLevel="0" collapsed="false">
      <c r="A4457" s="5" t="str">
        <f aca="false">HYPERLINK("https://www.fabsurplus.com/sdi_catalog/salesItemDetails.do?id=108783")</f>
        <v>https://www.fabsurplus.com/sdi_catalog/salesItemDetails.do?id=108783</v>
      </c>
      <c r="B4457" s="5" t="s">
        <v>12681</v>
      </c>
      <c r="C4457" s="5" t="s">
        <v>12682</v>
      </c>
      <c r="D4457" s="5" t="s">
        <v>12683</v>
      </c>
      <c r="E4457" s="5" t="s">
        <v>12684</v>
      </c>
      <c r="F4457" s="5" t="s">
        <v>16</v>
      </c>
      <c r="G4457" s="5" t="s">
        <v>1362</v>
      </c>
      <c r="H4457" s="5" t="s">
        <v>275</v>
      </c>
      <c r="I4457" s="5"/>
      <c r="J4457" s="5" t="s">
        <v>286</v>
      </c>
      <c r="K4457" s="5" t="s">
        <v>20</v>
      </c>
      <c r="L4457" s="7" t="s">
        <v>12685</v>
      </c>
    </row>
    <row r="4458" customFormat="false" ht="15.65" hidden="false" customHeight="true" outlineLevel="0" collapsed="false">
      <c r="A4458" s="2" t="str">
        <f aca="false">HYPERLINK("https://www.fabsurplus.com/sdi_catalog/salesItemDetails.do?id=84100")</f>
        <v>https://www.fabsurplus.com/sdi_catalog/salesItemDetails.do?id=84100</v>
      </c>
      <c r="B4458" s="2" t="s">
        <v>12686</v>
      </c>
      <c r="C4458" s="2" t="s">
        <v>12687</v>
      </c>
      <c r="D4458" s="2" t="s">
        <v>12688</v>
      </c>
      <c r="E4458" s="2" t="s">
        <v>12689</v>
      </c>
      <c r="F4458" s="2" t="s">
        <v>108</v>
      </c>
      <c r="G4458" s="2"/>
      <c r="H4458" s="2" t="s">
        <v>32</v>
      </c>
      <c r="I4458" s="2"/>
      <c r="J4458" s="2" t="s">
        <v>19</v>
      </c>
      <c r="K4458" s="2" t="s">
        <v>20</v>
      </c>
      <c r="L4458" s="4" t="s">
        <v>12690</v>
      </c>
    </row>
    <row r="4459" customFormat="false" ht="15.65" hidden="false" customHeight="true" outlineLevel="0" collapsed="false">
      <c r="A4459" s="5" t="str">
        <f aca="false">HYPERLINK("https://www.fabsurplus.com/sdi_catalog/salesItemDetails.do?id=105863")</f>
        <v>https://www.fabsurplus.com/sdi_catalog/salesItemDetails.do?id=105863</v>
      </c>
      <c r="B4459" s="5" t="s">
        <v>12691</v>
      </c>
      <c r="C4459" s="5" t="s">
        <v>12692</v>
      </c>
      <c r="D4459" s="5" t="s">
        <v>12693</v>
      </c>
      <c r="E4459" s="5" t="s">
        <v>12694</v>
      </c>
      <c r="F4459" s="5" t="s">
        <v>16</v>
      </c>
      <c r="G4459" s="5" t="s">
        <v>104</v>
      </c>
      <c r="H4459" s="5" t="s">
        <v>1969</v>
      </c>
      <c r="I4459" s="6" t="n">
        <v>35581.9166666667</v>
      </c>
      <c r="J4459" s="5" t="s">
        <v>19</v>
      </c>
      <c r="K4459" s="5" t="s">
        <v>20</v>
      </c>
      <c r="L4459" s="7" t="s">
        <v>12695</v>
      </c>
    </row>
    <row r="4460" customFormat="false" ht="15.65" hidden="false" customHeight="true" outlineLevel="0" collapsed="false">
      <c r="A4460" s="2" t="str">
        <f aca="false">HYPERLINK("https://www.fabsurplus.com/sdi_catalog/salesItemDetails.do?id=93087")</f>
        <v>https://www.fabsurplus.com/sdi_catalog/salesItemDetails.do?id=93087</v>
      </c>
      <c r="B4460" s="2" t="s">
        <v>12696</v>
      </c>
      <c r="C4460" s="2" t="s">
        <v>12697</v>
      </c>
      <c r="D4460" s="2" t="s">
        <v>6533</v>
      </c>
      <c r="E4460" s="2" t="s">
        <v>6534</v>
      </c>
      <c r="F4460" s="2" t="s">
        <v>16</v>
      </c>
      <c r="G4460" s="2" t="s">
        <v>1287</v>
      </c>
      <c r="H4460" s="2" t="s">
        <v>18</v>
      </c>
      <c r="I4460" s="2"/>
      <c r="J4460" s="2" t="s">
        <v>19</v>
      </c>
      <c r="K4460" s="2" t="s">
        <v>20</v>
      </c>
      <c r="L4460" s="2" t="s">
        <v>142</v>
      </c>
    </row>
    <row r="4461" customFormat="false" ht="15.65" hidden="false" customHeight="true" outlineLevel="0" collapsed="false">
      <c r="A4461" s="5" t="str">
        <f aca="false">HYPERLINK("https://www.fabsurplus.com/sdi_catalog/salesItemDetails.do?id=94605")</f>
        <v>https://www.fabsurplus.com/sdi_catalog/salesItemDetails.do?id=94605</v>
      </c>
      <c r="B4461" s="5" t="s">
        <v>12698</v>
      </c>
      <c r="C4461" s="5" t="s">
        <v>12699</v>
      </c>
      <c r="D4461" s="5" t="s">
        <v>12700</v>
      </c>
      <c r="E4461" s="5" t="s">
        <v>12701</v>
      </c>
      <c r="F4461" s="5" t="s">
        <v>16</v>
      </c>
      <c r="G4461" s="5" t="s">
        <v>165</v>
      </c>
      <c r="H4461" s="5"/>
      <c r="I4461" s="5"/>
      <c r="J4461" s="5" t="s">
        <v>19</v>
      </c>
      <c r="K4461" s="5"/>
      <c r="L4461" s="5"/>
    </row>
    <row r="4462" customFormat="false" ht="15.65" hidden="false" customHeight="true" outlineLevel="0" collapsed="false">
      <c r="A4462" s="2" t="str">
        <f aca="false">HYPERLINK("https://www.fabsurplus.com/sdi_catalog/salesItemDetails.do?id=53033")</f>
        <v>https://www.fabsurplus.com/sdi_catalog/salesItemDetails.do?id=53033</v>
      </c>
      <c r="B4462" s="2" t="s">
        <v>12702</v>
      </c>
      <c r="C4462" s="2" t="s">
        <v>12703</v>
      </c>
      <c r="D4462" s="2" t="s">
        <v>12704</v>
      </c>
      <c r="E4462" s="2" t="s">
        <v>12705</v>
      </c>
      <c r="F4462" s="2" t="s">
        <v>16</v>
      </c>
      <c r="G4462" s="2" t="s">
        <v>97</v>
      </c>
      <c r="H4462" s="2" t="s">
        <v>18</v>
      </c>
      <c r="I4462" s="2"/>
      <c r="J4462" s="2" t="s">
        <v>19</v>
      </c>
      <c r="K4462" s="2" t="s">
        <v>20</v>
      </c>
      <c r="L4462" s="4" t="s">
        <v>12706</v>
      </c>
    </row>
    <row r="4463" customFormat="false" ht="15.65" hidden="false" customHeight="true" outlineLevel="0" collapsed="false">
      <c r="A4463" s="5" t="str">
        <f aca="false">HYPERLINK("https://www.fabsurplus.com/sdi_catalog/salesItemDetails.do?id=106835")</f>
        <v>https://www.fabsurplus.com/sdi_catalog/salesItemDetails.do?id=106835</v>
      </c>
      <c r="B4463" s="5" t="s">
        <v>12707</v>
      </c>
      <c r="C4463" s="5" t="s">
        <v>12708</v>
      </c>
      <c r="D4463" s="5" t="s">
        <v>12709</v>
      </c>
      <c r="E4463" s="5" t="s">
        <v>12710</v>
      </c>
      <c r="F4463" s="5" t="s">
        <v>16</v>
      </c>
      <c r="G4463" s="5" t="s">
        <v>84</v>
      </c>
      <c r="H4463" s="5"/>
      <c r="I4463" s="5"/>
      <c r="J4463" s="5" t="s">
        <v>42</v>
      </c>
      <c r="K4463" s="5"/>
      <c r="L4463" s="5" t="s">
        <v>142</v>
      </c>
    </row>
    <row r="4464" customFormat="false" ht="15.65" hidden="false" customHeight="true" outlineLevel="0" collapsed="false">
      <c r="A4464" s="2" t="str">
        <f aca="false">HYPERLINK("https://www.fabsurplus.com/sdi_catalog/salesItemDetails.do?id=106836")</f>
        <v>https://www.fabsurplus.com/sdi_catalog/salesItemDetails.do?id=106836</v>
      </c>
      <c r="B4464" s="2" t="s">
        <v>12711</v>
      </c>
      <c r="C4464" s="2" t="s">
        <v>12708</v>
      </c>
      <c r="D4464" s="2" t="s">
        <v>12712</v>
      </c>
      <c r="E4464" s="2" t="s">
        <v>12710</v>
      </c>
      <c r="F4464" s="2" t="s">
        <v>86</v>
      </c>
      <c r="G4464" s="2" t="s">
        <v>61</v>
      </c>
      <c r="H4464" s="2" t="s">
        <v>32</v>
      </c>
      <c r="I4464" s="2"/>
      <c r="J4464" s="2" t="s">
        <v>19</v>
      </c>
      <c r="K4464" s="2" t="s">
        <v>20</v>
      </c>
      <c r="L4464" s="2" t="s">
        <v>142</v>
      </c>
    </row>
    <row r="4465" customFormat="false" ht="15.65" hidden="false" customHeight="true" outlineLevel="0" collapsed="false">
      <c r="A4465" s="5" t="str">
        <f aca="false">HYPERLINK("https://www.fabsurplus.com/sdi_catalog/salesItemDetails.do?id=106837")</f>
        <v>https://www.fabsurplus.com/sdi_catalog/salesItemDetails.do?id=106837</v>
      </c>
      <c r="B4465" s="5" t="s">
        <v>12713</v>
      </c>
      <c r="C4465" s="5" t="s">
        <v>12708</v>
      </c>
      <c r="D4465" s="5" t="s">
        <v>12714</v>
      </c>
      <c r="E4465" s="5" t="s">
        <v>12715</v>
      </c>
      <c r="F4465" s="5" t="s">
        <v>16</v>
      </c>
      <c r="G4465" s="5" t="s">
        <v>84</v>
      </c>
      <c r="H4465" s="5"/>
      <c r="I4465" s="5"/>
      <c r="J4465" s="5" t="s">
        <v>42</v>
      </c>
      <c r="K4465" s="5"/>
      <c r="L4465" s="5" t="s">
        <v>142</v>
      </c>
    </row>
    <row r="4466" customFormat="false" ht="15.65" hidden="false" customHeight="true" outlineLevel="0" collapsed="false">
      <c r="A4466" s="2" t="str">
        <f aca="false">HYPERLINK("https://www.fabsurplus.com/sdi_catalog/salesItemDetails.do?id=106838")</f>
        <v>https://www.fabsurplus.com/sdi_catalog/salesItemDetails.do?id=106838</v>
      </c>
      <c r="B4466" s="2" t="s">
        <v>12716</v>
      </c>
      <c r="C4466" s="2" t="s">
        <v>12708</v>
      </c>
      <c r="D4466" s="2" t="s">
        <v>12717</v>
      </c>
      <c r="E4466" s="2" t="s">
        <v>12718</v>
      </c>
      <c r="F4466" s="2" t="s">
        <v>16</v>
      </c>
      <c r="G4466" s="2" t="s">
        <v>84</v>
      </c>
      <c r="H4466" s="2"/>
      <c r="I4466" s="2"/>
      <c r="J4466" s="2" t="s">
        <v>42</v>
      </c>
      <c r="K4466" s="2"/>
      <c r="L4466" s="2" t="s">
        <v>142</v>
      </c>
    </row>
    <row r="4467" customFormat="false" ht="15.65" hidden="false" customHeight="true" outlineLevel="0" collapsed="false">
      <c r="A4467" s="5" t="str">
        <f aca="false">HYPERLINK("https://www.fabsurplus.com/sdi_catalog/salesItemDetails.do?id=106839")</f>
        <v>https://www.fabsurplus.com/sdi_catalog/salesItemDetails.do?id=106839</v>
      </c>
      <c r="B4467" s="5" t="s">
        <v>12719</v>
      </c>
      <c r="C4467" s="5" t="s">
        <v>12708</v>
      </c>
      <c r="D4467" s="5" t="s">
        <v>12720</v>
      </c>
      <c r="E4467" s="5" t="s">
        <v>12718</v>
      </c>
      <c r="F4467" s="5" t="s">
        <v>151</v>
      </c>
      <c r="G4467" s="5" t="s">
        <v>84</v>
      </c>
      <c r="H4467" s="5"/>
      <c r="I4467" s="5"/>
      <c r="J4467" s="5" t="s">
        <v>42</v>
      </c>
      <c r="K4467" s="5"/>
      <c r="L4467" s="5" t="s">
        <v>142</v>
      </c>
    </row>
    <row r="4468" customFormat="false" ht="15.65" hidden="false" customHeight="true" outlineLevel="0" collapsed="false">
      <c r="A4468" s="2" t="str">
        <f aca="false">HYPERLINK("https://www.fabsurplus.com/sdi_catalog/salesItemDetails.do?id=106840")</f>
        <v>https://www.fabsurplus.com/sdi_catalog/salesItemDetails.do?id=106840</v>
      </c>
      <c r="B4468" s="2" t="s">
        <v>12721</v>
      </c>
      <c r="C4468" s="2" t="s">
        <v>12708</v>
      </c>
      <c r="D4468" s="2" t="s">
        <v>12722</v>
      </c>
      <c r="E4468" s="2" t="s">
        <v>12723</v>
      </c>
      <c r="F4468" s="2" t="s">
        <v>108</v>
      </c>
      <c r="G4468" s="2" t="s">
        <v>84</v>
      </c>
      <c r="H4468" s="2"/>
      <c r="I4468" s="2"/>
      <c r="J4468" s="2" t="s">
        <v>42</v>
      </c>
      <c r="K4468" s="2"/>
      <c r="L4468" s="2" t="s">
        <v>142</v>
      </c>
    </row>
    <row r="4469" customFormat="false" ht="15.65" hidden="false" customHeight="true" outlineLevel="0" collapsed="false">
      <c r="A4469" s="5" t="str">
        <f aca="false">HYPERLINK("https://www.fabsurplus.com/sdi_catalog/salesItemDetails.do?id=98498")</f>
        <v>https://www.fabsurplus.com/sdi_catalog/salesItemDetails.do?id=98498</v>
      </c>
      <c r="B4469" s="5" t="s">
        <v>12724</v>
      </c>
      <c r="C4469" s="5" t="s">
        <v>12725</v>
      </c>
      <c r="D4469" s="5" t="s">
        <v>12726</v>
      </c>
      <c r="E4469" s="5" t="s">
        <v>12727</v>
      </c>
      <c r="F4469" s="5" t="s">
        <v>151</v>
      </c>
      <c r="G4469" s="5" t="s">
        <v>84</v>
      </c>
      <c r="H4469" s="5"/>
      <c r="I4469" s="5"/>
      <c r="J4469" s="5" t="s">
        <v>19</v>
      </c>
      <c r="K4469" s="5"/>
      <c r="L4469" s="5" t="s">
        <v>518</v>
      </c>
    </row>
    <row r="4470" customFormat="false" ht="15.65" hidden="false" customHeight="true" outlineLevel="0" collapsed="false">
      <c r="A4470" s="2" t="str">
        <f aca="false">HYPERLINK("https://www.fabsurplus.com/sdi_catalog/salesItemDetails.do?id=106979")</f>
        <v>https://www.fabsurplus.com/sdi_catalog/salesItemDetails.do?id=106979</v>
      </c>
      <c r="B4470" s="2" t="s">
        <v>12728</v>
      </c>
      <c r="C4470" s="2" t="s">
        <v>12729</v>
      </c>
      <c r="D4470" s="2" t="s">
        <v>12730</v>
      </c>
      <c r="E4470" s="2" t="s">
        <v>12731</v>
      </c>
      <c r="F4470" s="2" t="s">
        <v>86</v>
      </c>
      <c r="G4470" s="2" t="s">
        <v>2889</v>
      </c>
      <c r="H4470" s="2" t="s">
        <v>32</v>
      </c>
      <c r="I4470" s="3" t="n">
        <v>38961</v>
      </c>
      <c r="J4470" s="2" t="s">
        <v>19</v>
      </c>
      <c r="K4470" s="2" t="s">
        <v>20</v>
      </c>
      <c r="L4470" s="4" t="s">
        <v>12732</v>
      </c>
    </row>
    <row r="4471" customFormat="false" ht="15.65" hidden="false" customHeight="true" outlineLevel="0" collapsed="false">
      <c r="A4471" s="5" t="str">
        <f aca="false">HYPERLINK("https://www.fabsurplus.com/sdi_catalog/salesItemDetails.do?id=109608")</f>
        <v>https://www.fabsurplus.com/sdi_catalog/salesItemDetails.do?id=109608</v>
      </c>
      <c r="B4471" s="5" t="s">
        <v>12733</v>
      </c>
      <c r="C4471" s="5" t="s">
        <v>12734</v>
      </c>
      <c r="D4471" s="5" t="s">
        <v>12735</v>
      </c>
      <c r="E4471" s="5" t="s">
        <v>12736</v>
      </c>
      <c r="F4471" s="5" t="s">
        <v>16</v>
      </c>
      <c r="G4471" s="5"/>
      <c r="H4471" s="5"/>
      <c r="I4471" s="5"/>
      <c r="J4471" s="5" t="s">
        <v>42</v>
      </c>
      <c r="K4471" s="5"/>
      <c r="L4471" s="5" t="s">
        <v>7393</v>
      </c>
    </row>
    <row r="4472" customFormat="false" ht="15.65" hidden="false" customHeight="true" outlineLevel="0" collapsed="false">
      <c r="A4472" s="2" t="str">
        <f aca="false">HYPERLINK("https://www.fabsurplus.com/sdi_catalog/salesItemDetails.do?id=109609")</f>
        <v>https://www.fabsurplus.com/sdi_catalog/salesItemDetails.do?id=109609</v>
      </c>
      <c r="B4472" s="2" t="s">
        <v>12737</v>
      </c>
      <c r="C4472" s="2" t="s">
        <v>12734</v>
      </c>
      <c r="D4472" s="2" t="s">
        <v>12738</v>
      </c>
      <c r="E4472" s="2" t="s">
        <v>12736</v>
      </c>
      <c r="F4472" s="2" t="s">
        <v>16</v>
      </c>
      <c r="G4472" s="2"/>
      <c r="H4472" s="2"/>
      <c r="I4472" s="2"/>
      <c r="J4472" s="2" t="s">
        <v>42</v>
      </c>
      <c r="K4472" s="2"/>
      <c r="L4472" s="2" t="s">
        <v>7393</v>
      </c>
    </row>
    <row r="4473" customFormat="false" ht="15.65" hidden="false" customHeight="true" outlineLevel="0" collapsed="false">
      <c r="A4473" s="5" t="str">
        <f aca="false">HYPERLINK("https://www.fabsurplus.com/sdi_catalog/salesItemDetails.do?id=109614")</f>
        <v>https://www.fabsurplus.com/sdi_catalog/salesItemDetails.do?id=109614</v>
      </c>
      <c r="B4473" s="5" t="s">
        <v>12739</v>
      </c>
      <c r="C4473" s="5" t="s">
        <v>12734</v>
      </c>
      <c r="D4473" s="5" t="s">
        <v>12740</v>
      </c>
      <c r="E4473" s="5" t="s">
        <v>12741</v>
      </c>
      <c r="F4473" s="5" t="s">
        <v>16</v>
      </c>
      <c r="G4473" s="5"/>
      <c r="H4473" s="5"/>
      <c r="I4473" s="5"/>
      <c r="J4473" s="5" t="s">
        <v>42</v>
      </c>
      <c r="K4473" s="5"/>
      <c r="L4473" s="5" t="s">
        <v>7393</v>
      </c>
    </row>
    <row r="4474" customFormat="false" ht="15.65" hidden="false" customHeight="true" outlineLevel="0" collapsed="false">
      <c r="A4474" s="2" t="str">
        <f aca="false">HYPERLINK("https://www.fabsurplus.com/sdi_catalog/salesItemDetails.do?id=109616")</f>
        <v>https://www.fabsurplus.com/sdi_catalog/salesItemDetails.do?id=109616</v>
      </c>
      <c r="B4474" s="2" t="s">
        <v>12742</v>
      </c>
      <c r="C4474" s="2" t="s">
        <v>12734</v>
      </c>
      <c r="D4474" s="2" t="s">
        <v>12743</v>
      </c>
      <c r="E4474" s="2" t="s">
        <v>12741</v>
      </c>
      <c r="F4474" s="2" t="s">
        <v>16</v>
      </c>
      <c r="G4474" s="2"/>
      <c r="H4474" s="2"/>
      <c r="I4474" s="2"/>
      <c r="J4474" s="2" t="s">
        <v>42</v>
      </c>
      <c r="K4474" s="2"/>
      <c r="L4474" s="2" t="s">
        <v>7393</v>
      </c>
    </row>
    <row r="4475" customFormat="false" ht="15.65" hidden="false" customHeight="true" outlineLevel="0" collapsed="false">
      <c r="A4475" s="5" t="str">
        <f aca="false">HYPERLINK("https://www.fabsurplus.com/sdi_catalog/salesItemDetails.do?id=109617")</f>
        <v>https://www.fabsurplus.com/sdi_catalog/salesItemDetails.do?id=109617</v>
      </c>
      <c r="B4475" s="5" t="s">
        <v>12744</v>
      </c>
      <c r="C4475" s="5" t="s">
        <v>12734</v>
      </c>
      <c r="D4475" s="5" t="s">
        <v>12745</v>
      </c>
      <c r="E4475" s="5" t="s">
        <v>12741</v>
      </c>
      <c r="F4475" s="5" t="s">
        <v>16</v>
      </c>
      <c r="G4475" s="5"/>
      <c r="H4475" s="5"/>
      <c r="I4475" s="5"/>
      <c r="J4475" s="5" t="s">
        <v>42</v>
      </c>
      <c r="K4475" s="5"/>
      <c r="L4475" s="5" t="s">
        <v>7393</v>
      </c>
    </row>
    <row r="4476" customFormat="false" ht="15.65" hidden="false" customHeight="true" outlineLevel="0" collapsed="false">
      <c r="A4476" s="2" t="str">
        <f aca="false">HYPERLINK("https://www.fabsurplus.com/sdi_catalog/salesItemDetails.do?id=109618")</f>
        <v>https://www.fabsurplus.com/sdi_catalog/salesItemDetails.do?id=109618</v>
      </c>
      <c r="B4476" s="2" t="s">
        <v>12746</v>
      </c>
      <c r="C4476" s="2" t="s">
        <v>12734</v>
      </c>
      <c r="D4476" s="2" t="s">
        <v>12747</v>
      </c>
      <c r="E4476" s="2" t="s">
        <v>12741</v>
      </c>
      <c r="F4476" s="2" t="s">
        <v>16</v>
      </c>
      <c r="G4476" s="2" t="s">
        <v>1293</v>
      </c>
      <c r="H4476" s="2"/>
      <c r="I4476" s="2"/>
      <c r="J4476" s="2" t="s">
        <v>42</v>
      </c>
      <c r="K4476" s="2"/>
      <c r="L4476" s="2" t="s">
        <v>7393</v>
      </c>
    </row>
    <row r="4477" customFormat="false" ht="15.65" hidden="false" customHeight="true" outlineLevel="0" collapsed="false">
      <c r="A4477" s="5" t="str">
        <f aca="false">HYPERLINK("https://www.fabsurplus.com/sdi_catalog/salesItemDetails.do?id=109619")</f>
        <v>https://www.fabsurplus.com/sdi_catalog/salesItemDetails.do?id=109619</v>
      </c>
      <c r="B4477" s="5" t="s">
        <v>12748</v>
      </c>
      <c r="C4477" s="5" t="s">
        <v>12734</v>
      </c>
      <c r="D4477" s="5" t="s">
        <v>321</v>
      </c>
      <c r="E4477" s="5" t="s">
        <v>12741</v>
      </c>
      <c r="F4477" s="5" t="s">
        <v>16</v>
      </c>
      <c r="G4477" s="5" t="s">
        <v>1293</v>
      </c>
      <c r="H4477" s="5"/>
      <c r="I4477" s="5"/>
      <c r="J4477" s="5" t="s">
        <v>42</v>
      </c>
      <c r="K4477" s="5"/>
      <c r="L4477" s="5" t="s">
        <v>7393</v>
      </c>
    </row>
    <row r="4478" customFormat="false" ht="15.65" hidden="false" customHeight="true" outlineLevel="0" collapsed="false">
      <c r="A4478" s="2" t="str">
        <f aca="false">HYPERLINK("https://www.fabsurplus.com/sdi_catalog/salesItemDetails.do?id=109621")</f>
        <v>https://www.fabsurplus.com/sdi_catalog/salesItemDetails.do?id=109621</v>
      </c>
      <c r="B4478" s="2" t="s">
        <v>12749</v>
      </c>
      <c r="C4478" s="2" t="s">
        <v>12734</v>
      </c>
      <c r="D4478" s="2" t="s">
        <v>12750</v>
      </c>
      <c r="E4478" s="2" t="s">
        <v>12741</v>
      </c>
      <c r="F4478" s="2" t="s">
        <v>16</v>
      </c>
      <c r="G4478" s="2" t="s">
        <v>1293</v>
      </c>
      <c r="H4478" s="2"/>
      <c r="I4478" s="2"/>
      <c r="J4478" s="2" t="s">
        <v>42</v>
      </c>
      <c r="K4478" s="2"/>
      <c r="L4478" s="2" t="s">
        <v>7393</v>
      </c>
    </row>
    <row r="4479" customFormat="false" ht="15.65" hidden="false" customHeight="true" outlineLevel="0" collapsed="false">
      <c r="A4479" s="5" t="str">
        <f aca="false">HYPERLINK("https://www.fabsurplus.com/sdi_catalog/salesItemDetails.do?id=106757")</f>
        <v>https://www.fabsurplus.com/sdi_catalog/salesItemDetails.do?id=106757</v>
      </c>
      <c r="B4479" s="5" t="s">
        <v>12751</v>
      </c>
      <c r="C4479" s="5" t="s">
        <v>12752</v>
      </c>
      <c r="D4479" s="5" t="s">
        <v>12753</v>
      </c>
      <c r="E4479" s="5" t="s">
        <v>12754</v>
      </c>
      <c r="F4479" s="5" t="s">
        <v>16</v>
      </c>
      <c r="G4479" s="5" t="s">
        <v>392</v>
      </c>
      <c r="H4479" s="5"/>
      <c r="I4479" s="6" t="n">
        <v>37773</v>
      </c>
      <c r="J4479" s="5" t="s">
        <v>19</v>
      </c>
      <c r="K4479" s="5"/>
      <c r="L4479" s="5" t="s">
        <v>518</v>
      </c>
    </row>
    <row r="4480" customFormat="false" ht="15.65" hidden="false" customHeight="true" outlineLevel="0" collapsed="false">
      <c r="A4480" s="2" t="str">
        <f aca="false">HYPERLINK("https://www.fabsurplus.com/sdi_catalog/salesItemDetails.do?id=108056")</f>
        <v>https://www.fabsurplus.com/sdi_catalog/salesItemDetails.do?id=108056</v>
      </c>
      <c r="B4480" s="2" t="s">
        <v>12755</v>
      </c>
      <c r="C4480" s="2" t="s">
        <v>12756</v>
      </c>
      <c r="D4480" s="2" t="s">
        <v>12757</v>
      </c>
      <c r="E4480" s="2" t="s">
        <v>420</v>
      </c>
      <c r="F4480" s="2" t="s">
        <v>16</v>
      </c>
      <c r="G4480" s="2" t="s">
        <v>392</v>
      </c>
      <c r="H4480" s="2"/>
      <c r="I4480" s="2"/>
      <c r="J4480" s="2" t="s">
        <v>19</v>
      </c>
      <c r="K4480" s="2"/>
      <c r="L4480" s="2" t="s">
        <v>12758</v>
      </c>
    </row>
    <row r="4481" customFormat="false" ht="15.65" hidden="false" customHeight="true" outlineLevel="0" collapsed="false">
      <c r="A4481" s="5" t="str">
        <f aca="false">HYPERLINK("https://www.fabsurplus.com/sdi_catalog/salesItemDetails.do?id=100692")</f>
        <v>https://www.fabsurplus.com/sdi_catalog/salesItemDetails.do?id=100692</v>
      </c>
      <c r="B4481" s="5" t="s">
        <v>12759</v>
      </c>
      <c r="C4481" s="5" t="s">
        <v>12756</v>
      </c>
      <c r="D4481" s="5" t="s">
        <v>12760</v>
      </c>
      <c r="E4481" s="5" t="s">
        <v>12761</v>
      </c>
      <c r="F4481" s="5" t="s">
        <v>151</v>
      </c>
      <c r="G4481" s="5" t="s">
        <v>392</v>
      </c>
      <c r="H4481" s="5"/>
      <c r="I4481" s="5"/>
      <c r="J4481" s="5" t="s">
        <v>19</v>
      </c>
      <c r="K4481" s="5"/>
      <c r="L4481" s="7" t="s">
        <v>483</v>
      </c>
    </row>
    <row r="4482" customFormat="false" ht="15.65" hidden="false" customHeight="true" outlineLevel="0" collapsed="false">
      <c r="A4482" s="2" t="str">
        <f aca="false">HYPERLINK("https://www.fabsurplus.com/sdi_catalog/salesItemDetails.do?id=102577")</f>
        <v>https://www.fabsurplus.com/sdi_catalog/salesItemDetails.do?id=102577</v>
      </c>
      <c r="B4482" s="2" t="s">
        <v>12762</v>
      </c>
      <c r="C4482" s="2" t="s">
        <v>12756</v>
      </c>
      <c r="D4482" s="2" t="s">
        <v>12763</v>
      </c>
      <c r="E4482" s="2" t="s">
        <v>12764</v>
      </c>
      <c r="F4482" s="2" t="s">
        <v>86</v>
      </c>
      <c r="G4482" s="2" t="s">
        <v>392</v>
      </c>
      <c r="H4482" s="2" t="s">
        <v>32</v>
      </c>
      <c r="I4482" s="2"/>
      <c r="J4482" s="2" t="s">
        <v>42</v>
      </c>
      <c r="K4482" s="2" t="s">
        <v>20</v>
      </c>
      <c r="L4482" s="2"/>
    </row>
    <row r="4483" customFormat="false" ht="15.65" hidden="false" customHeight="true" outlineLevel="0" collapsed="false">
      <c r="A4483" s="5" t="str">
        <f aca="false">HYPERLINK("https://www.fabsurplus.com/sdi_catalog/salesItemDetails.do?id=108545")</f>
        <v>https://www.fabsurplus.com/sdi_catalog/salesItemDetails.do?id=108545</v>
      </c>
      <c r="B4483" s="5" t="s">
        <v>12765</v>
      </c>
      <c r="C4483" s="5" t="s">
        <v>12766</v>
      </c>
      <c r="D4483" s="5" t="s">
        <v>12767</v>
      </c>
      <c r="E4483" s="5" t="s">
        <v>12768</v>
      </c>
      <c r="F4483" s="5" t="s">
        <v>108</v>
      </c>
      <c r="G4483" s="5" t="s">
        <v>61</v>
      </c>
      <c r="H4483" s="5"/>
      <c r="I4483" s="5"/>
      <c r="J4483" s="5" t="s">
        <v>19</v>
      </c>
      <c r="K4483" s="5"/>
      <c r="L4483" s="5"/>
    </row>
    <row r="4484" customFormat="false" ht="15.65" hidden="false" customHeight="true" outlineLevel="0" collapsed="false">
      <c r="A4484" s="2" t="str">
        <f aca="false">HYPERLINK("https://www.fabsurplus.com/sdi_catalog/salesItemDetails.do?id=110600")</f>
        <v>https://www.fabsurplus.com/sdi_catalog/salesItemDetails.do?id=110600</v>
      </c>
      <c r="B4484" s="2" t="s">
        <v>12769</v>
      </c>
      <c r="C4484" s="2" t="s">
        <v>12770</v>
      </c>
      <c r="D4484" s="2" t="s">
        <v>12771</v>
      </c>
      <c r="E4484" s="2" t="s">
        <v>12772</v>
      </c>
      <c r="F4484" s="2" t="s">
        <v>16</v>
      </c>
      <c r="G4484" s="2" t="s">
        <v>1362</v>
      </c>
      <c r="H4484" s="2" t="s">
        <v>1969</v>
      </c>
      <c r="I4484" s="2"/>
      <c r="J4484" s="2" t="s">
        <v>42</v>
      </c>
      <c r="K4484" s="2" t="s">
        <v>20</v>
      </c>
      <c r="L4484" s="4" t="s">
        <v>12773</v>
      </c>
    </row>
    <row r="4485" customFormat="false" ht="15.65" hidden="false" customHeight="true" outlineLevel="0" collapsed="false">
      <c r="A4485" s="5" t="str">
        <f aca="false">HYPERLINK("https://www.fabsurplus.com/sdi_catalog/salesItemDetails.do?id=84242")</f>
        <v>https://www.fabsurplus.com/sdi_catalog/salesItemDetails.do?id=84242</v>
      </c>
      <c r="B4485" s="5" t="s">
        <v>12774</v>
      </c>
      <c r="C4485" s="5" t="s">
        <v>12766</v>
      </c>
      <c r="D4485" s="5" t="s">
        <v>12775</v>
      </c>
      <c r="E4485" s="5" t="s">
        <v>12776</v>
      </c>
      <c r="F4485" s="5" t="s">
        <v>16</v>
      </c>
      <c r="G4485" s="5"/>
      <c r="H4485" s="5" t="s">
        <v>32</v>
      </c>
      <c r="I4485" s="5"/>
      <c r="J4485" s="5" t="s">
        <v>19</v>
      </c>
      <c r="K4485" s="5" t="s">
        <v>20</v>
      </c>
      <c r="L4485" s="5" t="s">
        <v>12777</v>
      </c>
    </row>
    <row r="4486" customFormat="false" ht="15.65" hidden="false" customHeight="true" outlineLevel="0" collapsed="false">
      <c r="A4486" s="2" t="str">
        <f aca="false">HYPERLINK("https://www.fabsurplus.com/sdi_catalog/salesItemDetails.do?id=83738")</f>
        <v>https://www.fabsurplus.com/sdi_catalog/salesItemDetails.do?id=83738</v>
      </c>
      <c r="B4486" s="2" t="s">
        <v>12778</v>
      </c>
      <c r="C4486" s="2" t="s">
        <v>12766</v>
      </c>
      <c r="D4486" s="2" t="s">
        <v>12779</v>
      </c>
      <c r="E4486" s="2" t="s">
        <v>12780</v>
      </c>
      <c r="F4486" s="2" t="s">
        <v>16</v>
      </c>
      <c r="G4486" s="2"/>
      <c r="H4486" s="2" t="s">
        <v>32</v>
      </c>
      <c r="I4486" s="2"/>
      <c r="J4486" s="2" t="s">
        <v>19</v>
      </c>
      <c r="K4486" s="2" t="s">
        <v>20</v>
      </c>
      <c r="L4486" s="4" t="s">
        <v>12781</v>
      </c>
    </row>
    <row r="4487" customFormat="false" ht="15.65" hidden="false" customHeight="true" outlineLevel="0" collapsed="false">
      <c r="A4487" s="5" t="str">
        <f aca="false">HYPERLINK("https://www.fabsurplus.com/sdi_catalog/salesItemDetails.do?id=84077")</f>
        <v>https://www.fabsurplus.com/sdi_catalog/salesItemDetails.do?id=84077</v>
      </c>
      <c r="B4487" s="5" t="s">
        <v>12782</v>
      </c>
      <c r="C4487" s="5" t="s">
        <v>12766</v>
      </c>
      <c r="D4487" s="5" t="s">
        <v>12783</v>
      </c>
      <c r="E4487" s="5" t="s">
        <v>12784</v>
      </c>
      <c r="F4487" s="5" t="s">
        <v>16</v>
      </c>
      <c r="G4487" s="5"/>
      <c r="H4487" s="5" t="s">
        <v>18</v>
      </c>
      <c r="I4487" s="5"/>
      <c r="J4487" s="5" t="s">
        <v>19</v>
      </c>
      <c r="K4487" s="5" t="s">
        <v>20</v>
      </c>
      <c r="L4487" s="7" t="s">
        <v>12785</v>
      </c>
    </row>
    <row r="4488" customFormat="false" ht="15.65" hidden="false" customHeight="true" outlineLevel="0" collapsed="false">
      <c r="A4488" s="2" t="str">
        <f aca="false">HYPERLINK("https://www.fabsurplus.com/sdi_catalog/salesItemDetails.do?id=84097")</f>
        <v>https://www.fabsurplus.com/sdi_catalog/salesItemDetails.do?id=84097</v>
      </c>
      <c r="B4488" s="2" t="s">
        <v>12786</v>
      </c>
      <c r="C4488" s="2" t="s">
        <v>12766</v>
      </c>
      <c r="D4488" s="2" t="s">
        <v>12787</v>
      </c>
      <c r="E4488" s="2" t="s">
        <v>12788</v>
      </c>
      <c r="F4488" s="2" t="s">
        <v>16</v>
      </c>
      <c r="G4488" s="2"/>
      <c r="H4488" s="2" t="s">
        <v>32</v>
      </c>
      <c r="I4488" s="2"/>
      <c r="J4488" s="2" t="s">
        <v>19</v>
      </c>
      <c r="K4488" s="2" t="s">
        <v>20</v>
      </c>
      <c r="L4488" s="4" t="s">
        <v>12789</v>
      </c>
    </row>
    <row r="4489" customFormat="false" ht="15.65" hidden="false" customHeight="true" outlineLevel="0" collapsed="false">
      <c r="A4489" s="5" t="str">
        <f aca="false">HYPERLINK("https://www.fabsurplus.com/sdi_catalog/salesItemDetails.do?id=84101")</f>
        <v>https://www.fabsurplus.com/sdi_catalog/salesItemDetails.do?id=84101</v>
      </c>
      <c r="B4489" s="5" t="s">
        <v>12790</v>
      </c>
      <c r="C4489" s="5" t="s">
        <v>12766</v>
      </c>
      <c r="D4489" s="5" t="s">
        <v>12791</v>
      </c>
      <c r="E4489" s="5" t="s">
        <v>12792</v>
      </c>
      <c r="F4489" s="5" t="s">
        <v>16</v>
      </c>
      <c r="G4489" s="5"/>
      <c r="H4489" s="5" t="s">
        <v>32</v>
      </c>
      <c r="I4489" s="5"/>
      <c r="J4489" s="5" t="s">
        <v>19</v>
      </c>
      <c r="K4489" s="5" t="s">
        <v>20</v>
      </c>
      <c r="L4489" s="7" t="s">
        <v>12793</v>
      </c>
    </row>
    <row r="4490" customFormat="false" ht="15.65" hidden="false" customHeight="true" outlineLevel="0" collapsed="false">
      <c r="A4490" s="2" t="str">
        <f aca="false">HYPERLINK("https://www.fabsurplus.com/sdi_catalog/salesItemDetails.do?id=83861")</f>
        <v>https://www.fabsurplus.com/sdi_catalog/salesItemDetails.do?id=83861</v>
      </c>
      <c r="B4490" s="2" t="s">
        <v>12794</v>
      </c>
      <c r="C4490" s="2" t="s">
        <v>12766</v>
      </c>
      <c r="D4490" s="2" t="s">
        <v>12795</v>
      </c>
      <c r="E4490" s="2" t="s">
        <v>12796</v>
      </c>
      <c r="F4490" s="2" t="s">
        <v>16</v>
      </c>
      <c r="G4490" s="2"/>
      <c r="H4490" s="2" t="s">
        <v>32</v>
      </c>
      <c r="I4490" s="2"/>
      <c r="J4490" s="2" t="s">
        <v>19</v>
      </c>
      <c r="K4490" s="2" t="s">
        <v>20</v>
      </c>
      <c r="L4490" s="4" t="s">
        <v>12797</v>
      </c>
    </row>
    <row r="4491" customFormat="false" ht="15.65" hidden="false" customHeight="true" outlineLevel="0" collapsed="false">
      <c r="A4491" s="5" t="str">
        <f aca="false">HYPERLINK("https://www.fabsurplus.com/sdi_catalog/salesItemDetails.do?id=83864")</f>
        <v>https://www.fabsurplus.com/sdi_catalog/salesItemDetails.do?id=83864</v>
      </c>
      <c r="B4491" s="5" t="s">
        <v>12798</v>
      </c>
      <c r="C4491" s="5" t="s">
        <v>12766</v>
      </c>
      <c r="D4491" s="5" t="s">
        <v>12799</v>
      </c>
      <c r="E4491" s="5" t="s">
        <v>12800</v>
      </c>
      <c r="F4491" s="5" t="s">
        <v>151</v>
      </c>
      <c r="G4491" s="5"/>
      <c r="H4491" s="5" t="s">
        <v>32</v>
      </c>
      <c r="I4491" s="5"/>
      <c r="J4491" s="5" t="s">
        <v>19</v>
      </c>
      <c r="K4491" s="5" t="s">
        <v>20</v>
      </c>
      <c r="L4491" s="7" t="s">
        <v>12801</v>
      </c>
    </row>
    <row r="4492" customFormat="false" ht="15.65" hidden="false" customHeight="true" outlineLevel="0" collapsed="false">
      <c r="A4492" s="2" t="str">
        <f aca="false">HYPERLINK("https://www.fabsurplus.com/sdi_catalog/salesItemDetails.do?id=83865")</f>
        <v>https://www.fabsurplus.com/sdi_catalog/salesItemDetails.do?id=83865</v>
      </c>
      <c r="B4492" s="2" t="s">
        <v>12802</v>
      </c>
      <c r="C4492" s="2" t="s">
        <v>12766</v>
      </c>
      <c r="D4492" s="2" t="s">
        <v>12803</v>
      </c>
      <c r="E4492" s="2" t="s">
        <v>12804</v>
      </c>
      <c r="F4492" s="2" t="s">
        <v>145</v>
      </c>
      <c r="G4492" s="2"/>
      <c r="H4492" s="2" t="s">
        <v>32</v>
      </c>
      <c r="I4492" s="2"/>
      <c r="J4492" s="2" t="s">
        <v>19</v>
      </c>
      <c r="K4492" s="2" t="s">
        <v>20</v>
      </c>
      <c r="L4492" s="4" t="s">
        <v>12805</v>
      </c>
    </row>
    <row r="4493" customFormat="false" ht="15.65" hidden="false" customHeight="true" outlineLevel="0" collapsed="false">
      <c r="A4493" s="5" t="str">
        <f aca="false">HYPERLINK("https://www.fabsurplus.com/sdi_catalog/salesItemDetails.do?id=83866")</f>
        <v>https://www.fabsurplus.com/sdi_catalog/salesItemDetails.do?id=83866</v>
      </c>
      <c r="B4493" s="5" t="s">
        <v>12806</v>
      </c>
      <c r="C4493" s="5" t="s">
        <v>12766</v>
      </c>
      <c r="D4493" s="5" t="s">
        <v>12807</v>
      </c>
      <c r="E4493" s="5" t="s">
        <v>12808</v>
      </c>
      <c r="F4493" s="5" t="s">
        <v>236</v>
      </c>
      <c r="G4493" s="5"/>
      <c r="H4493" s="5" t="s">
        <v>32</v>
      </c>
      <c r="I4493" s="5"/>
      <c r="J4493" s="5" t="s">
        <v>19</v>
      </c>
      <c r="K4493" s="5" t="s">
        <v>20</v>
      </c>
      <c r="L4493" s="7" t="s">
        <v>12809</v>
      </c>
    </row>
    <row r="4494" customFormat="false" ht="15.65" hidden="false" customHeight="true" outlineLevel="0" collapsed="false">
      <c r="A4494" s="2" t="str">
        <f aca="false">HYPERLINK("https://www.fabsurplus.com/sdi_catalog/salesItemDetails.do?id=108972")</f>
        <v>https://www.fabsurplus.com/sdi_catalog/salesItemDetails.do?id=108972</v>
      </c>
      <c r="B4494" s="2" t="s">
        <v>12810</v>
      </c>
      <c r="C4494" s="2" t="s">
        <v>12766</v>
      </c>
      <c r="D4494" s="2" t="s">
        <v>12811</v>
      </c>
      <c r="E4494" s="2" t="s">
        <v>8197</v>
      </c>
      <c r="F4494" s="2" t="s">
        <v>16</v>
      </c>
      <c r="G4494" s="2" t="s">
        <v>61</v>
      </c>
      <c r="H4494" s="2" t="s">
        <v>18</v>
      </c>
      <c r="I4494" s="3" t="n">
        <v>40695</v>
      </c>
      <c r="J4494" s="2" t="s">
        <v>19</v>
      </c>
      <c r="K4494" s="2" t="s">
        <v>20</v>
      </c>
      <c r="L4494" s="4" t="s">
        <v>12812</v>
      </c>
    </row>
    <row r="4495" customFormat="false" ht="15.65" hidden="false" customHeight="true" outlineLevel="0" collapsed="false">
      <c r="A4495" s="5" t="str">
        <f aca="false">HYPERLINK("https://www.fabsurplus.com/sdi_catalog/salesItemDetails.do?id=108216")</f>
        <v>https://www.fabsurplus.com/sdi_catalog/salesItemDetails.do?id=108216</v>
      </c>
      <c r="B4495" s="5" t="s">
        <v>12813</v>
      </c>
      <c r="C4495" s="5" t="s">
        <v>12814</v>
      </c>
      <c r="D4495" s="5" t="s">
        <v>12815</v>
      </c>
      <c r="E4495" s="5" t="s">
        <v>12816</v>
      </c>
      <c r="F4495" s="5" t="s">
        <v>16</v>
      </c>
      <c r="G4495" s="5"/>
      <c r="H4495" s="5"/>
      <c r="I4495" s="5"/>
      <c r="J4495" s="5" t="s">
        <v>19</v>
      </c>
      <c r="K4495" s="5"/>
      <c r="L4495" s="5" t="s">
        <v>1480</v>
      </c>
    </row>
    <row r="4496" customFormat="false" ht="15.65" hidden="false" customHeight="true" outlineLevel="0" collapsed="false">
      <c r="A4496" s="2" t="str">
        <f aca="false">HYPERLINK("https://www.fabsurplus.com/sdi_catalog/salesItemDetails.do?id=108217")</f>
        <v>https://www.fabsurplus.com/sdi_catalog/salesItemDetails.do?id=108217</v>
      </c>
      <c r="B4496" s="2" t="s">
        <v>12817</v>
      </c>
      <c r="C4496" s="2" t="s">
        <v>12814</v>
      </c>
      <c r="D4496" s="2" t="s">
        <v>12815</v>
      </c>
      <c r="E4496" s="2" t="s">
        <v>12816</v>
      </c>
      <c r="F4496" s="2" t="s">
        <v>16</v>
      </c>
      <c r="G4496" s="2"/>
      <c r="H4496" s="2"/>
      <c r="I4496" s="2"/>
      <c r="J4496" s="2" t="s">
        <v>19</v>
      </c>
      <c r="K4496" s="2"/>
      <c r="L4496" s="2" t="s">
        <v>1480</v>
      </c>
    </row>
    <row r="4497" customFormat="false" ht="15.65" hidden="false" customHeight="true" outlineLevel="0" collapsed="false">
      <c r="A4497" s="5" t="str">
        <f aca="false">HYPERLINK("https://www.fabsurplus.com/sdi_catalog/salesItemDetails.do?id=108218")</f>
        <v>https://www.fabsurplus.com/sdi_catalog/salesItemDetails.do?id=108218</v>
      </c>
      <c r="B4497" s="5" t="s">
        <v>12818</v>
      </c>
      <c r="C4497" s="5" t="s">
        <v>12814</v>
      </c>
      <c r="D4497" s="5" t="s">
        <v>12819</v>
      </c>
      <c r="E4497" s="5" t="s">
        <v>12820</v>
      </c>
      <c r="F4497" s="5" t="s">
        <v>16</v>
      </c>
      <c r="G4497" s="5"/>
      <c r="H4497" s="5"/>
      <c r="I4497" s="6" t="n">
        <v>39600</v>
      </c>
      <c r="J4497" s="5" t="s">
        <v>19</v>
      </c>
      <c r="K4497" s="5"/>
      <c r="L4497" s="5" t="s">
        <v>1480</v>
      </c>
    </row>
    <row r="4498" customFormat="false" ht="15.65" hidden="false" customHeight="true" outlineLevel="0" collapsed="false">
      <c r="A4498" s="2" t="str">
        <f aca="false">HYPERLINK("https://www.fabsurplus.com/sdi_catalog/salesItemDetails.do?id=83939")</f>
        <v>https://www.fabsurplus.com/sdi_catalog/salesItemDetails.do?id=83939</v>
      </c>
      <c r="B4498" s="2" t="s">
        <v>12821</v>
      </c>
      <c r="C4498" s="2" t="s">
        <v>12766</v>
      </c>
      <c r="D4498" s="2" t="s">
        <v>12822</v>
      </c>
      <c r="E4498" s="2" t="s">
        <v>12823</v>
      </c>
      <c r="F4498" s="2" t="s">
        <v>16</v>
      </c>
      <c r="G4498" s="2"/>
      <c r="H4498" s="2" t="s">
        <v>32</v>
      </c>
      <c r="I4498" s="2"/>
      <c r="J4498" s="2" t="s">
        <v>19</v>
      </c>
      <c r="K4498" s="2" t="s">
        <v>20</v>
      </c>
      <c r="L4498" s="4" t="s">
        <v>12824</v>
      </c>
    </row>
    <row r="4499" customFormat="false" ht="15.65" hidden="false" customHeight="true" outlineLevel="0" collapsed="false">
      <c r="A4499" s="5" t="str">
        <f aca="false">HYPERLINK("https://www.fabsurplus.com/sdi_catalog/salesItemDetails.do?id=71497")</f>
        <v>https://www.fabsurplus.com/sdi_catalog/salesItemDetails.do?id=71497</v>
      </c>
      <c r="B4499" s="5" t="s">
        <v>12825</v>
      </c>
      <c r="C4499" s="5" t="s">
        <v>12826</v>
      </c>
      <c r="D4499" s="5" t="s">
        <v>12827</v>
      </c>
      <c r="E4499" s="5" t="s">
        <v>12828</v>
      </c>
      <c r="F4499" s="5" t="s">
        <v>16</v>
      </c>
      <c r="G4499" s="5" t="s">
        <v>97</v>
      </c>
      <c r="H4499" s="5" t="s">
        <v>18</v>
      </c>
      <c r="I4499" s="5"/>
      <c r="J4499" s="5" t="s">
        <v>19</v>
      </c>
      <c r="K4499" s="5" t="s">
        <v>20</v>
      </c>
      <c r="L4499" s="7" t="s">
        <v>12829</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2023-11-21T18:42:15Z</dcterms:modified>
  <cp:revision>3</cp:revision>
  <dc:subject/>
  <dc:title/>
</cp:coreProperties>
</file>